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Grigory.Kovshov\PycharmProjects\Mini-Projects\"/>
    </mc:Choice>
  </mc:AlternateContent>
  <xr:revisionPtr revIDLastSave="0" documentId="13_ncr:1_{F1DB17EB-386F-44B2-8E7F-0067DFCBB100}" xr6:coauthVersionLast="36" xr6:coauthVersionMax="36" xr10:uidLastSave="{00000000-0000-0000-0000-000000000000}"/>
  <bookViews>
    <workbookView xWindow="0" yWindow="0" windowWidth="23040" windowHeight="9410" tabRatio="936" firstSheet="2" activeTab="8" xr2:uid="{00000000-000D-0000-FFFF-FFFF00000000}"/>
  </bookViews>
  <sheets>
    <sheet name="ВД0 Рабочая программа" sheetId="2" r:id="rId1"/>
    <sheet name="ВД0.1 Раскрытие" sheetId="11" r:id="rId2"/>
    <sheet name="ВД1 Свод" sheetId="1" r:id="rId3"/>
    <sheet name="ВД2 Свод ошибок" sheetId="5" r:id="rId4"/>
    <sheet name="ВД3 Материальные расходы" sheetId="6" r:id="rId5"/>
    <sheet name="ВД4 Профессиональные услуги" sheetId="7" r:id="rId6"/>
    <sheet name="ВД5 Услуги УК" sheetId="8" r:id="rId7"/>
    <sheet name="ВД6 Прочие расходы" sheetId="9" r:id="rId8"/>
    <sheet name="ВД7 Сверка" sheetId="4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____________________________________________ddd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_________________________________________ddd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________________________________________ddd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_______________________________________ddd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_____________________________________ddd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____________________________________ddd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___________________________________ddd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__________________________________ddd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_________________________________ddd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________________________________ddd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_______________________________ddd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______________________________ddd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_____________________________ddd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____________________________ddd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___________________________ddd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__________________________ddd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_________________________ddd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________________________ddd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_______________________ddd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______________________ddd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_____________________ddd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____________________ddd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___________________ddd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__________________ddd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_________________ddd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________________ddd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_______________ddd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______________ddd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_____________ddd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____________ddd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___________ddd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__________ddd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_________ddd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________ddd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_______ddd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______ddd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_____ddd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____ddd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___ddd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__ddd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__ddd2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_ddd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ddd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xlfn.BAHTTEXT" hidden="1">#NAME?</definedName>
    <definedName name="___xlfn.RTD" hidden="1">#NAME?</definedName>
    <definedName name="__123Graph_A" hidden="1">'[1]pasiva-skutečnost'!$C$35:$C$43</definedName>
    <definedName name="__123Graph_X" hidden="1">'[1]pasiva-skutečnost'!$A$35:$A$43</definedName>
    <definedName name="__ddd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IntlFixup" hidden="1">TRUE</definedName>
    <definedName name="__xlfn.BAHTTEXT" hidden="1">#NAME?</definedName>
    <definedName name="__xlfn.RTD" hidden="1">#NAME?</definedName>
    <definedName name="_dd2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ddd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Fill" hidden="1">[2]Data!#REF!</definedName>
    <definedName name="_xlnm._FilterDatabase" localSheetId="2" hidden="1">'ВД1 Свод'!$117:$131</definedName>
    <definedName name="_xlnm._FilterDatabase" localSheetId="4" hidden="1">'ВД3 Материальные расходы'!$A$44:$AF$77</definedName>
    <definedName name="_xlnm._FilterDatabase" localSheetId="5" hidden="1">'ВД4 Профессиональные услуги'!$B$212:$H$331</definedName>
    <definedName name="_xlnm._FilterDatabase" localSheetId="7" hidden="1">'ВД6 Прочие расходы'!$B$37:$N$71</definedName>
    <definedName name="_xlnm._FilterDatabase" localSheetId="8" hidden="1">'ВД7 Сверка'!$A$66:$AD$259</definedName>
    <definedName name="_Order1" hidden="1">255</definedName>
    <definedName name="_Order2" hidden="1">255</definedName>
    <definedName name="_Regression_Out" hidden="1">#REF!</definedName>
    <definedName name="_Regression_X" hidden="1">#REF!</definedName>
    <definedName name="_Regression_Y" hidden="1">#REF!</definedName>
    <definedName name="á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aa" hidden="1">{#N/A,#N/A,FALSE,"Aging Summary";#N/A,#N/A,FALSE,"Ratio Analysis";#N/A,#N/A,FALSE,"Test 120 Day Accts";#N/A,#N/A,FALSE,"Tickmarks"}</definedName>
    <definedName name="aaa" hidden="1">{#N/A,#N/A,FALSE,"Aging Summary";#N/A,#N/A,FALSE,"Ratio Analysis";#N/A,#N/A,FALSE,"Test 120 Day Accts";#N/A,#N/A,FALSE,"Tickmarks"}</definedName>
    <definedName name="AAA_DOCTOPS" hidden="1">"AAA_SET"</definedName>
    <definedName name="AAA_duser" hidden="1">"OFF"</definedName>
    <definedName name="aaa0" hidden="1">{#N/A,#N/A,FALSE,"Aging Summary";#N/A,#N/A,FALSE,"Ratio Analysis";#N/A,#N/A,FALSE,"Test 120 Day Accts";#N/A,#N/A,FALSE,"Tickmarks"}</definedName>
    <definedName name="aaaaaaaaaaaaa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aaaaaaaaaaaaaa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AAB_Addin5" hidden="1">"AAB_Description for addin 5,Description for addin 5,Description for addin 5,Description for addin 5,Description for addin 5,Description for addin 5"</definedName>
    <definedName name="abc" hidden="1">{#N/A,#N/A,FALSE,"Aging Summary";#N/A,#N/A,FALSE,"Ratio Analysis";#N/A,#N/A,FALSE,"Test 120 Day Accts";#N/A,#N/A,FALSE,"Tickmarks"}</definedName>
    <definedName name="AccessDatabase" hidden="1">"C:\Documents and Settings\Stassovsky\My Documents\MF\Current\2001 PROJECT N_1.mdb"</definedName>
    <definedName name="Adj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AS2DocOpenMode" hidden="1">"AS2DocumentBrowse"</definedName>
    <definedName name="AS2NamedRange" hidden="1">5</definedName>
    <definedName name="b" hidden="1">{#N/A,#N/A,FALSE,"Aging Summary";#N/A,#N/A,FALSE,"Ratio Analysis";#N/A,#N/A,FALSE,"Test 120 Day Accts";#N/A,#N/A,FALSE,"Tickmarks"}</definedName>
    <definedName name="bbb" hidden="1">{#N/A,#N/A,FALSE,"Aging Summary";#N/A,#N/A,FALSE,"Ratio Analysis";#N/A,#N/A,FALSE,"Test 120 Day Accts";#N/A,#N/A,FALSE,"Tickmarks"}</definedName>
    <definedName name="BLPH1" hidden="1">'[3]Share Price 2002'!#REF!</definedName>
    <definedName name="BLPH10" hidden="1">[4]BlooData!$AB$3</definedName>
    <definedName name="BLPH11" hidden="1">[4]BlooData!$AE$3</definedName>
    <definedName name="BLPH12" hidden="1">[4]BlooData!$AH$3</definedName>
    <definedName name="BLPH13" hidden="1">[4]Values!#REF!</definedName>
    <definedName name="BLPH14" hidden="1">[4]Values!#REF!</definedName>
    <definedName name="BLPH15" hidden="1">[4]BlooData!$AK$3</definedName>
    <definedName name="BLPH16" hidden="1">[4]BlooData!$AN$3</definedName>
    <definedName name="BLPH17" hidden="1">[4]BlooData!$AQ$3</definedName>
    <definedName name="BLPH18" hidden="1">[4]BlooData!$AT$3</definedName>
    <definedName name="BLPH19" hidden="1">[4]BlooData!$AW$3</definedName>
    <definedName name="BLPH2" hidden="1">'[3]Share Price 2002'!#REF!</definedName>
    <definedName name="BLPH3" hidden="1">[4]BlooData!$G$3</definedName>
    <definedName name="BLPH4" hidden="1">'[4]EC552378 Corp Cusip8'!$A$3</definedName>
    <definedName name="BLPH5" hidden="1">'[4]TT333718 Govt'!$A$3</definedName>
    <definedName name="BLPH6" hidden="1">[4]BlooData!$P$3</definedName>
    <definedName name="BLPH7" hidden="1">[4]BlooData!$S$3</definedName>
    <definedName name="BLPH8" hidden="1">[4]BlooData!$V$3</definedName>
    <definedName name="BLPH9" hidden="1">[4]BlooData!$Y$3</definedName>
    <definedName name="central_rozdil" hidden="1">{#N/A,#N/A,FALSE,"Aging Summary";#N/A,#N/A,FALSE,"Ratio Analysis";#N/A,#N/A,FALSE,"Test 120 Day Accts";#N/A,#N/A,FALSE,"Tickmarks"}</definedName>
    <definedName name="CURRENCY">'[5]Вид валюты'!$A$2:$A$24</definedName>
    <definedName name="ddd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ddd_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ddd1_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ddddd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ddddddd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ddddddddd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e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é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ee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ee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eee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eee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eeeeeeee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eeeeeeeeee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eeeeeeeeeeeeeeee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FCCSTCT">'[5]Тип вида затрат'!$B$2:$B$10</definedName>
    <definedName name="FCCSTTYPE">'[5]Вид затрат'!$B$2:$B$80</definedName>
    <definedName name="fdkhdfgljfgjl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ff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ffffff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fffffff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fffffffffff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fffffffffffffff" hidden="1">{"Страница 1",#N/A,FALSE,"Модель Интенсивника";"Страница 3",#N/A,FALSE,"Модель Интенсивника"}</definedName>
    <definedName name="ffffffffffffffff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fffffffffffffffff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fgdh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fghjj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fhjgh" hidden="1">{"glc1",#N/A,FALSE,"GLC";"glc2",#N/A,FALSE,"GLC";"glc3",#N/A,FALSE,"GLC";"glc4",#N/A,FALSE,"GLC";"glc5",#N/A,FALSE,"GLC"}</definedName>
    <definedName name="ghd" hidden="1">{#N/A,#N/A,FALSE,"Aging Summary";#N/A,#N/A,FALSE,"Ratio Analysis";#N/A,#N/A,FALSE,"Test 120 Day Accts";#N/A,#N/A,FALSE,"Tickmarks"}</definedName>
    <definedName name="ghj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hr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hr_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ii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ii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INVEST_OBJECT">'[5]Единица консолидации'!$F$2:$F$840</definedName>
    <definedName name="jny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jny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KG">'[5]Единица консолидации'!$N$2:$N$840</definedName>
    <definedName name="ktzuk" hidden="1">{#N/A,#N/A,FALSE,"Aging Summary";#N/A,#N/A,FALSE,"Ratio Analysis";#N/A,#N/A,FALSE,"Test 120 Day Accts";#N/A,#N/A,FALSE,"Tickmarks"}</definedName>
    <definedName name="ljkjklj9" hidden="1">#REF!</definedName>
    <definedName name="lkj" hidden="1">{#N/A,#N/A,FALSE,"Aging Summary";#N/A,#N/A,FALSE,"Ratio Analysis";#N/A,#N/A,FALSE,"Test 120 Day Accts";#N/A,#N/A,FALSE,"Tickmarks"}</definedName>
    <definedName name="naa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naa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name" hidden="1">{#N/A,#N/A,FALSE,"Aging Summary";#N/A,#N/A,FALSE,"Ratio Analysis";#N/A,#N/A,FALSE,"Test 120 Day Accts";#N/A,#N/A,FALSE,"Tickmarks"}</definedName>
    <definedName name="oo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oo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PARTNER">'[5]Единица консолидации'!$J$2:$J$840</definedName>
    <definedName name="PL_ЦШП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qq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qq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qqq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qqq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qw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qw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rr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rr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rrr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rrr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rrtt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SAPBEXbbsBack" hidden="1">"xSAPtemp4064.xls"</definedName>
    <definedName name="SAPBEXhrIndnt" hidden="1">1</definedName>
    <definedName name="SAPBEXrevision" hidden="1">1</definedName>
    <definedName name="SAPBEXsysID" hidden="1">"BWP"</definedName>
    <definedName name="SAPBEXwbID" hidden="1">"33T3X6ZFEKYSVNPT0VD4FSQA9"</definedName>
    <definedName name="SK">'[5]Единица консолидации'!$R$2:$R$840</definedName>
    <definedName name="summary2" hidden="1">{#N/A,#N/A,FALSE,"Aging Summary";#N/A,#N/A,FALSE,"Ratio Analysis";#N/A,#N/A,FALSE,"Test 120 Day Accts";#N/A,#N/A,FALSE,"Tickmarks"}</definedName>
    <definedName name="tanya" hidden="1">{#N/A,#N/A,FALSE,"Aging Summary";#N/A,#N/A,FALSE,"Ratio Analysis";#N/A,#N/A,FALSE,"Test 120 Day Accts";#N/A,#N/A,FALSE,"Tickmarks"}</definedName>
    <definedName name="tertw" hidden="1">{#N/A,#N/A,FALSE,"Aging Summary";#N/A,#N/A,FALSE,"Ratio Analysis";#N/A,#N/A,FALSE,"Test 120 Day Accts";#N/A,#N/A,FALSE,"Tickmarks"}</definedName>
    <definedName name="TextRefCopyRangeCount" hidden="1">182</definedName>
    <definedName name="tt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tt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ttt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ttt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uu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uu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wrn.Aging._.and._.Trend._.Analysis." hidden="1">{#N/A,#N/A,FALSE,"Aging Summary";#N/A,#N/A,FALSE,"Ratio Analysis";#N/A,#N/A,FALSE,"Test 120 Day Accts";#N/A,#N/A,FALSE,"Tickmarks"}</definedName>
    <definedName name="wrn.ALL." hidden="1">{#N/A,#N/A,FALSE,"DCF";#N/A,#N/A,FALSE,"WACC";#N/A,#N/A,FALSE,"Sales_EBIT";#N/A,#N/A,FALSE,"Capex_Depreciation";#N/A,#N/A,FALSE,"WC";#N/A,#N/A,FALSE,"Interest";#N/A,#N/A,FALSE,"Assumptions"}</definedName>
    <definedName name="wrn.ALL._1" hidden="1">{#N/A,#N/A,FALSE,"DCF";#N/A,#N/A,FALSE,"WACC";#N/A,#N/A,FALSE,"Sales_EBIT";#N/A,#N/A,FALSE,"Capex_Depreciation";#N/A,#N/A,FALSE,"WC";#N/A,#N/A,FALSE,"Interest";#N/A,#N/A,FALSE,"Assumptions"}</definedName>
    <definedName name="wrn.DCFEpervier." hidden="1">{#N/A,#N/A,FALSE,"Inc. Statement-DCF";#N/A,#N/A,FALSE,"Assumptions";#N/A,#N/A,FALSE,"Inputs - Sales (KFF)";#N/A,#N/A,FALSE,"Inputs - Margins %";#N/A,#N/A,FALSE,"Inputs - Units";#N/A,#N/A,FALSE,"Output - Prices";#N/A,#N/A,FALSE,"Outputs - Margins (KFF)";#N/A,#N/A,FALSE,"Outputs - Costs";#N/A,#N/A,FALSE,"Outputs - Costs % ";#N/A,#N/A,FALSE,"Output - Units % Inc.";#N/A,#N/A,FALSE,"Output - Sales % Inc";#N/A,#N/A,FALSE,"Output - Prices % Inc.";#N/A,#N/A,FALSE,"WACC"}</definedName>
    <definedName name="wrn.DCFEpervier._1" hidden="1">{#N/A,#N/A,FALSE,"Inc. Statement-DCF";#N/A,#N/A,FALSE,"Assumptions";#N/A,#N/A,FALSE,"Inputs - Sales (KFF)";#N/A,#N/A,FALSE,"Inputs - Margins %";#N/A,#N/A,FALSE,"Inputs - Units";#N/A,#N/A,FALSE,"Output - Prices";#N/A,#N/A,FALSE,"Outputs - Margins (KFF)";#N/A,#N/A,FALSE,"Outputs - Costs";#N/A,#N/A,FALSE,"Outputs - Costs % ";#N/A,#N/A,FALSE,"Output - Units % Inc.";#N/A,#N/A,FALSE,"Output - Sales % Inc";#N/A,#N/A,FALSE,"Output - Prices % Inc.";#N/A,#N/A,FALSE,"WACC"}</definedName>
    <definedName name="wrn.print95and96." hidden="1">{"print95",#N/A,FALSE,"1995E.XLS";"print96",#N/A,FALSE,"1996E.XLS"}</definedName>
    <definedName name="wrn.REPORT1." hidden="1">{"PRINTME",#N/A,FALSE,"FINAL-10"}</definedName>
    <definedName name="wrn.test." hidden="1">{"Valuation_Common",#N/A,FALSE,"Valuation"}</definedName>
    <definedName name="wrn.test._1" hidden="1">{"Valuation_Common",#N/A,FALSE,"Valuation"}</definedName>
    <definedName name="wrn.апрель.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wrn.апрель.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wrn.ку." hidden="1">{#N/A,#N/A,TRUE,"Лист2"}</definedName>
    <definedName name="wrn.ку._1" hidden="1">{#N/A,#N/A,TRUE,"Лист2"}</definedName>
    <definedName name="wrn.Модель._.Интенсивника." hidden="1">{"Страница 1",#N/A,FALSE,"Модель Интенсивника";"Страница 2",#N/A,FALSE,"Модель Интенсивника";"Страница 3",#N/A,FALSE,"Модель Интенсивника"}</definedName>
    <definedName name="wrn.Модель._.Интенсивника._.стр._.1._.и._.3." hidden="1">{"Страница 1",#N/A,FALSE,"Модель Интенсивника";"Страница 3",#N/A,FALSE,"Модель Интенсивника"}</definedName>
    <definedName name="wrn.Модель._.Интенсивника._.стр._.1._.и._.3._1" hidden="1">{"Страница 1",#N/A,FALSE,"Модель Интенсивника";"Страница 3",#N/A,FALSE,"Модель Интенсивника"}</definedName>
    <definedName name="wrn.Модель._.Интенсивника._1" hidden="1">{"Страница 1",#N/A,FALSE,"Модель Интенсивника";"Страница 2",#N/A,FALSE,"Модель Интенсивника";"Страница 3",#N/A,FALSE,"Модель Интенсивника"}</definedName>
    <definedName name="wrn.Отчет.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wrn.Отчет.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wrn.Отчет.2006.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wrn.справка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wrn.справка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wrn.ФП_КМК." hidden="1">{#N/A,#N/A,FALSE,"Титул_ОСН";#N/A,#N/A,FALSE,"Итоги";#N/A,#N/A,FALSE,"Источники";#N/A,#N/A,FALSE,"ПрочПродажи";#N/A,#N/A,FALSE,"ЗП";#N/A,#N/A,FALSE,"Налоги";#N/A,#N/A,FALSE,"Энерго";#N/A,#N/A,FALSE,"Сырьё";#N/A,#N/A,FALSE,"Снабжение";#N/A,#N/A,FALSE,"Оборудование";#N/A,#N/A,FALSE,"Транспорт";#N/A,#N/A,FALSE,"Коммерция";#N/A,#N/A,FALSE,"ТЕК_РЕМ";#N/A,#N/A,FALSE,"КАП_РЕМ";#N/A,#N/A,FALSE,"КАП_СТР";#N/A,#N/A,FALSE,"НИОКР";#N/A,#N/A,FALSE,"Кадры";#N/A,#N/A,FALSE,"СОЦ";#N/A,#N/A,FALSE,"НепромПр";#N/A,#N/A,FALSE,"ФИНАНСЫ";#N/A,#N/A,FALSE,"Прочие";#N/A,#N/A,FALSE,"Гаш_кредит";#N/A,#N/A,FALSE,"ФП"}</definedName>
    <definedName name="wrn.ФП_КМК._1" hidden="1">{#N/A,#N/A,FALSE,"Титул_ОСН";#N/A,#N/A,FALSE,"Итоги";#N/A,#N/A,FALSE,"Источники";#N/A,#N/A,FALSE,"ПрочПродажи";#N/A,#N/A,FALSE,"ЗП";#N/A,#N/A,FALSE,"Налоги";#N/A,#N/A,FALSE,"Энерго";#N/A,#N/A,FALSE,"Сырьё";#N/A,#N/A,FALSE,"Снабжение";#N/A,#N/A,FALSE,"Оборудование";#N/A,#N/A,FALSE,"Транспорт";#N/A,#N/A,FALSE,"Коммерция";#N/A,#N/A,FALSE,"ТЕК_РЕМ";#N/A,#N/A,FALSE,"КАП_РЕМ";#N/A,#N/A,FALSE,"КАП_СТР";#N/A,#N/A,FALSE,"НИОКР";#N/A,#N/A,FALSE,"Кадры";#N/A,#N/A,FALSE,"СОЦ";#N/A,#N/A,FALSE,"НепромПр";#N/A,#N/A,FALSE,"ФИНАНСЫ";#N/A,#N/A,FALSE,"Прочие";#N/A,#N/A,FALSE,"Гаш_кредит";#N/A,#N/A,FALSE,"ФП"}</definedName>
    <definedName name="ws" hidden="1">{#N/A,#N/A,FALSE,"Aging Summary";#N/A,#N/A,FALSE,"Ratio Analysis";#N/A,#N/A,FALSE,"Test 120 Day Accts";#N/A,#N/A,FALSE,"Tickmarks"}</definedName>
    <definedName name="wtre" hidden="1">{#N/A,#N/A,FALSE,"Aging Summary";#N/A,#N/A,FALSE,"Ratio Analysis";#N/A,#N/A,FALSE,"Test 120 Day Accts";#N/A,#N/A,FALSE,"Tickmarks"}</definedName>
    <definedName name="ww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ww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www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www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x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XLRPARAMS_Data" hidden="1">[6]XLR_NoRangeSheet!$B$6</definedName>
    <definedName name="XLRPARAMS_x" hidden="1">[7]XLR_NoRangeSheet!$AM$6</definedName>
    <definedName name="XLRPARAMS_y" hidden="1">[7]XLR_NoRangeSheet!$AN$6</definedName>
    <definedName name="y" hidden="1">{#N/A,#N/A,FALSE,"Aging Summary";#N/A,#N/A,FALSE,"Ratio Analysis";#N/A,#N/A,FALSE,"Test 120 Day Accts";#N/A,#N/A,FALSE,"Tickmarks"}</definedName>
    <definedName name="yy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yy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yyss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yyss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Z_0DD4EB58_0647_11D5_A6F7_00508B654A95_.wvu.Cols" hidden="1">#REF!,#REF!,#REF!,#REF!,#REF!</definedName>
    <definedName name="Z_10435A81_C305_11D5_A6F8_009027BEE0E0_.wvu.Cols" hidden="1">#REF!,#REF!,#REF!</definedName>
    <definedName name="Z_10435A81_C305_11D5_A6F8_009027BEE0E0_.wvu.FilterData" hidden="1">#REF!</definedName>
    <definedName name="Z_10435A81_C305_11D5_A6F8_009027BEE0E0_.wvu.PrintArea" hidden="1">#REF!</definedName>
    <definedName name="Z_10435A81_C305_11D5_A6F8_009027BEE0E0_.wvu.PrintTitles" hidden="1">#REF!</definedName>
    <definedName name="Z_10435A81_C305_11D5_A6F8_009027BEE0E0_.wvu.Rows" hidden="1">#REF!,#REF!</definedName>
    <definedName name="Z_2804E4BB_ED21_11D4_A6F8_00508B654B8B_.wvu.Cols" hidden="1">#REF!,#REF!,#REF!</definedName>
    <definedName name="Z_2804E4BB_ED21_11D4_A6F8_00508B654B8B_.wvu.FilterData" hidden="1">#REF!</definedName>
    <definedName name="Z_2804E4BB_ED21_11D4_A6F8_00508B654B8B_.wvu.PrintArea" hidden="1">#REF!</definedName>
    <definedName name="Z_2804E4BB_ED21_11D4_A6F8_00508B654B8B_.wvu.Rows" hidden="1">#REF!,#REF!</definedName>
    <definedName name="Z_5A868EA0_ED63_11D4_A6F8_009027BEE0E0_.wvu.Cols" hidden="1">#REF!,#REF!,#REF!</definedName>
    <definedName name="Z_5A868EA0_ED63_11D4_A6F8_009027BEE0E0_.wvu.FilterData" hidden="1">#REF!</definedName>
    <definedName name="Z_5A868EA0_ED63_11D4_A6F8_009027BEE0E0_.wvu.PrintArea" hidden="1">#REF!</definedName>
    <definedName name="Z_5A868EA0_ED63_11D4_A6F8_009027BEE0E0_.wvu.Rows" hidden="1">#REF!,#REF!</definedName>
    <definedName name="Z_6E40955B_C2F5_11D5_A6F7_009027BEE7F1_.wvu.Cols" hidden="1">#REF!,#REF!,#REF!</definedName>
    <definedName name="Z_6E40955B_C2F5_11D5_A6F7_009027BEE7F1_.wvu.FilterData" hidden="1">#REF!</definedName>
    <definedName name="Z_6E40955B_C2F5_11D5_A6F7_009027BEE7F1_.wvu.PrintArea" hidden="1">#REF!</definedName>
    <definedName name="Z_6E40955B_C2F5_11D5_A6F7_009027BEE7F1_.wvu.PrintTitles" hidden="1">#REF!</definedName>
    <definedName name="Z_6E40955B_C2F5_11D5_A6F7_009027BEE7F1_.wvu.Rows" hidden="1">#REF!,#REF!</definedName>
    <definedName name="Z_901DD601_3312_11D5_8F89_00010215A1CA_.wvu.Rows" hidden="1">#REF!,#REF!</definedName>
    <definedName name="Z_A158D6E1_ED44_11D4_A6F7_00508B654028_.wvu.Cols" hidden="1">#REF!,#REF!</definedName>
    <definedName name="Z_A158D6E1_ED44_11D4_A6F7_00508B654028_.wvu.FilterData" hidden="1">#REF!</definedName>
    <definedName name="Z_A158D6E1_ED44_11D4_A6F7_00508B654028_.wvu.PrintArea" hidden="1">#REF!</definedName>
    <definedName name="Z_A158D6E1_ED44_11D4_A6F7_00508B654028_.wvu.Rows" hidden="1">#REF!,#REF!</definedName>
    <definedName name="Z_A9FF1EAD_E7B8_4A8D_9232_4283389FA5DC_.wvu.Cols" hidden="1">'[8]MEF 2004'!#REF!</definedName>
    <definedName name="Z_A9FF1EAD_E7B8_4A8D_9232_4283389FA5DC_.wvu.PrintArea" hidden="1">#REF!</definedName>
    <definedName name="Z_A9FF1EAD_E7B8_4A8D_9232_4283389FA5DC_.wvu.PrintTitles" hidden="1">#REF!</definedName>
    <definedName name="Z_ADA92181_C3E4_11D5_A6F7_00508B6A7686_.wvu.Cols" hidden="1">#REF!,#REF!,#REF!</definedName>
    <definedName name="Z_ADA92181_C3E4_11D5_A6F7_00508B6A7686_.wvu.FilterData" hidden="1">#REF!</definedName>
    <definedName name="Z_ADA92181_C3E4_11D5_A6F7_00508B6A7686_.wvu.PrintArea" hidden="1">#REF!</definedName>
    <definedName name="Z_ADA92181_C3E4_11D5_A6F7_00508B6A7686_.wvu.PrintTitles" hidden="1">#REF!</definedName>
    <definedName name="Z_ADA92181_C3E4_11D5_A6F7_00508B6A7686_.wvu.Rows" hidden="1">#REF!,#REF!</definedName>
    <definedName name="Z_D4FBBAF2_ED2F_11D4_A6F7_00508B6540C5_.wvu.FilterData" hidden="1">#REF!</definedName>
    <definedName name="Z_D9E68341_C2F0_11D5_A6F7_00508B6540C5_.wvu.Cols" hidden="1">#REF!,#REF!,#REF!</definedName>
    <definedName name="Z_D9E68341_C2F0_11D5_A6F7_00508B6540C5_.wvu.FilterData" hidden="1">#REF!</definedName>
    <definedName name="Z_D9E68341_C2F0_11D5_A6F7_00508B6540C5_.wvu.PrintArea" hidden="1">#REF!</definedName>
    <definedName name="Z_D9E68341_C2F0_11D5_A6F7_00508B6540C5_.wvu.PrintTitles" hidden="1">#REF!</definedName>
    <definedName name="Z_D9E68341_C2F0_11D5_A6F7_00508B6540C5_.wvu.Rows" hidden="1">#REF!</definedName>
    <definedName name="Z_E3DB78BC_F847_4E0A_8AF3_61B1B9D963F4_.wvu.Cols" hidden="1">'[8]MEF 2004'!#REF!</definedName>
    <definedName name="Z_E3DB78BC_F847_4E0A_8AF3_61B1B9D963F4_.wvu.PrintArea" hidden="1">#REF!</definedName>
    <definedName name="Z_E3DB78BC_F847_4E0A_8AF3_61B1B9D963F4_.wvu.PrintTitles" hidden="1">#REF!</definedName>
    <definedName name="zz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zz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ааа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ааа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авыав" hidden="1">{"Страница 1",#N/A,FALSE,"Модель Интенсивника";"Страница 3",#N/A,FALSE,"Модель Интенсивника"}</definedName>
    <definedName name="авыав_1" hidden="1">{"Страница 1",#N/A,FALSE,"Модель Интенсивника";"Страница 3",#N/A,FALSE,"Модель Интенсивника"}</definedName>
    <definedName name="авыпа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авыпа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Алекс.кэш1.9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анализ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анализ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апра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апрель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апрель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апрель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апрель1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апыми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апыми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БАЛ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БАЛ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ббб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ббб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братск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бяка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бяка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ва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ва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вап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вап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вапке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вапке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вар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вар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вас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вас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вв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вв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вввв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вввв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ввввв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ввввв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вла" hidden="1">{#N/A,#N/A,FALSE,"Aging Summary";#N/A,#N/A,FALSE,"Ratio Analysis";#N/A,#N/A,FALSE,"Test 120 Day Accts";#N/A,#N/A,FALSE,"Tickmarks"}</definedName>
    <definedName name="выф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выф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Галя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генплан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генплан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Гольцов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Гольцов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гра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гра_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граф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граф_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д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д_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дач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дач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ддд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ддд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де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де_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длоо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длоо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е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е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еее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еее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жар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жар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жж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жж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жжж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жжж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жопа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жопа_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запасы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запасы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запасы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запасы1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зачет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зачет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й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й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ии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ии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иии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ййй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иии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ййй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ирява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ирява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Итог3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Итог3_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к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ке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ке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кен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Фин.операции";#N/A,#N/A,TRUE,"Прочие ";#N/A,#N/A,TRUE,"Титул";#N/A,#N/A,TRUE,"Источники 2";#N/A,#N/A,TRUE,"Зарплата начисл "}</definedName>
    <definedName name="ккк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ккк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копия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копия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копия2" hidden="1">{#N/A,#N/A,FALSE,"Aging Summary";#N/A,#N/A,FALSE,"Ratio Analysis";#N/A,#N/A,FALSE,"Test 120 Day Accts";#N/A,#N/A,FALSE,"Tickmarks"}</definedName>
    <definedName name="куг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куг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кэн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кэн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лд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лд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лена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лена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лл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лл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ллл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ллл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льп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льп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май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май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Махалов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Махалов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мит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мит_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мм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мм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ммм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ммм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Налоги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Налоги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непнен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непнен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ннн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ннн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нот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" hidden="1">{#N/A,#N/A,TRUE,"Лист2"}</definedName>
    <definedName name="о_1" hidden="1">{#N/A,#N/A,TRUE,"Лист2"}</definedName>
    <definedName name="олроло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лроло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оо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оо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ооо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ооо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псик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псик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ра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ра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рг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рг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ри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ри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рн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рн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рт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рт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рш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рш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С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сновные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тчет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тчет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тчет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тчёт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отчет1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тчёт1_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папр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папр_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пимфк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пимфк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Пл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Пл_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попа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попа_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ппп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ппп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пр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пр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пра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пра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прл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прл_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про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про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прра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пыпыппывапа" hidden="1">#REF!,#REF!,#REF!</definedName>
    <definedName name="р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р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рак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рак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репина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репина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риф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риф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ров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ров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роол" hidden="1">"CPBD6WTRUEFAZMP2FHSLP2KUP"</definedName>
    <definedName name="рооо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рооо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ропрлпмол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ропрлпмол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рор" hidden="1">{"Страница 1",#N/A,FALSE,"Модель Интенсивника";"Страница 2",#N/A,FALSE,"Модель Интенсивника";"Страница 3",#N/A,FALSE,"Модель Интенсивника"}</definedName>
    <definedName name="рор_1" hidden="1">{"Страница 1",#N/A,FALSE,"Модель Интенсивника";"Страница 2",#N/A,FALSE,"Модель Интенсивника";"Страница 3",#N/A,FALSE,"Модель Интенсивника"}</definedName>
    <definedName name="рр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рр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ррр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ррр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среда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среда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сс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сс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стр26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стр26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стр27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стр27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т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т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талоырал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талоырал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таня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тап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тап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тар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тар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тари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тари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тариф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тариф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тариф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тариф1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тим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тим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топ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топ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тт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тт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ттт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ттт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тфф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тфф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у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у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увцы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УГЭН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УГЭН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угэн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угэн1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ууу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ууу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фат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фат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февраль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февраль_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федя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федя_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фенс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фенс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фина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фина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финплан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финплан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фмп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фмп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фп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фп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фф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фф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фы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фы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фыв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фыв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фыва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фыва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фывфыа" hidden="1">{"Страница 1",#N/A,FALSE,"Модель Интенсивника";"Страница 2",#N/A,FALSE,"Модель Интенсивника";"Страница 3",#N/A,FALSE,"Модель Интенсивника"}</definedName>
    <definedName name="фывфыа_1" hidden="1">{"Страница 1",#N/A,FALSE,"Модель Интенсивника";"Страница 2",#N/A,FALSE,"Модель Интенсивника";"Страница 3",#N/A,FALSE,"Модель Интенсивника"}</definedName>
    <definedName name="ц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ц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цена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цена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цк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цк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цуг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цуг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ццц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ццц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ч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ч_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чч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чч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Шатилов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Шатилов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ы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Фин.операции";#N/A,#N/A,TRUE,"Прочие ";#N/A,#N/A,TRUE,"Титул";#N/A,#N/A,TRUE,"Источники 2";#N/A,#N/A,TRUE,"Зарплата начисл "}</definedName>
    <definedName name="ы_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Фин.операции";#N/A,#N/A,TRUE,"Прочие ";#N/A,#N/A,TRUE,"Титул";#N/A,#N/A,TRUE,"Источники 2";#N/A,#N/A,TRUE,"Зарплата начисл "}</definedName>
    <definedName name="ыаа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ыаа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Ыгь" hidden="1">{#N/A,#N/A,FALSE,"Aging Summary";#N/A,#N/A,FALSE,"Ratio Analysis";#N/A,#N/A,FALSE,"Test 120 Day Accts";#N/A,#N/A,FALSE,"Tickmarks"}</definedName>
    <definedName name="ыы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Фин.операции";#N/A,#N/A,TRUE,"Прочие ";#N/A,#N/A,TRUE,"Титул";#N/A,#N/A,TRUE,"Источники 2";#N/A,#N/A,TRUE,"Зарплата начисл "}</definedName>
    <definedName name="ыы_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Фин.операции";#N/A,#N/A,TRUE,"Прочие ";#N/A,#N/A,TRUE,"Титул";#N/A,#N/A,TRUE,"Источники 2";#N/A,#N/A,TRUE,"Зарплата начисл "}</definedName>
    <definedName name="ьь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ьь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эээ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эээ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ю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юю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юю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янв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янв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январь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январь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яя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яя_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яяяяяяяяяяяяяя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4" i="7" l="1"/>
  <c r="E26" i="9" l="1"/>
  <c r="Z71" i="9"/>
  <c r="Z70" i="9"/>
  <c r="Z69" i="9"/>
  <c r="Z68" i="9"/>
  <c r="Z67" i="9"/>
  <c r="Z66" i="9"/>
  <c r="Z65" i="9"/>
  <c r="Z64" i="9"/>
  <c r="Z63" i="9"/>
  <c r="Z62" i="9"/>
  <c r="Z61" i="9"/>
  <c r="Z60" i="9"/>
  <c r="Z59" i="9"/>
  <c r="Z58" i="9"/>
  <c r="Z57" i="9"/>
  <c r="Z56" i="9"/>
  <c r="Z55" i="9"/>
  <c r="Z54" i="9"/>
  <c r="Z53" i="9"/>
  <c r="Z52" i="9"/>
  <c r="Z51" i="9"/>
  <c r="Z50" i="9"/>
  <c r="Z49" i="9"/>
  <c r="Z48" i="9"/>
  <c r="Z47" i="9"/>
  <c r="Z46" i="9"/>
  <c r="Z45" i="9"/>
  <c r="Z44" i="9"/>
  <c r="Z43" i="9"/>
  <c r="Z42" i="9"/>
  <c r="Z40" i="9"/>
  <c r="Z39" i="9"/>
  <c r="Z38" i="9"/>
  <c r="E28" i="4"/>
  <c r="E36" i="6" l="1"/>
  <c r="E29" i="9"/>
  <c r="AC41" i="9"/>
  <c r="Z41" i="9" l="1"/>
  <c r="W66" i="1" l="1"/>
  <c r="R259" i="4" l="1"/>
  <c r="Q259" i="4"/>
  <c r="P72" i="1" l="1"/>
  <c r="T72" i="1" s="1"/>
  <c r="P68" i="1"/>
  <c r="T68" i="1" s="1"/>
  <c r="P66" i="1"/>
  <c r="T66" i="1" s="1"/>
  <c r="X66" i="1" s="1"/>
  <c r="P65" i="1"/>
  <c r="T65" i="1" s="1"/>
  <c r="P62" i="1"/>
  <c r="T62" i="1" s="1"/>
  <c r="B89" i="7" l="1"/>
  <c r="G352" i="7"/>
  <c r="C330" i="7"/>
  <c r="B340" i="7"/>
  <c r="C354" i="7" s="1"/>
  <c r="D354" i="7" l="1"/>
  <c r="C355" i="7"/>
  <c r="I3" i="4"/>
  <c r="I2" i="4"/>
  <c r="H4" i="4"/>
  <c r="H6" i="4" s="1"/>
  <c r="I6" i="4" s="1"/>
  <c r="I4" i="9"/>
  <c r="I3" i="9"/>
  <c r="I2" i="9"/>
  <c r="H4" i="9"/>
  <c r="H6" i="9" s="1"/>
  <c r="I6" i="9" s="1"/>
  <c r="I4" i="8"/>
  <c r="I3" i="8"/>
  <c r="I2" i="8"/>
  <c r="H6" i="8"/>
  <c r="I6" i="8" s="1"/>
  <c r="H4" i="8"/>
  <c r="H5" i="8" s="1"/>
  <c r="I5" i="8" s="1"/>
  <c r="I3" i="7"/>
  <c r="I2" i="7"/>
  <c r="H4" i="7"/>
  <c r="I4" i="7" s="1"/>
  <c r="I6" i="6"/>
  <c r="I4" i="6"/>
  <c r="I3" i="6"/>
  <c r="I2" i="6"/>
  <c r="H4" i="6"/>
  <c r="H6" i="6" s="1"/>
  <c r="I4" i="5"/>
  <c r="I3" i="5"/>
  <c r="I2" i="5"/>
  <c r="H4" i="5"/>
  <c r="H6" i="5" s="1"/>
  <c r="I6" i="5" s="1"/>
  <c r="I3" i="1"/>
  <c r="I2" i="1"/>
  <c r="H6" i="1"/>
  <c r="I6" i="1" s="1"/>
  <c r="H4" i="1"/>
  <c r="H5" i="1" s="1"/>
  <c r="I5" i="1" s="1"/>
  <c r="E4" i="11"/>
  <c r="E5" i="11" s="1"/>
  <c r="F5" i="11" s="1"/>
  <c r="G57" i="11"/>
  <c r="H57" i="11" s="1"/>
  <c r="G55" i="11"/>
  <c r="H55" i="11" s="1"/>
  <c r="G54" i="11"/>
  <c r="H54" i="11" s="1"/>
  <c r="G53" i="11"/>
  <c r="H53" i="11" s="1"/>
  <c r="F52" i="11"/>
  <c r="G52" i="11" s="1"/>
  <c r="C59" i="11"/>
  <c r="I4" i="1" l="1"/>
  <c r="H6" i="7"/>
  <c r="I6" i="7" s="1"/>
  <c r="H5" i="7"/>
  <c r="I5" i="7" s="1"/>
  <c r="I4" i="4"/>
  <c r="H5" i="4"/>
  <c r="I5" i="4" s="1"/>
  <c r="H5" i="9"/>
  <c r="I5" i="9" s="1"/>
  <c r="H5" i="6"/>
  <c r="I5" i="6" s="1"/>
  <c r="H5" i="5"/>
  <c r="I5" i="5" s="1"/>
  <c r="E6" i="11"/>
  <c r="F6" i="11" s="1"/>
  <c r="F4" i="11"/>
  <c r="H52" i="11"/>
  <c r="F44" i="11"/>
  <c r="G44" i="11" s="1"/>
  <c r="H44" i="11" s="1"/>
  <c r="F43" i="11"/>
  <c r="G43" i="11" s="1"/>
  <c r="H43" i="11" s="1"/>
  <c r="F42" i="11"/>
  <c r="G42" i="11" s="1"/>
  <c r="H42" i="11" s="1"/>
  <c r="F41" i="11"/>
  <c r="G41" i="11" s="1"/>
  <c r="H41" i="11" s="1"/>
  <c r="F40" i="11"/>
  <c r="G40" i="11" s="1"/>
  <c r="H40" i="11" s="1"/>
  <c r="F39" i="11"/>
  <c r="G39" i="11" s="1"/>
  <c r="H39" i="11" s="1"/>
  <c r="F38" i="11"/>
  <c r="G38" i="11" s="1"/>
  <c r="H38" i="11" s="1"/>
  <c r="C45" i="11"/>
  <c r="C46" i="11" s="1"/>
  <c r="F45" i="11" l="1"/>
  <c r="G45" i="11" s="1"/>
  <c r="H45" i="11" s="1"/>
  <c r="F29" i="11" l="1"/>
  <c r="G29" i="11" s="1"/>
  <c r="H29" i="11" s="1"/>
  <c r="F30" i="11"/>
  <c r="G30" i="11" s="1"/>
  <c r="H30" i="11" s="1"/>
  <c r="F28" i="11"/>
  <c r="G28" i="11" s="1"/>
  <c r="H28" i="11" s="1"/>
  <c r="F3" i="11" l="1"/>
  <c r="F2" i="11"/>
  <c r="A2" i="11"/>
  <c r="R58" i="7" l="1"/>
  <c r="J67" i="1"/>
  <c r="H477" i="4"/>
  <c r="H479" i="4" s="1"/>
  <c r="J63" i="1" l="1"/>
  <c r="X76" i="6"/>
  <c r="W76" i="6"/>
  <c r="V76" i="6"/>
  <c r="AC181" i="4"/>
  <c r="AC173" i="4"/>
  <c r="AC172" i="4"/>
  <c r="AC155" i="4"/>
  <c r="AC119" i="4"/>
  <c r="AC103" i="4"/>
  <c r="AC102" i="4"/>
  <c r="AC97" i="4"/>
  <c r="AC88" i="4"/>
  <c r="AC86" i="4"/>
  <c r="AC85" i="4"/>
  <c r="AC83" i="4"/>
  <c r="AC80" i="4"/>
  <c r="AC74" i="4"/>
  <c r="R74" i="4"/>
  <c r="W255" i="4"/>
  <c r="W254" i="4"/>
  <c r="W253" i="4"/>
  <c r="W252" i="4"/>
  <c r="W251" i="4"/>
  <c r="W250" i="4"/>
  <c r="W246" i="4"/>
  <c r="W245" i="4"/>
  <c r="W244" i="4"/>
  <c r="W243" i="4"/>
  <c r="W242" i="4"/>
  <c r="W241" i="4"/>
  <c r="W240" i="4"/>
  <c r="W239" i="4"/>
  <c r="W238" i="4"/>
  <c r="W237" i="4"/>
  <c r="W236" i="4"/>
  <c r="W235" i="4"/>
  <c r="W234" i="4"/>
  <c r="W233" i="4"/>
  <c r="W232" i="4"/>
  <c r="W231" i="4"/>
  <c r="W230" i="4"/>
  <c r="W229" i="4"/>
  <c r="W228" i="4"/>
  <c r="W227" i="4"/>
  <c r="W226" i="4"/>
  <c r="W225" i="4"/>
  <c r="W224" i="4"/>
  <c r="W223" i="4"/>
  <c r="V256" i="4"/>
  <c r="U256" i="4"/>
  <c r="T256" i="4"/>
  <c r="T247" i="4"/>
  <c r="W247" i="4" s="1"/>
  <c r="V160" i="4"/>
  <c r="U160" i="4"/>
  <c r="T160" i="4"/>
  <c r="V153" i="4"/>
  <c r="U153" i="4"/>
  <c r="T153" i="4"/>
  <c r="V151" i="4"/>
  <c r="U151" i="4"/>
  <c r="T151" i="4"/>
  <c r="V143" i="4"/>
  <c r="U143" i="4"/>
  <c r="T143" i="4"/>
  <c r="V138" i="4"/>
  <c r="U138" i="4"/>
  <c r="T138" i="4"/>
  <c r="V126" i="4"/>
  <c r="U126" i="4"/>
  <c r="T126" i="4"/>
  <c r="V104" i="4"/>
  <c r="U104" i="4"/>
  <c r="T104" i="4"/>
  <c r="V101" i="4"/>
  <c r="U101" i="4"/>
  <c r="T101" i="4"/>
  <c r="V94" i="4"/>
  <c r="U94" i="4"/>
  <c r="T94" i="4"/>
  <c r="V70" i="4"/>
  <c r="U70" i="4"/>
  <c r="T70" i="4"/>
  <c r="R181" i="4"/>
  <c r="R173" i="4"/>
  <c r="R172" i="4"/>
  <c r="R155" i="4"/>
  <c r="R119" i="4"/>
  <c r="R103" i="4"/>
  <c r="R102" i="4"/>
  <c r="R97" i="4"/>
  <c r="R88" i="4"/>
  <c r="R86" i="4"/>
  <c r="R85" i="4"/>
  <c r="R83" i="4"/>
  <c r="R80" i="4"/>
  <c r="AC257" i="4" l="1"/>
  <c r="D275" i="4"/>
  <c r="E287" i="4"/>
  <c r="E275" i="4"/>
  <c r="E277" i="4"/>
  <c r="E276" i="4"/>
  <c r="D287" i="4"/>
  <c r="T95" i="4"/>
  <c r="W256" i="4"/>
  <c r="U95" i="4"/>
  <c r="V95" i="4"/>
  <c r="U248" i="4"/>
  <c r="U249" i="4" s="1"/>
  <c r="V248" i="4"/>
  <c r="V249" i="4" s="1"/>
  <c r="T248" i="4"/>
  <c r="W94" i="4"/>
  <c r="R257" i="4"/>
  <c r="U257" i="4" l="1"/>
  <c r="V257" i="4"/>
  <c r="W248" i="4"/>
  <c r="T249" i="4"/>
  <c r="W249" i="4" l="1"/>
  <c r="T257" i="4"/>
  <c r="L256" i="4" l="1"/>
  <c r="K256" i="4"/>
  <c r="J256" i="4"/>
  <c r="I256" i="4"/>
  <c r="H256" i="4"/>
  <c r="G256" i="4"/>
  <c r="F256" i="4"/>
  <c r="E256" i="4"/>
  <c r="D256" i="4"/>
  <c r="M255" i="4"/>
  <c r="Z255" i="4" s="1"/>
  <c r="M254" i="4"/>
  <c r="Z254" i="4" s="1"/>
  <c r="M253" i="4"/>
  <c r="Z253" i="4" s="1"/>
  <c r="M252" i="4"/>
  <c r="Z252" i="4" s="1"/>
  <c r="M251" i="4"/>
  <c r="Z251" i="4" s="1"/>
  <c r="M250" i="4"/>
  <c r="Z250" i="4" s="1"/>
  <c r="M246" i="4"/>
  <c r="Z246" i="4" s="1"/>
  <c r="M245" i="4"/>
  <c r="Z245" i="4" s="1"/>
  <c r="M244" i="4"/>
  <c r="Z244" i="4" s="1"/>
  <c r="M243" i="4"/>
  <c r="Z243" i="4" s="1"/>
  <c r="M242" i="4"/>
  <c r="Z242" i="4" s="1"/>
  <c r="M241" i="4"/>
  <c r="Z241" i="4" s="1"/>
  <c r="M240" i="4"/>
  <c r="Z240" i="4" s="1"/>
  <c r="M239" i="4"/>
  <c r="Z239" i="4" s="1"/>
  <c r="M238" i="4"/>
  <c r="Z238" i="4" s="1"/>
  <c r="M237" i="4"/>
  <c r="Z237" i="4" s="1"/>
  <c r="M236" i="4"/>
  <c r="Z236" i="4" s="1"/>
  <c r="M235" i="4"/>
  <c r="Z235" i="4" s="1"/>
  <c r="M234" i="4"/>
  <c r="Z234" i="4" s="1"/>
  <c r="M233" i="4"/>
  <c r="Z233" i="4" s="1"/>
  <c r="M232" i="4"/>
  <c r="Z232" i="4" s="1"/>
  <c r="M231" i="4"/>
  <c r="Z231" i="4" s="1"/>
  <c r="M230" i="4"/>
  <c r="Z230" i="4" s="1"/>
  <c r="M229" i="4"/>
  <c r="Z229" i="4" s="1"/>
  <c r="M228" i="4"/>
  <c r="Z228" i="4" s="1"/>
  <c r="M227" i="4"/>
  <c r="Z227" i="4" s="1"/>
  <c r="M226" i="4"/>
  <c r="Z226" i="4" s="1"/>
  <c r="M225" i="4"/>
  <c r="Z225" i="4" s="1"/>
  <c r="M224" i="4"/>
  <c r="Z224" i="4" s="1"/>
  <c r="M223" i="4"/>
  <c r="L247" i="4"/>
  <c r="K247" i="4"/>
  <c r="J247" i="4"/>
  <c r="I247" i="4"/>
  <c r="H247" i="4"/>
  <c r="G247" i="4"/>
  <c r="F247" i="4"/>
  <c r="E247" i="4"/>
  <c r="D247" i="4"/>
  <c r="L160" i="4"/>
  <c r="K160" i="4"/>
  <c r="J160" i="4"/>
  <c r="I160" i="4"/>
  <c r="H160" i="4"/>
  <c r="G160" i="4"/>
  <c r="F160" i="4"/>
  <c r="E160" i="4"/>
  <c r="D160" i="4"/>
  <c r="L153" i="4"/>
  <c r="K153" i="4"/>
  <c r="J153" i="4"/>
  <c r="I153" i="4"/>
  <c r="H153" i="4"/>
  <c r="G153" i="4"/>
  <c r="F153" i="4"/>
  <c r="E153" i="4"/>
  <c r="D153" i="4"/>
  <c r="L151" i="4"/>
  <c r="K151" i="4"/>
  <c r="J151" i="4"/>
  <c r="I151" i="4"/>
  <c r="H151" i="4"/>
  <c r="G151" i="4"/>
  <c r="F151" i="4"/>
  <c r="E151" i="4"/>
  <c r="D151" i="4"/>
  <c r="L143" i="4"/>
  <c r="K143" i="4"/>
  <c r="J143" i="4"/>
  <c r="I143" i="4"/>
  <c r="H143" i="4"/>
  <c r="G143" i="4"/>
  <c r="F143" i="4"/>
  <c r="E143" i="4"/>
  <c r="D143" i="4"/>
  <c r="L138" i="4"/>
  <c r="K138" i="4"/>
  <c r="J138" i="4"/>
  <c r="I138" i="4"/>
  <c r="H138" i="4"/>
  <c r="G138" i="4"/>
  <c r="F138" i="4"/>
  <c r="E138" i="4"/>
  <c r="D138" i="4"/>
  <c r="L126" i="4"/>
  <c r="K126" i="4"/>
  <c r="J126" i="4"/>
  <c r="I126" i="4"/>
  <c r="H126" i="4"/>
  <c r="G126" i="4"/>
  <c r="F126" i="4"/>
  <c r="E126" i="4"/>
  <c r="D126" i="4"/>
  <c r="L104" i="4"/>
  <c r="K104" i="4"/>
  <c r="J104" i="4"/>
  <c r="I104" i="4"/>
  <c r="H104" i="4"/>
  <c r="G104" i="4"/>
  <c r="F104" i="4"/>
  <c r="E104" i="4"/>
  <c r="D104" i="4"/>
  <c r="L101" i="4"/>
  <c r="K101" i="4"/>
  <c r="J101" i="4"/>
  <c r="I101" i="4"/>
  <c r="H101" i="4"/>
  <c r="G101" i="4"/>
  <c r="F101" i="4"/>
  <c r="E101" i="4"/>
  <c r="D101" i="4"/>
  <c r="L94" i="4"/>
  <c r="K94" i="4"/>
  <c r="J94" i="4"/>
  <c r="I94" i="4"/>
  <c r="H94" i="4"/>
  <c r="G94" i="4"/>
  <c r="F94" i="4"/>
  <c r="E94" i="4"/>
  <c r="D94" i="4"/>
  <c r="L70" i="4"/>
  <c r="K70" i="4"/>
  <c r="J70" i="4"/>
  <c r="I70" i="4"/>
  <c r="H70" i="4"/>
  <c r="G70" i="4"/>
  <c r="F70" i="4"/>
  <c r="E70" i="4"/>
  <c r="D70" i="4"/>
  <c r="D248" i="4" l="1"/>
  <c r="D249" i="4" s="1"/>
  <c r="G95" i="4"/>
  <c r="K95" i="4"/>
  <c r="F248" i="4"/>
  <c r="F249" i="4" s="1"/>
  <c r="J248" i="4"/>
  <c r="J249" i="4" s="1"/>
  <c r="D95" i="4"/>
  <c r="H95" i="4"/>
  <c r="L95" i="4"/>
  <c r="E248" i="4"/>
  <c r="E249" i="4" s="1"/>
  <c r="I248" i="4"/>
  <c r="I249" i="4" s="1"/>
  <c r="G248" i="4"/>
  <c r="G249" i="4" s="1"/>
  <c r="K248" i="4"/>
  <c r="K249" i="4" s="1"/>
  <c r="E95" i="4"/>
  <c r="I95" i="4"/>
  <c r="H248" i="4"/>
  <c r="H249" i="4" s="1"/>
  <c r="L248" i="4"/>
  <c r="L249" i="4" s="1"/>
  <c r="F95" i="4"/>
  <c r="J95" i="4"/>
  <c r="M256" i="4"/>
  <c r="Z256" i="4" s="1"/>
  <c r="W70" i="4"/>
  <c r="I257" i="4" l="1"/>
  <c r="E257" i="4"/>
  <c r="G257" i="4"/>
  <c r="K257" i="4"/>
  <c r="J257" i="4"/>
  <c r="D257" i="4"/>
  <c r="F257" i="4"/>
  <c r="H257" i="4"/>
  <c r="L257" i="4"/>
  <c r="D28" i="4" l="1"/>
  <c r="E193" i="7"/>
  <c r="D453" i="4"/>
  <c r="C334" i="4" s="1"/>
  <c r="O431" i="4"/>
  <c r="M377" i="4"/>
  <c r="Q431" i="4"/>
  <c r="P431" i="4"/>
  <c r="M430" i="4"/>
  <c r="M429" i="4"/>
  <c r="M428" i="4"/>
  <c r="M427" i="4"/>
  <c r="M374" i="4"/>
  <c r="L431" i="4"/>
  <c r="K431" i="4"/>
  <c r="J431" i="4"/>
  <c r="I431" i="4"/>
  <c r="H431" i="4"/>
  <c r="G431" i="4"/>
  <c r="F431" i="4"/>
  <c r="E431" i="4"/>
  <c r="D431" i="4"/>
  <c r="R428" i="4" l="1"/>
  <c r="AB156" i="4" s="1"/>
  <c r="Q156" i="4"/>
  <c r="R429" i="4"/>
  <c r="AB157" i="4" s="1"/>
  <c r="Q157" i="4"/>
  <c r="R377" i="4"/>
  <c r="AB103" i="4" s="1"/>
  <c r="Q103" i="4"/>
  <c r="R427" i="4"/>
  <c r="AB136" i="4" s="1"/>
  <c r="Q136" i="4"/>
  <c r="R374" i="4"/>
  <c r="AB74" i="4" s="1"/>
  <c r="Q74" i="4"/>
  <c r="R430" i="4"/>
  <c r="AB155" i="4" s="1"/>
  <c r="Q155" i="4"/>
  <c r="E278" i="4"/>
  <c r="E279" i="4" s="1"/>
  <c r="Z262" i="4" l="1"/>
  <c r="V125" i="1" l="1"/>
  <c r="S72" i="1"/>
  <c r="S66" i="1"/>
  <c r="D79" i="1"/>
  <c r="S62" i="1"/>
  <c r="W65" i="1"/>
  <c r="X65" i="1" s="1"/>
  <c r="S65" i="1" l="1"/>
  <c r="S68" i="1"/>
  <c r="W60" i="1"/>
  <c r="R58" i="1"/>
  <c r="F27" i="11" s="1"/>
  <c r="G27" i="11" s="1"/>
  <c r="H27" i="11" s="1"/>
  <c r="F50" i="1" l="1"/>
  <c r="F63" i="1"/>
  <c r="F58" i="1" s="1"/>
  <c r="E63" i="1"/>
  <c r="E58" i="1" s="1"/>
  <c r="D63" i="1"/>
  <c r="O63" i="1"/>
  <c r="N63" i="1"/>
  <c r="M63" i="1"/>
  <c r="L63" i="1"/>
  <c r="K63" i="1"/>
  <c r="H69" i="1"/>
  <c r="C45" i="7"/>
  <c r="O59" i="1"/>
  <c r="N59" i="1"/>
  <c r="M59" i="1"/>
  <c r="L59" i="1"/>
  <c r="K59" i="1"/>
  <c r="J59" i="1"/>
  <c r="J58" i="1" s="1"/>
  <c r="Z156" i="7"/>
  <c r="P64" i="7"/>
  <c r="P63" i="7"/>
  <c r="P62" i="7"/>
  <c r="P61" i="7"/>
  <c r="P60" i="7"/>
  <c r="P59" i="7"/>
  <c r="P58" i="7"/>
  <c r="I47" i="7"/>
  <c r="K58" i="1" l="1"/>
  <c r="P69" i="1"/>
  <c r="T69" i="1" s="1"/>
  <c r="D58" i="1"/>
  <c r="L58" i="1"/>
  <c r="M58" i="1"/>
  <c r="N58" i="1"/>
  <c r="Z72" i="9"/>
  <c r="D26" i="9" s="1"/>
  <c r="S69" i="1" l="1"/>
  <c r="D65" i="7"/>
  <c r="O65" i="7"/>
  <c r="O66" i="7" s="1"/>
  <c r="AD108" i="7" l="1"/>
  <c r="AD106" i="7"/>
  <c r="AD104" i="7"/>
  <c r="AD88" i="7"/>
  <c r="J46" i="7"/>
  <c r="H61" i="1"/>
  <c r="P61" i="1" s="1"/>
  <c r="T61" i="1" s="1"/>
  <c r="H60" i="1"/>
  <c r="P60" i="1" s="1"/>
  <c r="T60" i="1" l="1"/>
  <c r="X60" i="1" s="1"/>
  <c r="Y60" i="1" s="1"/>
  <c r="S60" i="1"/>
  <c r="S61" i="1"/>
  <c r="H64" i="1"/>
  <c r="P64" i="1" s="1"/>
  <c r="T64" i="1" s="1"/>
  <c r="Q133" i="1"/>
  <c r="Q63" i="1"/>
  <c r="Q59" i="1"/>
  <c r="S64" i="1" l="1"/>
  <c r="Q58" i="1"/>
  <c r="H67" i="1"/>
  <c r="P67" i="1" s="1"/>
  <c r="T67" i="1" s="1"/>
  <c r="H63" i="1" l="1"/>
  <c r="S67" i="1"/>
  <c r="P63" i="1" l="1"/>
  <c r="T63" i="1" s="1"/>
  <c r="F2" i="6"/>
  <c r="X73" i="6"/>
  <c r="W73" i="6"/>
  <c r="W77" i="6" s="1"/>
  <c r="V73" i="6"/>
  <c r="V77" i="6" s="1"/>
  <c r="X48" i="6"/>
  <c r="W48" i="6"/>
  <c r="V48" i="6"/>
  <c r="Y45" i="6"/>
  <c r="X77" i="6" l="1"/>
  <c r="Y77" i="6" s="1"/>
  <c r="S63" i="1"/>
  <c r="Z67" i="1"/>
  <c r="Z60" i="1"/>
  <c r="W72" i="1"/>
  <c r="X72" i="1" s="1"/>
  <c r="W71" i="1"/>
  <c r="W69" i="1"/>
  <c r="C85" i="1" s="1"/>
  <c r="F85" i="1" s="1"/>
  <c r="W68" i="1"/>
  <c r="W67" i="1"/>
  <c r="C83" i="1"/>
  <c r="C79" i="1"/>
  <c r="W64" i="1"/>
  <c r="W62" i="1"/>
  <c r="X62" i="1" s="1"/>
  <c r="W61" i="1"/>
  <c r="X61" i="1" s="1"/>
  <c r="C82" i="1"/>
  <c r="V70" i="1"/>
  <c r="V63" i="1"/>
  <c r="V59" i="1"/>
  <c r="C81" i="1" l="1"/>
  <c r="F81" i="1" s="1"/>
  <c r="X68" i="1"/>
  <c r="C84" i="1"/>
  <c r="F84" i="1" s="1"/>
  <c r="X64" i="1"/>
  <c r="V58" i="1"/>
  <c r="C80" i="1"/>
  <c r="F80" i="1" s="1"/>
  <c r="Y72" i="1"/>
  <c r="Y62" i="1"/>
  <c r="U74" i="1" l="1"/>
  <c r="Q60" i="7"/>
  <c r="R60" i="7" s="1"/>
  <c r="Q59" i="7"/>
  <c r="R59" i="7" s="1"/>
  <c r="C44" i="7"/>
  <c r="Q64" i="7"/>
  <c r="R64" i="7" s="1"/>
  <c r="Q63" i="7"/>
  <c r="R63" i="7" s="1"/>
  <c r="Q62" i="7"/>
  <c r="R62" i="7" s="1"/>
  <c r="Q61" i="7"/>
  <c r="R61" i="7" s="1"/>
  <c r="Q58" i="7"/>
  <c r="O126" i="1"/>
  <c r="S126" i="1" s="1"/>
  <c r="H71" i="1" l="1"/>
  <c r="E4" i="5"/>
  <c r="E6" i="5" s="1"/>
  <c r="E82" i="1"/>
  <c r="E100" i="1"/>
  <c r="F100" i="1" s="1"/>
  <c r="D101" i="1"/>
  <c r="E99" i="1"/>
  <c r="F99" i="1" s="1"/>
  <c r="U70" i="1"/>
  <c r="U63" i="1"/>
  <c r="U59" i="1"/>
  <c r="W59" i="1" s="1"/>
  <c r="T123" i="1"/>
  <c r="P71" i="1" l="1"/>
  <c r="T71" i="1" s="1"/>
  <c r="W63" i="1"/>
  <c r="W70" i="1"/>
  <c r="Y61" i="1"/>
  <c r="Y64" i="1"/>
  <c r="Y65" i="1"/>
  <c r="E5" i="5"/>
  <c r="E101" i="1"/>
  <c r="F101" i="1" s="1"/>
  <c r="F82" i="1" s="1"/>
  <c r="U58" i="1"/>
  <c r="W58" i="1" s="1"/>
  <c r="S71" i="1" l="1"/>
  <c r="Y68" i="1"/>
  <c r="C86" i="1"/>
  <c r="C87" i="1" s="1"/>
  <c r="F86" i="1" l="1"/>
  <c r="X69" i="1"/>
  <c r="Y69" i="1" s="1"/>
  <c r="H70" i="1"/>
  <c r="H59" i="1"/>
  <c r="P59" i="1" l="1"/>
  <c r="T59" i="1" s="1"/>
  <c r="P70" i="1"/>
  <c r="T70" i="1" s="1"/>
  <c r="D82" i="1"/>
  <c r="G82" i="1" s="1"/>
  <c r="H82" i="1" s="1"/>
  <c r="H58" i="1"/>
  <c r="P58" i="1" s="1"/>
  <c r="T58" i="1" s="1"/>
  <c r="G79" i="1"/>
  <c r="H79" i="1" s="1"/>
  <c r="D85" i="1"/>
  <c r="G85" i="1" s="1"/>
  <c r="X67" i="1"/>
  <c r="Y67" i="1" s="1"/>
  <c r="X71" i="1"/>
  <c r="Y71" i="1" s="1"/>
  <c r="S70" i="1" l="1"/>
  <c r="S59" i="1"/>
  <c r="Y66" i="1"/>
  <c r="Z263" i="4"/>
  <c r="X63" i="1"/>
  <c r="Y63" i="1" s="1"/>
  <c r="X59" i="1"/>
  <c r="Y59" i="1" s="1"/>
  <c r="H85" i="1"/>
  <c r="X70" i="1"/>
  <c r="Y70" i="1" s="1"/>
  <c r="D81" i="1"/>
  <c r="G81" i="1" s="1"/>
  <c r="H81" i="1" s="1"/>
  <c r="D84" i="1"/>
  <c r="G84" i="1" s="1"/>
  <c r="H84" i="1" s="1"/>
  <c r="D83" i="1"/>
  <c r="G83" i="1" s="1"/>
  <c r="H83" i="1" s="1"/>
  <c r="D80" i="1"/>
  <c r="G80" i="1" s="1"/>
  <c r="H80" i="1" s="1"/>
  <c r="X58" i="1" l="1"/>
  <c r="Y58" i="1" s="1"/>
  <c r="S58" i="1"/>
  <c r="G50" i="1"/>
  <c r="D86" i="1"/>
  <c r="G86" i="1" l="1"/>
  <c r="H86" i="1" s="1"/>
  <c r="D87" i="1"/>
  <c r="AA63" i="9" l="1"/>
  <c r="AB63" i="9" s="1"/>
  <c r="AA62" i="9"/>
  <c r="AA47" i="9"/>
  <c r="AB47" i="9" s="1"/>
  <c r="AA46" i="9"/>
  <c r="AB46" i="9" s="1"/>
  <c r="E6" i="8"/>
  <c r="E6" i="7"/>
  <c r="E6" i="6"/>
  <c r="E6" i="9"/>
  <c r="X72" i="9"/>
  <c r="W72" i="9"/>
  <c r="V72" i="9"/>
  <c r="Y71" i="9"/>
  <c r="AA71" i="9" s="1"/>
  <c r="AB71" i="9" s="1"/>
  <c r="Y70" i="9"/>
  <c r="AA70" i="9" s="1"/>
  <c r="Y69" i="9"/>
  <c r="AA69" i="9" s="1"/>
  <c r="Y68" i="9"/>
  <c r="AA68" i="9" s="1"/>
  <c r="Y67" i="9"/>
  <c r="AA67" i="9" s="1"/>
  <c r="Y66" i="9"/>
  <c r="AA66" i="9" s="1"/>
  <c r="Y65" i="9"/>
  <c r="AA65" i="9" s="1"/>
  <c r="AB65" i="9" s="1"/>
  <c r="Y64" i="9"/>
  <c r="AA64" i="9" s="1"/>
  <c r="AB64" i="9" s="1"/>
  <c r="Y63" i="9"/>
  <c r="Y62" i="9"/>
  <c r="Y61" i="9"/>
  <c r="AA61" i="9" s="1"/>
  <c r="AB61" i="9" s="1"/>
  <c r="Y60" i="9"/>
  <c r="AA60" i="9" s="1"/>
  <c r="AB60" i="9" s="1"/>
  <c r="Y59" i="9"/>
  <c r="AA59" i="9" s="1"/>
  <c r="AB59" i="9" s="1"/>
  <c r="Y58" i="9"/>
  <c r="AA58" i="9" s="1"/>
  <c r="AB58" i="9" s="1"/>
  <c r="Y57" i="9"/>
  <c r="AA57" i="9" s="1"/>
  <c r="AB57" i="9" s="1"/>
  <c r="Y56" i="9"/>
  <c r="AA56" i="9" s="1"/>
  <c r="AB56" i="9" s="1"/>
  <c r="Y55" i="9"/>
  <c r="AA55" i="9" s="1"/>
  <c r="AB55" i="9" s="1"/>
  <c r="Y54" i="9"/>
  <c r="AA54" i="9" s="1"/>
  <c r="AB54" i="9" s="1"/>
  <c r="Y53" i="9"/>
  <c r="AA53" i="9" s="1"/>
  <c r="AB53" i="9" s="1"/>
  <c r="Y52" i="9"/>
  <c r="AA52" i="9" s="1"/>
  <c r="AB52" i="9" s="1"/>
  <c r="Y51" i="9"/>
  <c r="AA51" i="9" s="1"/>
  <c r="AB51" i="9" s="1"/>
  <c r="Y50" i="9"/>
  <c r="AA50" i="9" s="1"/>
  <c r="AB50" i="9" s="1"/>
  <c r="Y49" i="9"/>
  <c r="AA49" i="9" s="1"/>
  <c r="AB49" i="9" s="1"/>
  <c r="Y48" i="9"/>
  <c r="AA48" i="9" s="1"/>
  <c r="AB48" i="9" s="1"/>
  <c r="Y47" i="9"/>
  <c r="Y46" i="9"/>
  <c r="Y45" i="9"/>
  <c r="AA45" i="9" s="1"/>
  <c r="AB45" i="9" s="1"/>
  <c r="Y44" i="9"/>
  <c r="AA44" i="9" s="1"/>
  <c r="AB44" i="9" s="1"/>
  <c r="Y43" i="9"/>
  <c r="AA43" i="9" s="1"/>
  <c r="AB43" i="9" s="1"/>
  <c r="Y42" i="9"/>
  <c r="AA42" i="9" s="1"/>
  <c r="AB42" i="9" s="1"/>
  <c r="Y41" i="9"/>
  <c r="AA41" i="9" s="1"/>
  <c r="AB41" i="9" s="1"/>
  <c r="Y40" i="9"/>
  <c r="AA40" i="9" s="1"/>
  <c r="AB40" i="9" s="1"/>
  <c r="Y39" i="9"/>
  <c r="AA39" i="9" s="1"/>
  <c r="AB39" i="9" s="1"/>
  <c r="Y38" i="9"/>
  <c r="Y72" i="9" l="1"/>
  <c r="AA72" i="9" s="1"/>
  <c r="AB72" i="9" s="1"/>
  <c r="AA38" i="9"/>
  <c r="AB38" i="9" s="1"/>
  <c r="S38" i="8"/>
  <c r="D30" i="8" s="1"/>
  <c r="K46" i="7"/>
  <c r="Z164" i="7"/>
  <c r="Z163" i="7"/>
  <c r="Z162" i="7"/>
  <c r="Z161" i="7"/>
  <c r="Z160" i="7"/>
  <c r="Z159" i="7"/>
  <c r="Z158" i="7"/>
  <c r="Z157" i="7"/>
  <c r="Z155" i="7"/>
  <c r="Z154" i="7"/>
  <c r="Z153" i="7"/>
  <c r="Z152" i="7"/>
  <c r="Z151" i="7"/>
  <c r="Z150" i="7"/>
  <c r="Z149" i="7"/>
  <c r="Z148" i="7"/>
  <c r="Z147" i="7"/>
  <c r="Z146" i="7"/>
  <c r="Z145" i="7"/>
  <c r="Z144" i="7"/>
  <c r="Z143" i="7"/>
  <c r="Z142" i="7"/>
  <c r="Z141" i="7"/>
  <c r="Z140" i="7"/>
  <c r="Z139" i="7"/>
  <c r="Z138" i="7"/>
  <c r="Z137" i="7"/>
  <c r="Z136" i="7"/>
  <c r="Z135" i="7"/>
  <c r="Z134" i="7"/>
  <c r="Z133" i="7"/>
  <c r="Z132" i="7"/>
  <c r="Z131" i="7"/>
  <c r="Z130" i="7"/>
  <c r="Z129" i="7"/>
  <c r="Z128" i="7"/>
  <c r="Z127" i="7"/>
  <c r="Z126" i="7"/>
  <c r="Z125" i="7"/>
  <c r="Z124" i="7"/>
  <c r="Z123" i="7"/>
  <c r="Z122" i="7"/>
  <c r="Z121" i="7"/>
  <c r="Z120" i="7"/>
  <c r="Z119" i="7"/>
  <c r="Z118" i="7"/>
  <c r="Z117" i="7"/>
  <c r="Z116" i="7"/>
  <c r="Z115" i="7"/>
  <c r="Z114" i="7"/>
  <c r="Z113" i="7"/>
  <c r="Z112" i="7"/>
  <c r="Z111" i="7"/>
  <c r="Z110" i="7"/>
  <c r="Z109" i="7"/>
  <c r="Z108" i="7"/>
  <c r="Z107" i="7"/>
  <c r="Z106" i="7"/>
  <c r="Z105" i="7"/>
  <c r="Z104" i="7"/>
  <c r="Z103" i="7"/>
  <c r="Z102" i="7"/>
  <c r="Z101" i="7"/>
  <c r="Z100" i="7"/>
  <c r="Z99" i="7"/>
  <c r="Z98" i="7"/>
  <c r="Z97" i="7"/>
  <c r="Z96" i="7"/>
  <c r="Z95" i="7"/>
  <c r="Z94" i="7"/>
  <c r="Z93" i="7"/>
  <c r="Z92" i="7"/>
  <c r="Z91" i="7"/>
  <c r="Z90" i="7"/>
  <c r="Z89" i="7"/>
  <c r="Z88" i="7"/>
  <c r="Y165" i="7"/>
  <c r="X165" i="7"/>
  <c r="W165" i="7"/>
  <c r="Z165" i="7" l="1"/>
  <c r="D27" i="9"/>
  <c r="D28" i="9" s="1"/>
  <c r="E28" i="9" s="1"/>
  <c r="D29" i="9" l="1"/>
  <c r="C35" i="7"/>
  <c r="A2" i="4" l="1"/>
  <c r="A2" i="9"/>
  <c r="A2" i="8"/>
  <c r="A2" i="7"/>
  <c r="A2" i="6"/>
  <c r="A2" i="5"/>
  <c r="A2" i="1"/>
  <c r="AC259" i="4"/>
  <c r="AB259" i="4"/>
  <c r="W222" i="4"/>
  <c r="W221" i="4"/>
  <c r="W220" i="4"/>
  <c r="W219" i="4"/>
  <c r="W218" i="4"/>
  <c r="W217" i="4"/>
  <c r="W213" i="4"/>
  <c r="W212" i="4"/>
  <c r="W211" i="4"/>
  <c r="W210" i="4"/>
  <c r="W209" i="4"/>
  <c r="W208" i="4"/>
  <c r="W207" i="4"/>
  <c r="W206" i="4"/>
  <c r="W205" i="4"/>
  <c r="W204" i="4"/>
  <c r="W203" i="4"/>
  <c r="W202" i="4"/>
  <c r="W201" i="4"/>
  <c r="W200" i="4"/>
  <c r="W199" i="4"/>
  <c r="W198" i="4"/>
  <c r="W197" i="4"/>
  <c r="W196" i="4"/>
  <c r="W195" i="4"/>
  <c r="W194" i="4"/>
  <c r="W193" i="4"/>
  <c r="W192" i="4"/>
  <c r="W191" i="4"/>
  <c r="W190" i="4"/>
  <c r="W189" i="4"/>
  <c r="W188" i="4"/>
  <c r="W187" i="4"/>
  <c r="W186" i="4"/>
  <c r="W185" i="4"/>
  <c r="W184" i="4"/>
  <c r="W183" i="4"/>
  <c r="W182" i="4"/>
  <c r="W181" i="4"/>
  <c r="W180" i="4"/>
  <c r="W179" i="4"/>
  <c r="W178" i="4"/>
  <c r="W177" i="4"/>
  <c r="W176" i="4"/>
  <c r="W175" i="4"/>
  <c r="W174" i="4"/>
  <c r="W173" i="4"/>
  <c r="W172" i="4"/>
  <c r="W171" i="4"/>
  <c r="W170" i="4"/>
  <c r="W169" i="4"/>
  <c r="W168" i="4"/>
  <c r="W167" i="4"/>
  <c r="W166" i="4"/>
  <c r="W165" i="4"/>
  <c r="W164" i="4"/>
  <c r="W163" i="4"/>
  <c r="W162" i="4"/>
  <c r="W161" i="4"/>
  <c r="W160" i="4"/>
  <c r="W159" i="4"/>
  <c r="W158" i="4"/>
  <c r="W157" i="4"/>
  <c r="W156" i="4"/>
  <c r="W155" i="4"/>
  <c r="W154" i="4"/>
  <c r="W153" i="4"/>
  <c r="W152" i="4"/>
  <c r="W151" i="4"/>
  <c r="W150" i="4"/>
  <c r="W149" i="4"/>
  <c r="W148" i="4"/>
  <c r="W147" i="4"/>
  <c r="W146" i="4"/>
  <c r="W145" i="4"/>
  <c r="W144" i="4"/>
  <c r="W143" i="4"/>
  <c r="W142" i="4"/>
  <c r="W141" i="4"/>
  <c r="W140" i="4"/>
  <c r="W139" i="4"/>
  <c r="W138" i="4"/>
  <c r="W137" i="4"/>
  <c r="W136" i="4"/>
  <c r="W134" i="4"/>
  <c r="W133" i="4"/>
  <c r="W132" i="4"/>
  <c r="W131" i="4"/>
  <c r="W130" i="4"/>
  <c r="W129" i="4"/>
  <c r="W127" i="4"/>
  <c r="W126" i="4"/>
  <c r="W125" i="4"/>
  <c r="W124" i="4"/>
  <c r="W123" i="4"/>
  <c r="W122" i="4"/>
  <c r="W121" i="4"/>
  <c r="W120" i="4"/>
  <c r="W119" i="4"/>
  <c r="W117" i="4"/>
  <c r="W116" i="4"/>
  <c r="W115" i="4"/>
  <c r="W114" i="4"/>
  <c r="W113" i="4"/>
  <c r="W112" i="4"/>
  <c r="W111" i="4"/>
  <c r="W110" i="4"/>
  <c r="W109" i="4"/>
  <c r="W108" i="4"/>
  <c r="W107" i="4"/>
  <c r="W106" i="4"/>
  <c r="W105" i="4"/>
  <c r="W104" i="4"/>
  <c r="W103" i="4"/>
  <c r="W102" i="4"/>
  <c r="W101" i="4"/>
  <c r="W100" i="4"/>
  <c r="W98" i="4"/>
  <c r="W96" i="4"/>
  <c r="W95" i="4"/>
  <c r="W93" i="4"/>
  <c r="W90" i="4"/>
  <c r="W89" i="4"/>
  <c r="W88" i="4"/>
  <c r="W87" i="4"/>
  <c r="W86" i="4"/>
  <c r="W85" i="4"/>
  <c r="W84" i="4"/>
  <c r="W83" i="4"/>
  <c r="W82" i="4"/>
  <c r="W81" i="4"/>
  <c r="W80" i="4"/>
  <c r="W79" i="4"/>
  <c r="W78" i="4"/>
  <c r="W77" i="4"/>
  <c r="W76" i="4"/>
  <c r="W75" i="4"/>
  <c r="W74" i="4"/>
  <c r="W73" i="4"/>
  <c r="W72" i="4"/>
  <c r="W71" i="4"/>
  <c r="W69" i="4"/>
  <c r="W68" i="4"/>
  <c r="W67" i="4"/>
  <c r="W216" i="4"/>
  <c r="E453" i="4"/>
  <c r="AC258" i="4" s="1"/>
  <c r="K334" i="4" l="1"/>
  <c r="W97" i="4"/>
  <c r="W135" i="4"/>
  <c r="W99" i="4"/>
  <c r="W128" i="4"/>
  <c r="W91" i="4"/>
  <c r="W214" i="4"/>
  <c r="W92" i="4" l="1"/>
  <c r="W118" i="4"/>
  <c r="W215" i="4"/>
  <c r="W257" i="4" l="1"/>
  <c r="D29" i="4" l="1"/>
  <c r="L334" i="4"/>
  <c r="Y75" i="6" l="1"/>
  <c r="Y74" i="6"/>
  <c r="Y72" i="6"/>
  <c r="Y70" i="6"/>
  <c r="Y71" i="6"/>
  <c r="Y69" i="6"/>
  <c r="Y68" i="6"/>
  <c r="Y54" i="6"/>
  <c r="Y56" i="6"/>
  <c r="Y52" i="6"/>
  <c r="Y53" i="6"/>
  <c r="Y59" i="6"/>
  <c r="Y67" i="6"/>
  <c r="Y50" i="6"/>
  <c r="Y58" i="6"/>
  <c r="Y62" i="6"/>
  <c r="Y66" i="6"/>
  <c r="Y49" i="6"/>
  <c r="Y57" i="6"/>
  <c r="Y61" i="6"/>
  <c r="Y55" i="6"/>
  <c r="Y63" i="6"/>
  <c r="Y51" i="6"/>
  <c r="Y60" i="6"/>
  <c r="Y64" i="6"/>
  <c r="Y65" i="6"/>
  <c r="Y47" i="6"/>
  <c r="Y46" i="6"/>
  <c r="Y73" i="6" l="1"/>
  <c r="Y48" i="6"/>
  <c r="Y76" i="6"/>
  <c r="D34" i="6" l="1"/>
  <c r="G141" i="1"/>
  <c r="H124" i="1"/>
  <c r="O124" i="1" s="1"/>
  <c r="H129" i="1"/>
  <c r="D75" i="7" l="1"/>
  <c r="C182" i="1"/>
  <c r="E179" i="1"/>
  <c r="E178" i="1"/>
  <c r="E204" i="7" l="1"/>
  <c r="C206" i="7" l="1"/>
  <c r="F109" i="1"/>
  <c r="D181" i="7" l="1"/>
  <c r="B181" i="7"/>
  <c r="E58" i="7" s="1"/>
  <c r="P48" i="6"/>
  <c r="P76" i="6"/>
  <c r="P73" i="6"/>
  <c r="F48" i="6"/>
  <c r="C181" i="7" l="1"/>
  <c r="E181" i="7" s="1"/>
  <c r="D46" i="7"/>
  <c r="P77" i="6"/>
  <c r="O125" i="1" l="1"/>
  <c r="L76" i="6" l="1"/>
  <c r="K76" i="6"/>
  <c r="J76" i="6"/>
  <c r="I76" i="6"/>
  <c r="H76" i="6"/>
  <c r="G76" i="6"/>
  <c r="F76" i="6"/>
  <c r="E76" i="6"/>
  <c r="D76" i="6"/>
  <c r="L73" i="6"/>
  <c r="K73" i="6"/>
  <c r="J73" i="6"/>
  <c r="I73" i="6"/>
  <c r="H73" i="6"/>
  <c r="G73" i="6"/>
  <c r="F73" i="6"/>
  <c r="E73" i="6"/>
  <c r="D73" i="6"/>
  <c r="L48" i="6"/>
  <c r="K48" i="6"/>
  <c r="J48" i="6"/>
  <c r="I48" i="6"/>
  <c r="H48" i="6"/>
  <c r="G48" i="6"/>
  <c r="E48" i="6"/>
  <c r="D48" i="6"/>
  <c r="R165" i="7" l="1"/>
  <c r="R164" i="7"/>
  <c r="R162" i="7"/>
  <c r="R161" i="7"/>
  <c r="R160" i="7"/>
  <c r="R159" i="7"/>
  <c r="R157" i="7"/>
  <c r="R156" i="7"/>
  <c r="R154" i="7"/>
  <c r="R153" i="7"/>
  <c r="R152" i="7"/>
  <c r="R150" i="7"/>
  <c r="R149" i="7"/>
  <c r="R147" i="7"/>
  <c r="R146" i="7"/>
  <c r="R145" i="7"/>
  <c r="R144" i="7"/>
  <c r="R143" i="7"/>
  <c r="R142" i="7"/>
  <c r="R141" i="7"/>
  <c r="R140" i="7"/>
  <c r="R137" i="7"/>
  <c r="R135" i="7"/>
  <c r="R133" i="7"/>
  <c r="R132" i="7"/>
  <c r="R130" i="7"/>
  <c r="R129" i="7"/>
  <c r="R128" i="7"/>
  <c r="R127" i="7"/>
  <c r="R126" i="7"/>
  <c r="R125" i="7"/>
  <c r="R124" i="7"/>
  <c r="R123" i="7"/>
  <c r="R122" i="7"/>
  <c r="R121" i="7"/>
  <c r="R120" i="7"/>
  <c r="R119" i="7"/>
  <c r="R118" i="7"/>
  <c r="R117" i="7"/>
  <c r="R116" i="7"/>
  <c r="R115" i="7"/>
  <c r="R114" i="7"/>
  <c r="R113" i="7"/>
  <c r="R112" i="7"/>
  <c r="R111" i="7"/>
  <c r="R110" i="7"/>
  <c r="R109" i="7"/>
  <c r="R108" i="7"/>
  <c r="R107" i="7"/>
  <c r="R106" i="7"/>
  <c r="R105" i="7"/>
  <c r="R104" i="7"/>
  <c r="R103" i="7"/>
  <c r="R102" i="7"/>
  <c r="R101" i="7"/>
  <c r="R100" i="7"/>
  <c r="R99" i="7"/>
  <c r="R98" i="7"/>
  <c r="R97" i="7"/>
  <c r="R96" i="7"/>
  <c r="R95" i="7"/>
  <c r="R94" i="7"/>
  <c r="R93" i="7"/>
  <c r="R92" i="7"/>
  <c r="R91" i="7"/>
  <c r="R90" i="7"/>
  <c r="R89" i="7"/>
  <c r="R88" i="7"/>
  <c r="O129" i="1" l="1"/>
  <c r="M222" i="4" l="1"/>
  <c r="Z222" i="4" s="1"/>
  <c r="M221" i="4"/>
  <c r="Z221" i="4" s="1"/>
  <c r="M220" i="4"/>
  <c r="Z220" i="4" s="1"/>
  <c r="M219" i="4"/>
  <c r="Z219" i="4" s="1"/>
  <c r="M218" i="4"/>
  <c r="Z218" i="4" s="1"/>
  <c r="M217" i="4"/>
  <c r="Z217" i="4" s="1"/>
  <c r="M216" i="4"/>
  <c r="Z216" i="4" s="1"/>
  <c r="M213" i="4"/>
  <c r="Z213" i="4" s="1"/>
  <c r="M212" i="4"/>
  <c r="Z212" i="4" s="1"/>
  <c r="M211" i="4"/>
  <c r="Z211" i="4" s="1"/>
  <c r="M210" i="4"/>
  <c r="Z210" i="4" s="1"/>
  <c r="M209" i="4"/>
  <c r="Z209" i="4" s="1"/>
  <c r="M208" i="4"/>
  <c r="Z208" i="4" s="1"/>
  <c r="M207" i="4"/>
  <c r="Z207" i="4" s="1"/>
  <c r="M206" i="4"/>
  <c r="Z206" i="4" s="1"/>
  <c r="M205" i="4"/>
  <c r="Z205" i="4" s="1"/>
  <c r="M204" i="4"/>
  <c r="Z204" i="4" s="1"/>
  <c r="M203" i="4"/>
  <c r="Z203" i="4" s="1"/>
  <c r="M202" i="4"/>
  <c r="Z202" i="4" s="1"/>
  <c r="M201" i="4"/>
  <c r="Z201" i="4" s="1"/>
  <c r="M200" i="4"/>
  <c r="Z200" i="4" s="1"/>
  <c r="M199" i="4"/>
  <c r="Z199" i="4" s="1"/>
  <c r="M198" i="4"/>
  <c r="Z198" i="4" s="1"/>
  <c r="M197" i="4"/>
  <c r="Z197" i="4" s="1"/>
  <c r="M196" i="4"/>
  <c r="Z196" i="4" s="1"/>
  <c r="M195" i="4"/>
  <c r="Z195" i="4" s="1"/>
  <c r="M194" i="4"/>
  <c r="Z194" i="4" s="1"/>
  <c r="M193" i="4"/>
  <c r="Z193" i="4" s="1"/>
  <c r="M192" i="4"/>
  <c r="Z192" i="4" s="1"/>
  <c r="M191" i="4"/>
  <c r="Z191" i="4" s="1"/>
  <c r="M190" i="4"/>
  <c r="Z190" i="4" s="1"/>
  <c r="M189" i="4"/>
  <c r="Z189" i="4" s="1"/>
  <c r="M188" i="4"/>
  <c r="Z188" i="4" s="1"/>
  <c r="M187" i="4"/>
  <c r="Z187" i="4" s="1"/>
  <c r="M186" i="4"/>
  <c r="Z186" i="4" s="1"/>
  <c r="M185" i="4"/>
  <c r="Z185" i="4" s="1"/>
  <c r="M184" i="4"/>
  <c r="Z184" i="4" s="1"/>
  <c r="M183" i="4"/>
  <c r="Z183" i="4" s="1"/>
  <c r="M182" i="4"/>
  <c r="Z182" i="4" s="1"/>
  <c r="M181" i="4"/>
  <c r="Z181" i="4" s="1"/>
  <c r="M180" i="4"/>
  <c r="Z180" i="4" s="1"/>
  <c r="M179" i="4"/>
  <c r="Z179" i="4" s="1"/>
  <c r="M178" i="4"/>
  <c r="Z178" i="4" s="1"/>
  <c r="M177" i="4"/>
  <c r="Z177" i="4" s="1"/>
  <c r="M176" i="4"/>
  <c r="Z176" i="4" s="1"/>
  <c r="M175" i="4"/>
  <c r="Z175" i="4" s="1"/>
  <c r="M174" i="4"/>
  <c r="Z174" i="4" s="1"/>
  <c r="M173" i="4"/>
  <c r="Z173" i="4" s="1"/>
  <c r="M172" i="4"/>
  <c r="Z172" i="4" s="1"/>
  <c r="M171" i="4"/>
  <c r="Z171" i="4" s="1"/>
  <c r="M170" i="4"/>
  <c r="Z170" i="4" s="1"/>
  <c r="M169" i="4"/>
  <c r="Z169" i="4" s="1"/>
  <c r="M168" i="4"/>
  <c r="Z168" i="4" s="1"/>
  <c r="M167" i="4"/>
  <c r="Z167" i="4" s="1"/>
  <c r="M166" i="4"/>
  <c r="Z166" i="4" s="1"/>
  <c r="M165" i="4"/>
  <c r="Z165" i="4" s="1"/>
  <c r="M164" i="4"/>
  <c r="Z164" i="4" s="1"/>
  <c r="M163" i="4"/>
  <c r="Z163" i="4" s="1"/>
  <c r="M162" i="4"/>
  <c r="Z162" i="4" s="1"/>
  <c r="M161" i="4"/>
  <c r="M159" i="4"/>
  <c r="Z159" i="4" s="1"/>
  <c r="M158" i="4"/>
  <c r="Z158" i="4" s="1"/>
  <c r="M157" i="4"/>
  <c r="Z157" i="4" s="1"/>
  <c r="M156" i="4"/>
  <c r="Z156" i="4" s="1"/>
  <c r="M155" i="4"/>
  <c r="Z155" i="4" s="1"/>
  <c r="M154" i="4"/>
  <c r="M152" i="4"/>
  <c r="M150" i="4"/>
  <c r="Z150" i="4" s="1"/>
  <c r="M149" i="4"/>
  <c r="Z149" i="4" s="1"/>
  <c r="M148" i="4"/>
  <c r="Z148" i="4" s="1"/>
  <c r="M147" i="4"/>
  <c r="Z147" i="4" s="1"/>
  <c r="M146" i="4"/>
  <c r="Z146" i="4" s="1"/>
  <c r="M145" i="4"/>
  <c r="Z145" i="4" s="1"/>
  <c r="M144" i="4"/>
  <c r="M142" i="4"/>
  <c r="Z142" i="4" s="1"/>
  <c r="M141" i="4"/>
  <c r="Z141" i="4" s="1"/>
  <c r="M140" i="4"/>
  <c r="Z140" i="4" s="1"/>
  <c r="M139" i="4"/>
  <c r="M137" i="4"/>
  <c r="Z137" i="4" s="1"/>
  <c r="M136" i="4"/>
  <c r="Z136" i="4" s="1"/>
  <c r="M134" i="4"/>
  <c r="Z134" i="4" s="1"/>
  <c r="M133" i="4"/>
  <c r="Z133" i="4" s="1"/>
  <c r="M132" i="4"/>
  <c r="Z132" i="4" s="1"/>
  <c r="M131" i="4"/>
  <c r="Z131" i="4" s="1"/>
  <c r="M130" i="4"/>
  <c r="Z130" i="4" s="1"/>
  <c r="M129" i="4"/>
  <c r="Z129" i="4" s="1"/>
  <c r="M127" i="4"/>
  <c r="M125" i="4"/>
  <c r="Z125" i="4" s="1"/>
  <c r="M124" i="4"/>
  <c r="Z124" i="4" s="1"/>
  <c r="M123" i="4"/>
  <c r="Z123" i="4" s="1"/>
  <c r="M122" i="4"/>
  <c r="Z122" i="4" s="1"/>
  <c r="M121" i="4"/>
  <c r="Z121" i="4" s="1"/>
  <c r="M120" i="4"/>
  <c r="Z120" i="4" s="1"/>
  <c r="M119" i="4"/>
  <c r="Z119" i="4" s="1"/>
  <c r="M117" i="4"/>
  <c r="Z117" i="4" s="1"/>
  <c r="M116" i="4"/>
  <c r="Z116" i="4" s="1"/>
  <c r="M115" i="4"/>
  <c r="Z115" i="4" s="1"/>
  <c r="M114" i="4"/>
  <c r="Z114" i="4" s="1"/>
  <c r="M113" i="4"/>
  <c r="Z113" i="4" s="1"/>
  <c r="M112" i="4"/>
  <c r="Z112" i="4" s="1"/>
  <c r="M111" i="4"/>
  <c r="Z111" i="4" s="1"/>
  <c r="M110" i="4"/>
  <c r="Z110" i="4" s="1"/>
  <c r="M109" i="4"/>
  <c r="Z109" i="4" s="1"/>
  <c r="M108" i="4"/>
  <c r="Z108" i="4" s="1"/>
  <c r="M107" i="4"/>
  <c r="Z107" i="4" s="1"/>
  <c r="M106" i="4"/>
  <c r="Z106" i="4" s="1"/>
  <c r="M105" i="4"/>
  <c r="M103" i="4"/>
  <c r="Z103" i="4" s="1"/>
  <c r="M102" i="4"/>
  <c r="M100" i="4"/>
  <c r="Z100" i="4" s="1"/>
  <c r="M98" i="4"/>
  <c r="Z98" i="4" s="1"/>
  <c r="M96" i="4"/>
  <c r="M93" i="4"/>
  <c r="Z93" i="4" s="1"/>
  <c r="M90" i="4"/>
  <c r="Z90" i="4" s="1"/>
  <c r="M89" i="4"/>
  <c r="Z89" i="4" s="1"/>
  <c r="M88" i="4"/>
  <c r="Z88" i="4" s="1"/>
  <c r="M87" i="4"/>
  <c r="Z87" i="4" s="1"/>
  <c r="M86" i="4"/>
  <c r="Z86" i="4" s="1"/>
  <c r="M85" i="4"/>
  <c r="Z85" i="4" s="1"/>
  <c r="M84" i="4"/>
  <c r="Z84" i="4" s="1"/>
  <c r="M83" i="4"/>
  <c r="Z83" i="4" s="1"/>
  <c r="M82" i="4"/>
  <c r="Z82" i="4" s="1"/>
  <c r="M81" i="4"/>
  <c r="Z81" i="4" s="1"/>
  <c r="M80" i="4"/>
  <c r="Z80" i="4" s="1"/>
  <c r="M79" i="4"/>
  <c r="Z79" i="4" s="1"/>
  <c r="M78" i="4"/>
  <c r="Z78" i="4" s="1"/>
  <c r="M77" i="4"/>
  <c r="Z77" i="4" s="1"/>
  <c r="M76" i="4"/>
  <c r="Z76" i="4" s="1"/>
  <c r="M75" i="4"/>
  <c r="Z75" i="4" s="1"/>
  <c r="M74" i="4"/>
  <c r="Z74" i="4" s="1"/>
  <c r="M73" i="4"/>
  <c r="Z73" i="4" s="1"/>
  <c r="M72" i="4"/>
  <c r="Z72" i="4" s="1"/>
  <c r="M71" i="4"/>
  <c r="M69" i="4"/>
  <c r="Z69" i="4" s="1"/>
  <c r="M67" i="4"/>
  <c r="M68" i="4"/>
  <c r="Z68" i="4" s="1"/>
  <c r="Z67" i="4" l="1"/>
  <c r="M70" i="4"/>
  <c r="Z70" i="4" s="1"/>
  <c r="Z154" i="4"/>
  <c r="M160" i="4"/>
  <c r="Z160" i="4" s="1"/>
  <c r="Z96" i="4"/>
  <c r="Z102" i="4"/>
  <c r="M104" i="4"/>
  <c r="Z104" i="4" s="1"/>
  <c r="Z127" i="4"/>
  <c r="Z161" i="4"/>
  <c r="Z139" i="4"/>
  <c r="M143" i="4"/>
  <c r="Z143" i="4" s="1"/>
  <c r="Z71" i="4"/>
  <c r="Z105" i="4"/>
  <c r="Z144" i="4"/>
  <c r="M151" i="4"/>
  <c r="Z151" i="4" s="1"/>
  <c r="Z152" i="4"/>
  <c r="M153" i="4"/>
  <c r="Z153" i="4" s="1"/>
  <c r="M135" i="4"/>
  <c r="Z135" i="4" s="1"/>
  <c r="M99" i="4"/>
  <c r="Z99" i="4" s="1"/>
  <c r="Z223" i="4"/>
  <c r="M118" i="4"/>
  <c r="Z118" i="4" s="1"/>
  <c r="M91" i="4"/>
  <c r="Z91" i="4" s="1"/>
  <c r="M128" i="4"/>
  <c r="Z128" i="4" s="1"/>
  <c r="M97" i="4"/>
  <c r="Z97" i="4" s="1"/>
  <c r="M214" i="4"/>
  <c r="Z214" i="4" s="1"/>
  <c r="F48" i="8"/>
  <c r="M126" i="4" l="1"/>
  <c r="Z126" i="4" s="1"/>
  <c r="M101" i="4"/>
  <c r="Z101" i="4" s="1"/>
  <c r="M138" i="4"/>
  <c r="Z138" i="4" s="1"/>
  <c r="M92" i="4"/>
  <c r="M257" i="4"/>
  <c r="M215" i="4"/>
  <c r="E72" i="9"/>
  <c r="D72" i="9"/>
  <c r="M42" i="9"/>
  <c r="AD42" i="9" s="1"/>
  <c r="C48" i="8"/>
  <c r="D29" i="8" s="1"/>
  <c r="D31" i="8" s="1"/>
  <c r="E31" i="8" s="1"/>
  <c r="C49" i="8"/>
  <c r="G329" i="7"/>
  <c r="C46" i="7"/>
  <c r="Q64" i="6"/>
  <c r="D330" i="7" l="1"/>
  <c r="C331" i="7"/>
  <c r="Z92" i="4"/>
  <c r="M94" i="4"/>
  <c r="Z215" i="4"/>
  <c r="M247" i="4"/>
  <c r="D30" i="4"/>
  <c r="E30" i="4" s="1"/>
  <c r="M259" i="4"/>
  <c r="Z257" i="4"/>
  <c r="Z259" i="4" s="1"/>
  <c r="D32" i="8"/>
  <c r="E32" i="8" s="1"/>
  <c r="D31" i="4" l="1"/>
  <c r="E31" i="4" s="1"/>
  <c r="M248" i="4"/>
  <c r="Z247" i="4"/>
  <c r="M95" i="4"/>
  <c r="Z95" i="4" s="1"/>
  <c r="Z94" i="4"/>
  <c r="M249" i="4" l="1"/>
  <c r="Z249" i="4" s="1"/>
  <c r="Z248" i="4"/>
  <c r="Y121" i="1"/>
  <c r="Y127" i="1"/>
  <c r="V121" i="1"/>
  <c r="U120" i="1"/>
  <c r="E4" i="1" l="1"/>
  <c r="Z66" i="1" s="1"/>
  <c r="Z72" i="1" l="1"/>
  <c r="Z62" i="1"/>
  <c r="Z71" i="1"/>
  <c r="Z65" i="1"/>
  <c r="Z61" i="1"/>
  <c r="Z64" i="1"/>
  <c r="Z69" i="1"/>
  <c r="Z68" i="1"/>
  <c r="E5" i="1"/>
  <c r="E6" i="1"/>
  <c r="L72" i="9"/>
  <c r="K55" i="7"/>
  <c r="D180" i="1" l="1"/>
  <c r="E180" i="1" l="1"/>
  <c r="C183" i="1" s="1"/>
  <c r="H141" i="1" s="1"/>
  <c r="I64" i="7" l="1"/>
  <c r="J64" i="7" s="1"/>
  <c r="I63" i="7"/>
  <c r="I61" i="7"/>
  <c r="J61" i="7" s="1"/>
  <c r="I60" i="7"/>
  <c r="J60" i="7" s="1"/>
  <c r="I59" i="7"/>
  <c r="J59" i="7" s="1"/>
  <c r="I58" i="7"/>
  <c r="J58" i="7" s="1"/>
  <c r="I57" i="7"/>
  <c r="J57" i="7" s="1"/>
  <c r="I56" i="7"/>
  <c r="J56" i="7" s="1"/>
  <c r="I55" i="7"/>
  <c r="C207" i="7" s="1"/>
  <c r="N166" i="7" l="1"/>
  <c r="J55" i="7"/>
  <c r="J63" i="7"/>
  <c r="F2" i="1"/>
  <c r="F4" i="1" s="1"/>
  <c r="F5" i="1" l="1"/>
  <c r="F6" i="1"/>
  <c r="N89" i="7"/>
  <c r="G330" i="7" s="1"/>
  <c r="K170" i="7"/>
  <c r="G170" i="7"/>
  <c r="AA89" i="7" l="1"/>
  <c r="AB89" i="7" s="1"/>
  <c r="AC89" i="7" s="1"/>
  <c r="AE89" i="7"/>
  <c r="G353" i="7" s="1"/>
  <c r="T89" i="7"/>
  <c r="M71" i="9" l="1"/>
  <c r="AD71" i="9" s="1"/>
  <c r="M70" i="9"/>
  <c r="AD70" i="9" s="1"/>
  <c r="M69" i="9"/>
  <c r="AD69" i="9" s="1"/>
  <c r="M68" i="9"/>
  <c r="AD68" i="9" s="1"/>
  <c r="M67" i="9"/>
  <c r="AD67" i="9" s="1"/>
  <c r="M66" i="9"/>
  <c r="AD66" i="9" s="1"/>
  <c r="M65" i="9"/>
  <c r="AD65" i="9" s="1"/>
  <c r="M64" i="9"/>
  <c r="AD64" i="9" s="1"/>
  <c r="M63" i="9"/>
  <c r="AD63" i="9" s="1"/>
  <c r="M62" i="9"/>
  <c r="AD62" i="9" s="1"/>
  <c r="M61" i="9"/>
  <c r="AD61" i="9" s="1"/>
  <c r="M60" i="9"/>
  <c r="AD60" i="9" s="1"/>
  <c r="M59" i="9"/>
  <c r="AD59" i="9" s="1"/>
  <c r="M58" i="9"/>
  <c r="AD58" i="9" s="1"/>
  <c r="M57" i="9"/>
  <c r="AD57" i="9" s="1"/>
  <c r="M56" i="9"/>
  <c r="AD56" i="9" s="1"/>
  <c r="M55" i="9"/>
  <c r="AD55" i="9" s="1"/>
  <c r="M54" i="9"/>
  <c r="AD54" i="9" s="1"/>
  <c r="M53" i="9"/>
  <c r="AD53" i="9" s="1"/>
  <c r="M52" i="9"/>
  <c r="AD52" i="9" s="1"/>
  <c r="M51" i="9"/>
  <c r="AD51" i="9" s="1"/>
  <c r="M50" i="9"/>
  <c r="AD50" i="9" s="1"/>
  <c r="M49" i="9"/>
  <c r="AD49" i="9" s="1"/>
  <c r="M48" i="9"/>
  <c r="AD48" i="9" s="1"/>
  <c r="M47" i="9"/>
  <c r="AD47" i="9" s="1"/>
  <c r="M46" i="9"/>
  <c r="AD46" i="9" s="1"/>
  <c r="M45" i="9"/>
  <c r="AD45" i="9" s="1"/>
  <c r="M44" i="9"/>
  <c r="AD44" i="9" s="1"/>
  <c r="M43" i="9"/>
  <c r="AD43" i="9" s="1"/>
  <c r="M41" i="9"/>
  <c r="AD41" i="9" s="1"/>
  <c r="M40" i="9"/>
  <c r="AD40" i="9" s="1"/>
  <c r="M39" i="9"/>
  <c r="AD39" i="9" s="1"/>
  <c r="M38" i="9"/>
  <c r="AD38" i="9" s="1"/>
  <c r="N164" i="7"/>
  <c r="N163" i="7"/>
  <c r="N162" i="7"/>
  <c r="N161" i="7"/>
  <c r="N160" i="7"/>
  <c r="N159" i="7"/>
  <c r="N158" i="7"/>
  <c r="N157" i="7"/>
  <c r="N156" i="7"/>
  <c r="N155" i="7"/>
  <c r="N154" i="7"/>
  <c r="N153" i="7"/>
  <c r="N152" i="7"/>
  <c r="N151" i="7"/>
  <c r="N150" i="7"/>
  <c r="N149" i="7"/>
  <c r="N148" i="7"/>
  <c r="N147" i="7"/>
  <c r="N146" i="7"/>
  <c r="N145" i="7"/>
  <c r="N144" i="7"/>
  <c r="N143" i="7"/>
  <c r="N142" i="7"/>
  <c r="N141" i="7"/>
  <c r="N140" i="7"/>
  <c r="N139" i="7"/>
  <c r="N138" i="7"/>
  <c r="N137" i="7"/>
  <c r="N136" i="7"/>
  <c r="N135" i="7"/>
  <c r="N134" i="7"/>
  <c r="N133" i="7"/>
  <c r="N132" i="7"/>
  <c r="N131" i="7"/>
  <c r="N130" i="7"/>
  <c r="N129" i="7"/>
  <c r="N128" i="7"/>
  <c r="N127" i="7"/>
  <c r="N126" i="7"/>
  <c r="N125" i="7"/>
  <c r="N124" i="7"/>
  <c r="N123" i="7"/>
  <c r="N122" i="7"/>
  <c r="N121" i="7"/>
  <c r="N120" i="7"/>
  <c r="N119" i="7"/>
  <c r="N118" i="7"/>
  <c r="N117" i="7"/>
  <c r="N116" i="7"/>
  <c r="N115" i="7"/>
  <c r="N114" i="7"/>
  <c r="N113" i="7"/>
  <c r="N112" i="7"/>
  <c r="N111" i="7"/>
  <c r="N110" i="7"/>
  <c r="N109" i="7"/>
  <c r="N108" i="7"/>
  <c r="N107" i="7"/>
  <c r="N106" i="7"/>
  <c r="N105" i="7"/>
  <c r="N104" i="7"/>
  <c r="N103" i="7"/>
  <c r="N102" i="7"/>
  <c r="N101" i="7"/>
  <c r="N100" i="7"/>
  <c r="N99" i="7"/>
  <c r="N98" i="7"/>
  <c r="N97" i="7"/>
  <c r="N96" i="7"/>
  <c r="N95" i="7"/>
  <c r="N94" i="7"/>
  <c r="N93" i="7"/>
  <c r="N92" i="7"/>
  <c r="N91" i="7"/>
  <c r="N90" i="7"/>
  <c r="N88" i="7"/>
  <c r="M38" i="8"/>
  <c r="Q76" i="6"/>
  <c r="Q46" i="6"/>
  <c r="V131" i="1"/>
  <c r="V129" i="1"/>
  <c r="C144" i="1" s="1"/>
  <c r="H144" i="1" s="1"/>
  <c r="V128" i="1"/>
  <c r="V127" i="1"/>
  <c r="V126" i="1"/>
  <c r="C142" i="1" s="1"/>
  <c r="C138" i="1"/>
  <c r="V124" i="1"/>
  <c r="C143" i="1" s="1"/>
  <c r="H143" i="1" s="1"/>
  <c r="V122" i="1"/>
  <c r="C141" i="1"/>
  <c r="U123" i="1"/>
  <c r="P123" i="1"/>
  <c r="P119" i="1" s="1"/>
  <c r="AE88" i="7" l="1"/>
  <c r="AA158" i="7"/>
  <c r="AB158" i="7" s="1"/>
  <c r="AE158" i="7"/>
  <c r="AA162" i="7"/>
  <c r="AB162" i="7" s="1"/>
  <c r="AE162" i="7"/>
  <c r="AA90" i="7"/>
  <c r="AB90" i="7" s="1"/>
  <c r="AC90" i="7" s="1"/>
  <c r="E56" i="7"/>
  <c r="AE90" i="7"/>
  <c r="AA98" i="7"/>
  <c r="AB98" i="7" s="1"/>
  <c r="AC98" i="7" s="1"/>
  <c r="AE98" i="7"/>
  <c r="AA106" i="7"/>
  <c r="AB106" i="7" s="1"/>
  <c r="AC106" i="7" s="1"/>
  <c r="AE106" i="7"/>
  <c r="AA118" i="7"/>
  <c r="AB118" i="7" s="1"/>
  <c r="AC118" i="7" s="1"/>
  <c r="AE118" i="7"/>
  <c r="AA130" i="7"/>
  <c r="AB130" i="7" s="1"/>
  <c r="AC130" i="7" s="1"/>
  <c r="AE130" i="7"/>
  <c r="AA138" i="7"/>
  <c r="AB138" i="7" s="1"/>
  <c r="AC138" i="7" s="1"/>
  <c r="AE138" i="7"/>
  <c r="AA150" i="7"/>
  <c r="AB150" i="7" s="1"/>
  <c r="AE150" i="7"/>
  <c r="AA91" i="7"/>
  <c r="AB91" i="7" s="1"/>
  <c r="AC91" i="7" s="1"/>
  <c r="AE91" i="7"/>
  <c r="AA95" i="7"/>
  <c r="AB95" i="7" s="1"/>
  <c r="AC95" i="7" s="1"/>
  <c r="AE95" i="7"/>
  <c r="AA99" i="7"/>
  <c r="AB99" i="7" s="1"/>
  <c r="AC99" i="7" s="1"/>
  <c r="AE99" i="7"/>
  <c r="AA103" i="7"/>
  <c r="AB103" i="7" s="1"/>
  <c r="AC103" i="7" s="1"/>
  <c r="AE103" i="7"/>
  <c r="AA107" i="7"/>
  <c r="AB107" i="7" s="1"/>
  <c r="AC107" i="7" s="1"/>
  <c r="AE107" i="7"/>
  <c r="AA111" i="7"/>
  <c r="AB111" i="7" s="1"/>
  <c r="AC111" i="7" s="1"/>
  <c r="AE111" i="7"/>
  <c r="AA115" i="7"/>
  <c r="AB115" i="7" s="1"/>
  <c r="AC115" i="7" s="1"/>
  <c r="AE115" i="7"/>
  <c r="AA119" i="7"/>
  <c r="AB119" i="7" s="1"/>
  <c r="AC119" i="7" s="1"/>
  <c r="AE119" i="7"/>
  <c r="AA123" i="7"/>
  <c r="AB123" i="7" s="1"/>
  <c r="AC123" i="7" s="1"/>
  <c r="AE123" i="7"/>
  <c r="AA127" i="7"/>
  <c r="AB127" i="7" s="1"/>
  <c r="AC127" i="7" s="1"/>
  <c r="AE127" i="7"/>
  <c r="AA131" i="7"/>
  <c r="AB131" i="7" s="1"/>
  <c r="AE131" i="7"/>
  <c r="AA135" i="7"/>
  <c r="AB135" i="7" s="1"/>
  <c r="AC135" i="7" s="1"/>
  <c r="AE135" i="7"/>
  <c r="AA139" i="7"/>
  <c r="AB139" i="7" s="1"/>
  <c r="AC139" i="7" s="1"/>
  <c r="AE139" i="7"/>
  <c r="AA143" i="7"/>
  <c r="AB143" i="7" s="1"/>
  <c r="AC143" i="7" s="1"/>
  <c r="AE143" i="7"/>
  <c r="AA147" i="7"/>
  <c r="AB147" i="7" s="1"/>
  <c r="AE147" i="7"/>
  <c r="AA151" i="7"/>
  <c r="AB151" i="7" s="1"/>
  <c r="AC151" i="7" s="1"/>
  <c r="AE151" i="7"/>
  <c r="AA155" i="7"/>
  <c r="AB155" i="7" s="1"/>
  <c r="AC155" i="7" s="1"/>
  <c r="AE155" i="7"/>
  <c r="AA159" i="7"/>
  <c r="AB159" i="7" s="1"/>
  <c r="AE159" i="7"/>
  <c r="AA163" i="7"/>
  <c r="AB163" i="7" s="1"/>
  <c r="AE163" i="7"/>
  <c r="AA94" i="7"/>
  <c r="AB94" i="7" s="1"/>
  <c r="AC94" i="7" s="1"/>
  <c r="AE94" i="7"/>
  <c r="AA102" i="7"/>
  <c r="AB102" i="7" s="1"/>
  <c r="AC102" i="7" s="1"/>
  <c r="AE102" i="7"/>
  <c r="AA110" i="7"/>
  <c r="AB110" i="7" s="1"/>
  <c r="AC110" i="7" s="1"/>
  <c r="AE110" i="7"/>
  <c r="AA122" i="7"/>
  <c r="AB122" i="7" s="1"/>
  <c r="AC122" i="7" s="1"/>
  <c r="AE122" i="7"/>
  <c r="AA134" i="7"/>
  <c r="AB134" i="7" s="1"/>
  <c r="AC134" i="7" s="1"/>
  <c r="AE134" i="7"/>
  <c r="AA142" i="7"/>
  <c r="AB142" i="7" s="1"/>
  <c r="AC142" i="7" s="1"/>
  <c r="AE142" i="7"/>
  <c r="AA154" i="7"/>
  <c r="AB154" i="7" s="1"/>
  <c r="AC154" i="7" s="1"/>
  <c r="AE154" i="7"/>
  <c r="AA96" i="7"/>
  <c r="AB96" i="7" s="1"/>
  <c r="AC96" i="7" s="1"/>
  <c r="AE96" i="7"/>
  <c r="AA100" i="7"/>
  <c r="AB100" i="7" s="1"/>
  <c r="AC100" i="7" s="1"/>
  <c r="AE100" i="7"/>
  <c r="AA104" i="7"/>
  <c r="AB104" i="7" s="1"/>
  <c r="AC104" i="7" s="1"/>
  <c r="AE104" i="7"/>
  <c r="AA108" i="7"/>
  <c r="AB108" i="7" s="1"/>
  <c r="AC108" i="7" s="1"/>
  <c r="AE108" i="7"/>
  <c r="AA112" i="7"/>
  <c r="AB112" i="7" s="1"/>
  <c r="AC112" i="7" s="1"/>
  <c r="AE112" i="7"/>
  <c r="AA116" i="7"/>
  <c r="AB116" i="7" s="1"/>
  <c r="AC116" i="7" s="1"/>
  <c r="AE116" i="7"/>
  <c r="AA120" i="7"/>
  <c r="AB120" i="7" s="1"/>
  <c r="AC120" i="7" s="1"/>
  <c r="AE120" i="7"/>
  <c r="AA124" i="7"/>
  <c r="AB124" i="7" s="1"/>
  <c r="AC124" i="7" s="1"/>
  <c r="AE124" i="7"/>
  <c r="AA128" i="7"/>
  <c r="AB128" i="7" s="1"/>
  <c r="AC128" i="7" s="1"/>
  <c r="AE128" i="7"/>
  <c r="AA132" i="7"/>
  <c r="AB132" i="7" s="1"/>
  <c r="AC132" i="7" s="1"/>
  <c r="AE132" i="7"/>
  <c r="AA136" i="7"/>
  <c r="AB136" i="7" s="1"/>
  <c r="AC136" i="7" s="1"/>
  <c r="AE136" i="7"/>
  <c r="AA140" i="7"/>
  <c r="AB140" i="7" s="1"/>
  <c r="AC140" i="7" s="1"/>
  <c r="AE140" i="7"/>
  <c r="AA144" i="7"/>
  <c r="AB144" i="7" s="1"/>
  <c r="AC144" i="7" s="1"/>
  <c r="AE144" i="7"/>
  <c r="AA148" i="7"/>
  <c r="AB148" i="7" s="1"/>
  <c r="AC148" i="7" s="1"/>
  <c r="AE148" i="7"/>
  <c r="AA152" i="7"/>
  <c r="AB152" i="7" s="1"/>
  <c r="AC152" i="7" s="1"/>
  <c r="AE152" i="7"/>
  <c r="AA156" i="7"/>
  <c r="AB156" i="7" s="1"/>
  <c r="AC156" i="7" s="1"/>
  <c r="AE156" i="7"/>
  <c r="AA160" i="7"/>
  <c r="AB160" i="7" s="1"/>
  <c r="AE160" i="7"/>
  <c r="AA164" i="7"/>
  <c r="AB164" i="7" s="1"/>
  <c r="AC164" i="7" s="1"/>
  <c r="AE164" i="7"/>
  <c r="AA114" i="7"/>
  <c r="AB114" i="7" s="1"/>
  <c r="AC114" i="7" s="1"/>
  <c r="AE114" i="7"/>
  <c r="AA126" i="7"/>
  <c r="AB126" i="7" s="1"/>
  <c r="AC126" i="7" s="1"/>
  <c r="AE126" i="7"/>
  <c r="AA146" i="7"/>
  <c r="AB146" i="7" s="1"/>
  <c r="AC146" i="7" s="1"/>
  <c r="AE146" i="7"/>
  <c r="AA92" i="7"/>
  <c r="AB92" i="7" s="1"/>
  <c r="AC92" i="7" s="1"/>
  <c r="E57" i="7"/>
  <c r="AE92" i="7"/>
  <c r="T88" i="7"/>
  <c r="AA88" i="7"/>
  <c r="AA93" i="7"/>
  <c r="AB93" i="7" s="1"/>
  <c r="AC93" i="7" s="1"/>
  <c r="AE93" i="7"/>
  <c r="AA97" i="7"/>
  <c r="AB97" i="7" s="1"/>
  <c r="AC97" i="7" s="1"/>
  <c r="AE97" i="7"/>
  <c r="AA101" i="7"/>
  <c r="AB101" i="7" s="1"/>
  <c r="AC101" i="7" s="1"/>
  <c r="AE101" i="7"/>
  <c r="AA105" i="7"/>
  <c r="AB105" i="7" s="1"/>
  <c r="AC105" i="7" s="1"/>
  <c r="AE105" i="7"/>
  <c r="AA109" i="7"/>
  <c r="AB109" i="7" s="1"/>
  <c r="AC109" i="7" s="1"/>
  <c r="AE109" i="7"/>
  <c r="AA113" i="7"/>
  <c r="AB113" i="7" s="1"/>
  <c r="AC113" i="7" s="1"/>
  <c r="AE113" i="7"/>
  <c r="AA117" i="7"/>
  <c r="AB117" i="7" s="1"/>
  <c r="AC117" i="7" s="1"/>
  <c r="AE117" i="7"/>
  <c r="AA121" i="7"/>
  <c r="AB121" i="7" s="1"/>
  <c r="AC121" i="7" s="1"/>
  <c r="AE121" i="7"/>
  <c r="AA125" i="7"/>
  <c r="AB125" i="7" s="1"/>
  <c r="AC125" i="7" s="1"/>
  <c r="AE125" i="7"/>
  <c r="AA129" i="7"/>
  <c r="AB129" i="7" s="1"/>
  <c r="AC129" i="7" s="1"/>
  <c r="AE129" i="7"/>
  <c r="AA133" i="7"/>
  <c r="AB133" i="7" s="1"/>
  <c r="AC133" i="7" s="1"/>
  <c r="AE133" i="7"/>
  <c r="AA137" i="7"/>
  <c r="AB137" i="7" s="1"/>
  <c r="AC137" i="7" s="1"/>
  <c r="AE137" i="7"/>
  <c r="AA141" i="7"/>
  <c r="AB141" i="7" s="1"/>
  <c r="AC141" i="7" s="1"/>
  <c r="AE141" i="7"/>
  <c r="AA145" i="7"/>
  <c r="AB145" i="7" s="1"/>
  <c r="AC145" i="7" s="1"/>
  <c r="AE145" i="7"/>
  <c r="AA149" i="7"/>
  <c r="AB149" i="7" s="1"/>
  <c r="AC149" i="7" s="1"/>
  <c r="AE149" i="7"/>
  <c r="AA153" i="7"/>
  <c r="AB153" i="7" s="1"/>
  <c r="AC153" i="7" s="1"/>
  <c r="AE153" i="7"/>
  <c r="T157" i="7"/>
  <c r="AA157" i="7"/>
  <c r="AB157" i="7" s="1"/>
  <c r="AC157" i="7" s="1"/>
  <c r="AE157" i="7"/>
  <c r="AA161" i="7"/>
  <c r="AB161" i="7" s="1"/>
  <c r="AE161" i="7"/>
  <c r="N38" i="8"/>
  <c r="U38" i="8"/>
  <c r="U40" i="8" s="1"/>
  <c r="C139" i="1"/>
  <c r="H139" i="1" s="1"/>
  <c r="T95" i="7"/>
  <c r="T103" i="7"/>
  <c r="T115" i="7"/>
  <c r="T123" i="7"/>
  <c r="T127" i="7"/>
  <c r="T147" i="7"/>
  <c r="T159" i="7"/>
  <c r="T92" i="7"/>
  <c r="T100" i="7"/>
  <c r="T108" i="7"/>
  <c r="T116" i="7"/>
  <c r="T124" i="7"/>
  <c r="T156" i="7"/>
  <c r="T164" i="7"/>
  <c r="T93" i="7"/>
  <c r="T97" i="7"/>
  <c r="T101" i="7"/>
  <c r="T105" i="7"/>
  <c r="T109" i="7"/>
  <c r="T113" i="7"/>
  <c r="T117" i="7"/>
  <c r="T121" i="7"/>
  <c r="T125" i="7"/>
  <c r="T129" i="7"/>
  <c r="T133" i="7"/>
  <c r="T137" i="7"/>
  <c r="T141" i="7"/>
  <c r="T145" i="7"/>
  <c r="T149" i="7"/>
  <c r="T153" i="7"/>
  <c r="T161" i="7"/>
  <c r="T91" i="7"/>
  <c r="T99" i="7"/>
  <c r="T107" i="7"/>
  <c r="T111" i="7"/>
  <c r="T119" i="7"/>
  <c r="T135" i="7"/>
  <c r="T143" i="7"/>
  <c r="T96" i="7"/>
  <c r="T104" i="7"/>
  <c r="T112" i="7"/>
  <c r="T120" i="7"/>
  <c r="T128" i="7"/>
  <c r="T132" i="7"/>
  <c r="T140" i="7"/>
  <c r="T144" i="7"/>
  <c r="T152" i="7"/>
  <c r="T160" i="7"/>
  <c r="T90" i="7"/>
  <c r="T94" i="7"/>
  <c r="T98" i="7"/>
  <c r="T102" i="7"/>
  <c r="T106" i="7"/>
  <c r="T110" i="7"/>
  <c r="T114" i="7"/>
  <c r="T118" i="7"/>
  <c r="T122" i="7"/>
  <c r="T126" i="7"/>
  <c r="T130" i="7"/>
  <c r="T142" i="7"/>
  <c r="T146" i="7"/>
  <c r="T150" i="7"/>
  <c r="T154" i="7"/>
  <c r="T162" i="7"/>
  <c r="U119" i="1"/>
  <c r="C140" i="1"/>
  <c r="H140" i="1" s="1"/>
  <c r="F2" i="4"/>
  <c r="F4" i="4" s="1"/>
  <c r="F6" i="4" s="1"/>
  <c r="F2" i="9"/>
  <c r="F2" i="8"/>
  <c r="F3" i="7"/>
  <c r="F2" i="7"/>
  <c r="F3" i="6"/>
  <c r="F3" i="5"/>
  <c r="F2" i="5"/>
  <c r="F5" i="4" l="1"/>
  <c r="P57" i="7"/>
  <c r="P56" i="7"/>
  <c r="F56" i="11" s="1"/>
  <c r="AB88" i="7"/>
  <c r="AC88" i="7" s="1"/>
  <c r="C145" i="1"/>
  <c r="O131" i="1"/>
  <c r="G56" i="11" l="1"/>
  <c r="Q57" i="7"/>
  <c r="R57" i="7" s="1"/>
  <c r="F58" i="11"/>
  <c r="G58" i="11" s="1"/>
  <c r="H58" i="11" s="1"/>
  <c r="Q56" i="7"/>
  <c r="R56" i="7" s="1"/>
  <c r="J44" i="7"/>
  <c r="R131" i="1"/>
  <c r="S131" i="1"/>
  <c r="F59" i="11" l="1"/>
  <c r="H56" i="11"/>
  <c r="H59" i="11" s="1"/>
  <c r="G59" i="11"/>
  <c r="K44" i="7"/>
  <c r="H127" i="1"/>
  <c r="S124" i="1"/>
  <c r="H121" i="1"/>
  <c r="O121" i="1" s="1"/>
  <c r="H123" i="1" l="1"/>
  <c r="R121" i="1"/>
  <c r="R124" i="1"/>
  <c r="R125" i="1"/>
  <c r="S125" i="1"/>
  <c r="W125" i="1" s="1"/>
  <c r="O127" i="1"/>
  <c r="K57" i="7"/>
  <c r="S121" i="1" l="1"/>
  <c r="R127" i="1"/>
  <c r="S127" i="1"/>
  <c r="W124" i="1"/>
  <c r="D143" i="1"/>
  <c r="R126" i="1"/>
  <c r="M74" i="6"/>
  <c r="M73" i="6"/>
  <c r="Z73" i="6" s="1"/>
  <c r="AA73" i="6" s="1"/>
  <c r="AB73" i="6" s="1"/>
  <c r="M72" i="6"/>
  <c r="M70" i="6"/>
  <c r="M71" i="6"/>
  <c r="M69" i="6"/>
  <c r="M68" i="6"/>
  <c r="M54" i="6"/>
  <c r="M56" i="6"/>
  <c r="M52" i="6"/>
  <c r="M53" i="6"/>
  <c r="M59" i="6"/>
  <c r="M67" i="6"/>
  <c r="M50" i="6"/>
  <c r="Z50" i="6" s="1"/>
  <c r="M58" i="6"/>
  <c r="M62" i="6"/>
  <c r="M66" i="6"/>
  <c r="M49" i="6"/>
  <c r="M57" i="6"/>
  <c r="M61" i="6"/>
  <c r="M55" i="6"/>
  <c r="M63" i="6"/>
  <c r="M51" i="6"/>
  <c r="M60" i="6"/>
  <c r="M64" i="6"/>
  <c r="M65" i="6"/>
  <c r="M48" i="6"/>
  <c r="M47" i="6"/>
  <c r="M45" i="6"/>
  <c r="M46" i="6"/>
  <c r="Z45" i="6" l="1"/>
  <c r="AA45" i="6" s="1"/>
  <c r="D141" i="1"/>
  <c r="E141" i="1" s="1"/>
  <c r="F141" i="1" s="1"/>
  <c r="W121" i="1"/>
  <c r="Z64" i="6"/>
  <c r="AA64" i="6" s="1"/>
  <c r="AD55" i="6"/>
  <c r="Z55" i="6"/>
  <c r="AA55" i="6" s="1"/>
  <c r="AB55" i="6" s="1"/>
  <c r="AD67" i="6"/>
  <c r="Z67" i="6"/>
  <c r="AA67" i="6" s="1"/>
  <c r="AD56" i="6"/>
  <c r="Z56" i="6"/>
  <c r="AA56" i="6" s="1"/>
  <c r="AD74" i="6"/>
  <c r="Z74" i="6"/>
  <c r="AA74" i="6" s="1"/>
  <c r="AB74" i="6" s="1"/>
  <c r="Z60" i="6"/>
  <c r="AA60" i="6" s="1"/>
  <c r="AB60" i="6" s="1"/>
  <c r="AD61" i="6"/>
  <c r="Z61" i="6"/>
  <c r="AA61" i="6" s="1"/>
  <c r="AD62" i="6"/>
  <c r="Z62" i="6"/>
  <c r="AA62" i="6" s="1"/>
  <c r="AB62" i="6" s="1"/>
  <c r="AD59" i="6"/>
  <c r="Z59" i="6"/>
  <c r="AA59" i="6" s="1"/>
  <c r="AD54" i="6"/>
  <c r="Z54" i="6"/>
  <c r="AA54" i="6" s="1"/>
  <c r="AB54" i="6" s="1"/>
  <c r="AD70" i="6"/>
  <c r="Z70" i="6"/>
  <c r="AA70" i="6" s="1"/>
  <c r="Z48" i="6"/>
  <c r="AA48" i="6" s="1"/>
  <c r="Z51" i="6"/>
  <c r="AA51" i="6" s="1"/>
  <c r="AB51" i="6" s="1"/>
  <c r="AD57" i="6"/>
  <c r="Z57" i="6"/>
  <c r="AA57" i="6" s="1"/>
  <c r="AB57" i="6" s="1"/>
  <c r="AD58" i="6"/>
  <c r="Z58" i="6"/>
  <c r="AA58" i="6" s="1"/>
  <c r="AD53" i="6"/>
  <c r="Z53" i="6"/>
  <c r="AA53" i="6" s="1"/>
  <c r="AB53" i="6" s="1"/>
  <c r="AD68" i="6"/>
  <c r="Z68" i="6"/>
  <c r="AA68" i="6" s="1"/>
  <c r="AD72" i="6"/>
  <c r="Z72" i="6"/>
  <c r="AA72" i="6" s="1"/>
  <c r="AB72" i="6" s="1"/>
  <c r="AD45" i="6"/>
  <c r="AD66" i="6"/>
  <c r="Z66" i="6"/>
  <c r="AA66" i="6" s="1"/>
  <c r="AD71" i="6"/>
  <c r="Z71" i="6"/>
  <c r="AA71" i="6" s="1"/>
  <c r="AD47" i="6"/>
  <c r="Z47" i="6"/>
  <c r="AA47" i="6" s="1"/>
  <c r="Z46" i="6"/>
  <c r="AA46" i="6" s="1"/>
  <c r="AD65" i="6"/>
  <c r="Z65" i="6"/>
  <c r="AA65" i="6" s="1"/>
  <c r="AD63" i="6"/>
  <c r="Z63" i="6"/>
  <c r="AA63" i="6" s="1"/>
  <c r="AB63" i="6" s="1"/>
  <c r="AD49" i="6"/>
  <c r="Z49" i="6"/>
  <c r="AA49" i="6" s="1"/>
  <c r="AB49" i="6" s="1"/>
  <c r="AD50" i="6"/>
  <c r="AA50" i="6"/>
  <c r="AB50" i="6" s="1"/>
  <c r="AD52" i="6"/>
  <c r="Z52" i="6"/>
  <c r="AA52" i="6" s="1"/>
  <c r="AB52" i="6" s="1"/>
  <c r="AD69" i="6"/>
  <c r="Z69" i="6"/>
  <c r="AA69" i="6" s="1"/>
  <c r="AD73" i="6"/>
  <c r="AD46" i="6"/>
  <c r="AD64" i="6"/>
  <c r="S60" i="6"/>
  <c r="AD60" i="6"/>
  <c r="S48" i="6"/>
  <c r="AD48" i="6"/>
  <c r="S51" i="6"/>
  <c r="AD51" i="6"/>
  <c r="I141" i="1"/>
  <c r="E143" i="1"/>
  <c r="F143" i="1" s="1"/>
  <c r="I143" i="1"/>
  <c r="J143" i="1" s="1"/>
  <c r="S55" i="6"/>
  <c r="X124" i="1"/>
  <c r="Y124" i="1" s="1"/>
  <c r="M72" i="9"/>
  <c r="K72" i="9"/>
  <c r="J72" i="9"/>
  <c r="I72" i="9"/>
  <c r="H72" i="9"/>
  <c r="G72" i="9"/>
  <c r="F72" i="9"/>
  <c r="P72" i="9"/>
  <c r="Q70" i="9" s="1"/>
  <c r="S71" i="9"/>
  <c r="S70" i="9"/>
  <c r="S69" i="9"/>
  <c r="S68" i="9"/>
  <c r="S67" i="9"/>
  <c r="S66" i="9"/>
  <c r="S65" i="9"/>
  <c r="S64" i="9"/>
  <c r="S63" i="9"/>
  <c r="S62" i="9"/>
  <c r="S61" i="9"/>
  <c r="S60" i="9"/>
  <c r="S59" i="9"/>
  <c r="S58" i="9"/>
  <c r="S57" i="9"/>
  <c r="S56" i="9"/>
  <c r="S55" i="9"/>
  <c r="S54" i="9"/>
  <c r="S53" i="9"/>
  <c r="S52" i="9"/>
  <c r="S51" i="9"/>
  <c r="S50" i="9"/>
  <c r="S49" i="9"/>
  <c r="S48" i="9"/>
  <c r="S47" i="9"/>
  <c r="S46" i="9"/>
  <c r="S45" i="9"/>
  <c r="S44" i="9"/>
  <c r="S43" i="9"/>
  <c r="S42" i="9"/>
  <c r="S41" i="9"/>
  <c r="S40" i="9"/>
  <c r="S39" i="9"/>
  <c r="S38" i="9"/>
  <c r="AD72" i="9" l="1"/>
  <c r="AD74" i="9" s="1"/>
  <c r="M74" i="9"/>
  <c r="N43" i="9"/>
  <c r="N39" i="9"/>
  <c r="S72" i="9"/>
  <c r="N47" i="9"/>
  <c r="N51" i="9"/>
  <c r="N55" i="9"/>
  <c r="N59" i="9"/>
  <c r="N63" i="9"/>
  <c r="N68" i="9"/>
  <c r="N40" i="9"/>
  <c r="N44" i="9"/>
  <c r="N48" i="9"/>
  <c r="N52" i="9"/>
  <c r="N56" i="9"/>
  <c r="N60" i="9"/>
  <c r="N64" i="9"/>
  <c r="N70" i="9"/>
  <c r="T70" i="9" s="1"/>
  <c r="N41" i="9"/>
  <c r="N45" i="9"/>
  <c r="N49" i="9"/>
  <c r="N53" i="9"/>
  <c r="N57" i="9"/>
  <c r="N61" i="9"/>
  <c r="N66" i="9"/>
  <c r="N71" i="9"/>
  <c r="N38" i="9"/>
  <c r="N42" i="9"/>
  <c r="N46" i="9"/>
  <c r="N50" i="9"/>
  <c r="N54" i="9"/>
  <c r="N58" i="9"/>
  <c r="N62" i="9"/>
  <c r="N67" i="9"/>
  <c r="N65" i="9"/>
  <c r="N69" i="9"/>
  <c r="Q43" i="9"/>
  <c r="Q71" i="9"/>
  <c r="T71" i="9" s="1"/>
  <c r="Q39" i="9"/>
  <c r="T39" i="9" s="1"/>
  <c r="Q55" i="9"/>
  <c r="Q59" i="9"/>
  <c r="Q47" i="9"/>
  <c r="Q63" i="9"/>
  <c r="Q51" i="9"/>
  <c r="Q67" i="9"/>
  <c r="Q40" i="9"/>
  <c r="Q44" i="9"/>
  <c r="Q48" i="9"/>
  <c r="Q52" i="9"/>
  <c r="Q56" i="9"/>
  <c r="Q60" i="9"/>
  <c r="Q64" i="9"/>
  <c r="Q68" i="9"/>
  <c r="Q38" i="9"/>
  <c r="Q41" i="9"/>
  <c r="T41" i="9" s="1"/>
  <c r="Q45" i="9"/>
  <c r="Q49" i="9"/>
  <c r="Q53" i="9"/>
  <c r="Q57" i="9"/>
  <c r="Q61" i="9"/>
  <c r="T61" i="9" s="1"/>
  <c r="Q65" i="9"/>
  <c r="Q69" i="9"/>
  <c r="Q42" i="9"/>
  <c r="Q46" i="9"/>
  <c r="Q50" i="9"/>
  <c r="Q54" i="9"/>
  <c r="Q58" i="9"/>
  <c r="Q62" i="9"/>
  <c r="Q66" i="9"/>
  <c r="T66" i="9" s="1"/>
  <c r="T57" i="9" l="1"/>
  <c r="T53" i="9"/>
  <c r="T49" i="9"/>
  <c r="T45" i="9"/>
  <c r="T54" i="9"/>
  <c r="T56" i="9"/>
  <c r="T40" i="9"/>
  <c r="T43" i="9"/>
  <c r="T55" i="9"/>
  <c r="T47" i="9"/>
  <c r="T62" i="9"/>
  <c r="T64" i="9"/>
  <c r="T48" i="9"/>
  <c r="T51" i="9"/>
  <c r="T46" i="9"/>
  <c r="T63" i="9"/>
  <c r="T58" i="9"/>
  <c r="T42" i="9"/>
  <c r="T60" i="9"/>
  <c r="T44" i="9"/>
  <c r="N72" i="9"/>
  <c r="T50" i="9"/>
  <c r="T65" i="9"/>
  <c r="T68" i="9"/>
  <c r="T52" i="9"/>
  <c r="T67" i="9"/>
  <c r="T59" i="9"/>
  <c r="T38" i="9"/>
  <c r="Q72" i="9"/>
  <c r="T69" i="9"/>
  <c r="F3" i="9"/>
  <c r="F4" i="9"/>
  <c r="F6" i="9" s="1"/>
  <c r="F5" i="9" l="1"/>
  <c r="T72" i="9"/>
  <c r="M40" i="8"/>
  <c r="F3" i="8" l="1"/>
  <c r="F4" i="8"/>
  <c r="F6" i="8" s="1"/>
  <c r="H65" i="7"/>
  <c r="I65" i="7" s="1"/>
  <c r="F5" i="8" l="1"/>
  <c r="J65" i="7"/>
  <c r="H122" i="1" l="1"/>
  <c r="H120" i="1" l="1"/>
  <c r="O122" i="1"/>
  <c r="R122" i="1" s="1"/>
  <c r="S122" i="1" l="1"/>
  <c r="W122" i="1" s="1"/>
  <c r="C75" i="7"/>
  <c r="E75" i="7" s="1"/>
  <c r="O167" i="7"/>
  <c r="M165" i="7"/>
  <c r="L165" i="7"/>
  <c r="K165" i="7"/>
  <c r="C34" i="7" s="1"/>
  <c r="J165" i="7"/>
  <c r="I165" i="7"/>
  <c r="H165" i="7"/>
  <c r="G165" i="7"/>
  <c r="F165" i="7"/>
  <c r="E165" i="7"/>
  <c r="N165" i="7"/>
  <c r="C36" i="7" l="1"/>
  <c r="D36" i="7" s="1"/>
  <c r="AE165" i="7"/>
  <c r="AA165" i="7"/>
  <c r="AB165" i="7" s="1"/>
  <c r="AC165" i="7" s="1"/>
  <c r="D139" i="1"/>
  <c r="T165" i="7"/>
  <c r="O165" i="7"/>
  <c r="U165" i="7" s="1"/>
  <c r="O89" i="7"/>
  <c r="U89" i="7" s="1"/>
  <c r="O147" i="7"/>
  <c r="U147" i="7" s="1"/>
  <c r="O131" i="7"/>
  <c r="O143" i="7"/>
  <c r="U143" i="7" s="1"/>
  <c r="O96" i="7"/>
  <c r="U96" i="7" s="1"/>
  <c r="O112" i="7"/>
  <c r="U112" i="7" s="1"/>
  <c r="O128" i="7"/>
  <c r="U128" i="7" s="1"/>
  <c r="O140" i="7"/>
  <c r="U140" i="7" s="1"/>
  <c r="O152" i="7"/>
  <c r="U152" i="7" s="1"/>
  <c r="O90" i="7"/>
  <c r="U90" i="7" s="1"/>
  <c r="O98" i="7"/>
  <c r="U98" i="7" s="1"/>
  <c r="O106" i="7"/>
  <c r="U106" i="7" s="1"/>
  <c r="O114" i="7"/>
  <c r="U114" i="7" s="1"/>
  <c r="O122" i="7"/>
  <c r="U122" i="7" s="1"/>
  <c r="O130" i="7"/>
  <c r="U130" i="7" s="1"/>
  <c r="O142" i="7"/>
  <c r="U142" i="7" s="1"/>
  <c r="O150" i="7"/>
  <c r="U150" i="7" s="1"/>
  <c r="O136" i="7"/>
  <c r="O135" i="7"/>
  <c r="U135" i="7" s="1"/>
  <c r="O104" i="7"/>
  <c r="U104" i="7" s="1"/>
  <c r="O132" i="7"/>
  <c r="U132" i="7" s="1"/>
  <c r="O160" i="7"/>
  <c r="U160" i="7" s="1"/>
  <c r="O102" i="7"/>
  <c r="U102" i="7" s="1"/>
  <c r="O118" i="7"/>
  <c r="U118" i="7" s="1"/>
  <c r="O138" i="7"/>
  <c r="O154" i="7"/>
  <c r="U154" i="7" s="1"/>
  <c r="O123" i="7"/>
  <c r="U123" i="7" s="1"/>
  <c r="O116" i="7"/>
  <c r="U116" i="7" s="1"/>
  <c r="O93" i="7"/>
  <c r="U93" i="7" s="1"/>
  <c r="O109" i="7"/>
  <c r="U109" i="7" s="1"/>
  <c r="O125" i="7"/>
  <c r="U125" i="7" s="1"/>
  <c r="O141" i="7"/>
  <c r="U141" i="7" s="1"/>
  <c r="O157" i="7"/>
  <c r="U157" i="7" s="1"/>
  <c r="O107" i="7"/>
  <c r="U107" i="7" s="1"/>
  <c r="O158" i="7"/>
  <c r="O95" i="7"/>
  <c r="U95" i="7" s="1"/>
  <c r="O115" i="7"/>
  <c r="U115" i="7" s="1"/>
  <c r="O127" i="7"/>
  <c r="U127" i="7" s="1"/>
  <c r="O155" i="7"/>
  <c r="O92" i="7"/>
  <c r="U92" i="7" s="1"/>
  <c r="O108" i="7"/>
  <c r="U108" i="7" s="1"/>
  <c r="O124" i="7"/>
  <c r="U124" i="7" s="1"/>
  <c r="O156" i="7"/>
  <c r="U156" i="7" s="1"/>
  <c r="O88" i="7"/>
  <c r="U88" i="7" s="1"/>
  <c r="O97" i="7"/>
  <c r="U97" i="7" s="1"/>
  <c r="O105" i="7"/>
  <c r="U105" i="7" s="1"/>
  <c r="O113" i="7"/>
  <c r="U113" i="7" s="1"/>
  <c r="O121" i="7"/>
  <c r="U121" i="7" s="1"/>
  <c r="O129" i="7"/>
  <c r="U129" i="7" s="1"/>
  <c r="O137" i="7"/>
  <c r="U137" i="7" s="1"/>
  <c r="O145" i="7"/>
  <c r="U145" i="7" s="1"/>
  <c r="O153" i="7"/>
  <c r="U153" i="7" s="1"/>
  <c r="O161" i="7"/>
  <c r="U161" i="7" s="1"/>
  <c r="O99" i="7"/>
  <c r="U99" i="7" s="1"/>
  <c r="O111" i="7"/>
  <c r="U111" i="7" s="1"/>
  <c r="O151" i="7"/>
  <c r="O134" i="7"/>
  <c r="O162" i="7"/>
  <c r="U162" i="7" s="1"/>
  <c r="O139" i="7"/>
  <c r="O163" i="7"/>
  <c r="O120" i="7"/>
  <c r="U120" i="7" s="1"/>
  <c r="O144" i="7"/>
  <c r="U144" i="7" s="1"/>
  <c r="O94" i="7"/>
  <c r="U94" i="7" s="1"/>
  <c r="O110" i="7"/>
  <c r="U110" i="7" s="1"/>
  <c r="O126" i="7"/>
  <c r="U126" i="7" s="1"/>
  <c r="O146" i="7"/>
  <c r="U146" i="7" s="1"/>
  <c r="O103" i="7"/>
  <c r="U103" i="7" s="1"/>
  <c r="O159" i="7"/>
  <c r="U159" i="7" s="1"/>
  <c r="O100" i="7"/>
  <c r="U100" i="7" s="1"/>
  <c r="O148" i="7"/>
  <c r="O164" i="7"/>
  <c r="U164" i="7" s="1"/>
  <c r="O101" i="7"/>
  <c r="U101" i="7" s="1"/>
  <c r="O117" i="7"/>
  <c r="U117" i="7" s="1"/>
  <c r="O133" i="7"/>
  <c r="U133" i="7" s="1"/>
  <c r="O149" i="7"/>
  <c r="U149" i="7" s="1"/>
  <c r="O91" i="7"/>
  <c r="U91" i="7" s="1"/>
  <c r="O119" i="7"/>
  <c r="U119" i="7" s="1"/>
  <c r="C171" i="7"/>
  <c r="E169" i="7" s="1"/>
  <c r="E139" i="1" l="1"/>
  <c r="F139" i="1" s="1"/>
  <c r="C37" i="7"/>
  <c r="D37" i="7" s="1"/>
  <c r="G169" i="7"/>
  <c r="F169" i="7"/>
  <c r="J169" i="7"/>
  <c r="L169" i="7"/>
  <c r="M169" i="7"/>
  <c r="H169" i="7"/>
  <c r="I169" i="7"/>
  <c r="K169" i="7"/>
  <c r="C47" i="7" l="1"/>
  <c r="D66" i="7" s="1"/>
  <c r="F62" i="7"/>
  <c r="F60" i="7"/>
  <c r="F57" i="7"/>
  <c r="F61" i="7" l="1"/>
  <c r="D44" i="7"/>
  <c r="C48" i="7"/>
  <c r="F59" i="7"/>
  <c r="F58" i="7"/>
  <c r="E46" i="7"/>
  <c r="F56" i="7"/>
  <c r="E44" i="7" l="1"/>
  <c r="H130" i="1"/>
  <c r="Q75" i="6"/>
  <c r="Q74" i="6"/>
  <c r="Q73" i="6"/>
  <c r="Q72" i="6"/>
  <c r="Q70" i="6"/>
  <c r="Q71" i="6"/>
  <c r="Q69" i="6"/>
  <c r="Q68" i="6"/>
  <c r="Q54" i="6"/>
  <c r="Q56" i="6"/>
  <c r="Q52" i="6"/>
  <c r="Q53" i="6"/>
  <c r="Q59" i="6"/>
  <c r="Q67" i="6"/>
  <c r="Q50" i="6"/>
  <c r="Q58" i="6"/>
  <c r="Q62" i="6"/>
  <c r="Q66" i="6"/>
  <c r="Q49" i="6"/>
  <c r="Q57" i="6"/>
  <c r="Q61" i="6"/>
  <c r="Q55" i="6"/>
  <c r="Q63" i="6"/>
  <c r="Q51" i="6"/>
  <c r="Q60" i="6"/>
  <c r="Q65" i="6"/>
  <c r="Q48" i="6"/>
  <c r="Q47" i="6"/>
  <c r="Q45" i="6"/>
  <c r="O130" i="1" l="1"/>
  <c r="S130" i="1" s="1"/>
  <c r="H119" i="1"/>
  <c r="O128" i="1"/>
  <c r="R128" i="1" s="1"/>
  <c r="S74" i="6"/>
  <c r="S73" i="6"/>
  <c r="S72" i="6"/>
  <c r="S70" i="6"/>
  <c r="S71" i="6"/>
  <c r="S69" i="6"/>
  <c r="S68" i="6"/>
  <c r="S54" i="6"/>
  <c r="S56" i="6"/>
  <c r="S52" i="6"/>
  <c r="S53" i="6"/>
  <c r="S59" i="6"/>
  <c r="S67" i="6"/>
  <c r="S50" i="6"/>
  <c r="S58" i="6"/>
  <c r="S62" i="6"/>
  <c r="S66" i="6"/>
  <c r="S49" i="6"/>
  <c r="S57" i="6"/>
  <c r="S61" i="6"/>
  <c r="S63" i="6"/>
  <c r="S64" i="6"/>
  <c r="S65" i="6"/>
  <c r="S47" i="6"/>
  <c r="S45" i="6"/>
  <c r="S46" i="6"/>
  <c r="L77" i="6"/>
  <c r="K77" i="6"/>
  <c r="J77" i="6"/>
  <c r="I77" i="6"/>
  <c r="H77" i="6"/>
  <c r="G77" i="6"/>
  <c r="F77" i="6"/>
  <c r="E77" i="6"/>
  <c r="D77" i="6"/>
  <c r="D33" i="6" l="1"/>
  <c r="D32" i="6" s="1"/>
  <c r="R130" i="1"/>
  <c r="D35" i="6"/>
  <c r="E35" i="6" s="1"/>
  <c r="S128" i="1"/>
  <c r="R129" i="1"/>
  <c r="S129" i="1"/>
  <c r="M75" i="6"/>
  <c r="C81" i="6" s="1"/>
  <c r="M76" i="6"/>
  <c r="Z75" i="6" l="1"/>
  <c r="AA75" i="6" s="1"/>
  <c r="AB75" i="6" s="1"/>
  <c r="Z76" i="6"/>
  <c r="AA76" i="6" s="1"/>
  <c r="AB76" i="6" s="1"/>
  <c r="S76" i="6"/>
  <c r="AD76" i="6"/>
  <c r="S75" i="6"/>
  <c r="AD75" i="6"/>
  <c r="C82" i="6" s="1"/>
  <c r="D36" i="6"/>
  <c r="M77" i="6"/>
  <c r="F4" i="7"/>
  <c r="F4" i="6"/>
  <c r="F6" i="6" s="1"/>
  <c r="F4" i="5"/>
  <c r="Z77" i="6" l="1"/>
  <c r="AA77" i="6" s="1"/>
  <c r="AB77" i="6" s="1"/>
  <c r="AD77" i="6"/>
  <c r="M79" i="6"/>
  <c r="F6" i="7"/>
  <c r="F5" i="5"/>
  <c r="F6" i="5"/>
  <c r="AD79" i="6"/>
  <c r="F5" i="7"/>
  <c r="K62" i="7" s="1"/>
  <c r="F5" i="6"/>
  <c r="S77" i="6"/>
  <c r="N64" i="6"/>
  <c r="T64" i="6" s="1"/>
  <c r="N63" i="6"/>
  <c r="T63" i="6" s="1"/>
  <c r="N55" i="6"/>
  <c r="T55" i="6" s="1"/>
  <c r="N61" i="6"/>
  <c r="T61" i="6" s="1"/>
  <c r="N50" i="6"/>
  <c r="T50" i="6" s="1"/>
  <c r="N47" i="6"/>
  <c r="T47" i="6" s="1"/>
  <c r="N45" i="6"/>
  <c r="N77" i="6"/>
  <c r="Q77" i="6"/>
  <c r="N53" i="6"/>
  <c r="T53" i="6" s="1"/>
  <c r="N59" i="6"/>
  <c r="T59" i="6" s="1"/>
  <c r="N49" i="6"/>
  <c r="T49" i="6" s="1"/>
  <c r="N75" i="6"/>
  <c r="T75" i="6" s="1"/>
  <c r="N51" i="6"/>
  <c r="T51" i="6" s="1"/>
  <c r="N72" i="6"/>
  <c r="T72" i="6" s="1"/>
  <c r="N71" i="6"/>
  <c r="T71" i="6" s="1"/>
  <c r="N57" i="6"/>
  <c r="T57" i="6" s="1"/>
  <c r="N46" i="6"/>
  <c r="T46" i="6" s="1"/>
  <c r="N69" i="6"/>
  <c r="T69" i="6" s="1"/>
  <c r="N62" i="6"/>
  <c r="T62" i="6" s="1"/>
  <c r="N66" i="6"/>
  <c r="T66" i="6" s="1"/>
  <c r="N52" i="6"/>
  <c r="T52" i="6" s="1"/>
  <c r="N54" i="6"/>
  <c r="T54" i="6" s="1"/>
  <c r="N56" i="6"/>
  <c r="T56" i="6" s="1"/>
  <c r="N58" i="6"/>
  <c r="T58" i="6" s="1"/>
  <c r="N65" i="6"/>
  <c r="T65" i="6" s="1"/>
  <c r="N60" i="6"/>
  <c r="T60" i="6" s="1"/>
  <c r="N70" i="6"/>
  <c r="T70" i="6" s="1"/>
  <c r="N74" i="6"/>
  <c r="T74" i="6" s="1"/>
  <c r="N68" i="6"/>
  <c r="T68" i="6" s="1"/>
  <c r="N67" i="6"/>
  <c r="T67" i="6" s="1"/>
  <c r="N73" i="6"/>
  <c r="T73" i="6" s="1"/>
  <c r="N48" i="6"/>
  <c r="T48" i="6" s="1"/>
  <c r="N76" i="6"/>
  <c r="T76" i="6" s="1"/>
  <c r="F75" i="7" l="1"/>
  <c r="G60" i="7"/>
  <c r="G62" i="7"/>
  <c r="G59" i="7"/>
  <c r="G61" i="7"/>
  <c r="G56" i="7"/>
  <c r="K58" i="7"/>
  <c r="K61" i="7"/>
  <c r="G57" i="7"/>
  <c r="F181" i="7"/>
  <c r="K65" i="7"/>
  <c r="K63" i="7"/>
  <c r="K60" i="7"/>
  <c r="K64" i="7"/>
  <c r="V165" i="7"/>
  <c r="T45" i="6"/>
  <c r="G58" i="7"/>
  <c r="K56" i="7"/>
  <c r="K59" i="7"/>
  <c r="T77" i="6"/>
  <c r="U77" i="6" s="1"/>
  <c r="E2" i="4"/>
  <c r="E4" i="4" s="1"/>
  <c r="E3" i="4"/>
  <c r="E5" i="4" l="1"/>
  <c r="E6" i="4"/>
  <c r="M373" i="4"/>
  <c r="Q71" i="4" s="1"/>
  <c r="M375" i="4"/>
  <c r="Q76" i="4" s="1"/>
  <c r="M376" i="4"/>
  <c r="Q244" i="4" s="1"/>
  <c r="M378" i="4"/>
  <c r="Q102" i="4" s="1"/>
  <c r="M379" i="4"/>
  <c r="Q79" i="4" s="1"/>
  <c r="M380" i="4"/>
  <c r="Q80" i="4" s="1"/>
  <c r="M381" i="4"/>
  <c r="Q83" i="4" s="1"/>
  <c r="M382" i="4"/>
  <c r="Q85" i="4" s="1"/>
  <c r="M383" i="4"/>
  <c r="Q86" i="4" s="1"/>
  <c r="M384" i="4"/>
  <c r="Q98" i="4" s="1"/>
  <c r="M385" i="4"/>
  <c r="Q105" i="4" s="1"/>
  <c r="M386" i="4"/>
  <c r="Q106" i="4" s="1"/>
  <c r="M387" i="4"/>
  <c r="Q107" i="4" s="1"/>
  <c r="M388" i="4"/>
  <c r="Q108" i="4" s="1"/>
  <c r="M389" i="4"/>
  <c r="Q109" i="4" s="1"/>
  <c r="M390" i="4"/>
  <c r="Q110" i="4" s="1"/>
  <c r="M391" i="4"/>
  <c r="Q111" i="4" s="1"/>
  <c r="M392" i="4"/>
  <c r="Q112" i="4" s="1"/>
  <c r="M393" i="4"/>
  <c r="Q114" i="4" s="1"/>
  <c r="M394" i="4"/>
  <c r="Q118" i="4" s="1"/>
  <c r="M395" i="4"/>
  <c r="Q119" i="4" s="1"/>
  <c r="M396" i="4"/>
  <c r="Q121" i="4" s="1"/>
  <c r="M397" i="4"/>
  <c r="Q122" i="4" s="1"/>
  <c r="M398" i="4"/>
  <c r="Q113" i="4" s="1"/>
  <c r="M399" i="4"/>
  <c r="Q124" i="4" s="1"/>
  <c r="M400" i="4"/>
  <c r="Q125" i="4" s="1"/>
  <c r="M401" i="4"/>
  <c r="Q88" i="4" s="1"/>
  <c r="M402" i="4"/>
  <c r="Q127" i="4" s="1"/>
  <c r="M403" i="4"/>
  <c r="Q128" i="4" s="1"/>
  <c r="M404" i="4"/>
  <c r="Q129" i="4" s="1"/>
  <c r="M405" i="4"/>
  <c r="Q130" i="4" s="1"/>
  <c r="M406" i="4"/>
  <c r="Q131" i="4" s="1"/>
  <c r="M407" i="4"/>
  <c r="Q139" i="4" s="1"/>
  <c r="M408" i="4"/>
  <c r="Q140" i="4" s="1"/>
  <c r="M409" i="4"/>
  <c r="Q141" i="4" s="1"/>
  <c r="M410" i="4"/>
  <c r="Q144" i="4" s="1"/>
  <c r="M411" i="4"/>
  <c r="Q145" i="4" s="1"/>
  <c r="M412" i="4"/>
  <c r="Q146" i="4" s="1"/>
  <c r="M413" i="4"/>
  <c r="Q149" i="4" s="1"/>
  <c r="M414" i="4"/>
  <c r="Q169" i="4" s="1"/>
  <c r="M415" i="4"/>
  <c r="Q170" i="4" s="1"/>
  <c r="M416" i="4"/>
  <c r="Q187" i="4" s="1"/>
  <c r="M417" i="4"/>
  <c r="Q172" i="4" s="1"/>
  <c r="M418" i="4"/>
  <c r="Q174" i="4" s="1"/>
  <c r="M419" i="4"/>
  <c r="Q178" i="4" s="1"/>
  <c r="M420" i="4"/>
  <c r="Q181" i="4" s="1"/>
  <c r="M421" i="4"/>
  <c r="Q184" i="4" s="1"/>
  <c r="M422" i="4"/>
  <c r="Q152" i="4" s="1"/>
  <c r="M423" i="4"/>
  <c r="Q133" i="4" s="1"/>
  <c r="M424" i="4"/>
  <c r="Q134" i="4" s="1"/>
  <c r="M425" i="4"/>
  <c r="Q220" i="4" s="1"/>
  <c r="M426" i="4"/>
  <c r="Q225" i="4" s="1"/>
  <c r="D277" i="4"/>
  <c r="D288" i="4" l="1"/>
  <c r="D285" i="4"/>
  <c r="Q257" i="4"/>
  <c r="D286" i="4"/>
  <c r="D284" i="4"/>
  <c r="D283" i="4"/>
  <c r="R421" i="4"/>
  <c r="AB184" i="4" s="1"/>
  <c r="R419" i="4"/>
  <c r="AB178" i="4" s="1"/>
  <c r="R415" i="4"/>
  <c r="AB170" i="4" s="1"/>
  <c r="R411" i="4"/>
  <c r="AB145" i="4" s="1"/>
  <c r="R407" i="4"/>
  <c r="AB139" i="4" s="1"/>
  <c r="R403" i="4"/>
  <c r="AB128" i="4" s="1"/>
  <c r="R399" i="4"/>
  <c r="AB124" i="4" s="1"/>
  <c r="R395" i="4"/>
  <c r="AB119" i="4" s="1"/>
  <c r="R391" i="4"/>
  <c r="AB111" i="4" s="1"/>
  <c r="R379" i="4"/>
  <c r="AB79" i="4" s="1"/>
  <c r="R417" i="4"/>
  <c r="AB172" i="4" s="1"/>
  <c r="R413" i="4"/>
  <c r="AB149" i="4" s="1"/>
  <c r="R409" i="4"/>
  <c r="AB141" i="4" s="1"/>
  <c r="R405" i="4"/>
  <c r="AB130" i="4" s="1"/>
  <c r="R401" i="4"/>
  <c r="AB88" i="4" s="1"/>
  <c r="R397" i="4"/>
  <c r="AB122" i="4" s="1"/>
  <c r="R393" i="4"/>
  <c r="AB114" i="4" s="1"/>
  <c r="R385" i="4"/>
  <c r="AB105" i="4" s="1"/>
  <c r="R381" i="4"/>
  <c r="AB83" i="4" s="1"/>
  <c r="R396" i="4"/>
  <c r="AB121" i="4" s="1"/>
  <c r="R392" i="4"/>
  <c r="AB112" i="4" s="1"/>
  <c r="R388" i="4"/>
  <c r="AB108" i="4" s="1"/>
  <c r="R384" i="4"/>
  <c r="AB98" i="4" s="1"/>
  <c r="R380" i="4"/>
  <c r="AB80" i="4" s="1"/>
  <c r="R375" i="4"/>
  <c r="AB76" i="4" s="1"/>
  <c r="R386" i="4"/>
  <c r="AB106" i="4" s="1"/>
  <c r="D276" i="4"/>
  <c r="E189" i="7" s="1"/>
  <c r="R423" i="4"/>
  <c r="AB133" i="4" s="1"/>
  <c r="R387" i="4"/>
  <c r="AB107" i="4" s="1"/>
  <c r="R383" i="4"/>
  <c r="AB86" i="4" s="1"/>
  <c r="R426" i="4"/>
  <c r="AB225" i="4" s="1"/>
  <c r="R422" i="4"/>
  <c r="AB152" i="4" s="1"/>
  <c r="R418" i="4"/>
  <c r="AB174" i="4" s="1"/>
  <c r="R414" i="4"/>
  <c r="AB169" i="4" s="1"/>
  <c r="R410" i="4"/>
  <c r="AB144" i="4" s="1"/>
  <c r="R406" i="4"/>
  <c r="AB131" i="4" s="1"/>
  <c r="R402" i="4"/>
  <c r="AB127" i="4" s="1"/>
  <c r="R398" i="4"/>
  <c r="AB113" i="4" s="1"/>
  <c r="R394" i="4"/>
  <c r="AB118" i="4" s="1"/>
  <c r="R390" i="4"/>
  <c r="AB110" i="4" s="1"/>
  <c r="R382" i="4"/>
  <c r="AB85" i="4" s="1"/>
  <c r="R378" i="4"/>
  <c r="AB102" i="4" s="1"/>
  <c r="M431" i="4"/>
  <c r="R373" i="4"/>
  <c r="AB71" i="4" s="1"/>
  <c r="R425" i="4"/>
  <c r="AB220" i="4" s="1"/>
  <c r="R389" i="4"/>
  <c r="AB109" i="4" s="1"/>
  <c r="R376" i="4"/>
  <c r="AB244" i="4" s="1"/>
  <c r="R424" i="4"/>
  <c r="AB134" i="4" s="1"/>
  <c r="R420" i="4"/>
  <c r="AB181" i="4" s="1"/>
  <c r="R416" i="4"/>
  <c r="AB187" i="4" s="1"/>
  <c r="R412" i="4"/>
  <c r="AB146" i="4" s="1"/>
  <c r="R408" i="4"/>
  <c r="AB140" i="4" s="1"/>
  <c r="R404" i="4"/>
  <c r="AB129" i="4" s="1"/>
  <c r="R400" i="4"/>
  <c r="AB125" i="4" s="1"/>
  <c r="R258" i="4"/>
  <c r="E284" i="4" l="1"/>
  <c r="E286" i="4"/>
  <c r="D193" i="7" s="1"/>
  <c r="F193" i="7" s="1"/>
  <c r="P55" i="7" s="1"/>
  <c r="E283" i="4"/>
  <c r="AB257" i="4"/>
  <c r="E285" i="4"/>
  <c r="E288" i="4"/>
  <c r="D289" i="4"/>
  <c r="C296" i="4"/>
  <c r="R431" i="4"/>
  <c r="Q258" i="4"/>
  <c r="D189" i="7"/>
  <c r="F189" i="7" s="1"/>
  <c r="E55" i="7" s="1"/>
  <c r="D43" i="4"/>
  <c r="D44" i="4"/>
  <c r="M262" i="4"/>
  <c r="AE167" i="7" l="1"/>
  <c r="Z261" i="4"/>
  <c r="Z264" i="4" s="1"/>
  <c r="E289" i="4"/>
  <c r="AB258" i="4" s="1"/>
  <c r="D37" i="4"/>
  <c r="D38" i="4"/>
  <c r="K296" i="4"/>
  <c r="L296" i="4" s="1"/>
  <c r="D45" i="4"/>
  <c r="M261" i="4"/>
  <c r="F55" i="7"/>
  <c r="G55" i="7" s="1"/>
  <c r="N167" i="7"/>
  <c r="D46" i="4" l="1"/>
  <c r="E46" i="4" s="1"/>
  <c r="E45" i="4"/>
  <c r="E290" i="4"/>
  <c r="J45" i="7"/>
  <c r="P65" i="7"/>
  <c r="Q55" i="7"/>
  <c r="R55" i="7" s="1"/>
  <c r="D39" i="4"/>
  <c r="E39" i="4" s="1"/>
  <c r="D45" i="7"/>
  <c r="E65" i="7"/>
  <c r="F65" i="7" s="1"/>
  <c r="G65" i="7" s="1"/>
  <c r="F3" i="1"/>
  <c r="F3" i="4" s="1"/>
  <c r="Q65" i="7" l="1"/>
  <c r="R65" i="7" s="1"/>
  <c r="K45" i="7"/>
  <c r="J47" i="7"/>
  <c r="P66" i="7" s="1"/>
  <c r="D40" i="4"/>
  <c r="E40" i="4" s="1"/>
  <c r="E45" i="7"/>
  <c r="D47" i="7"/>
  <c r="X122" i="1"/>
  <c r="Y122" i="1" s="1"/>
  <c r="T120" i="1"/>
  <c r="K47" i="7" l="1"/>
  <c r="L47" i="7" s="1"/>
  <c r="E47" i="7"/>
  <c r="F47" i="7" s="1"/>
  <c r="D48" i="7"/>
  <c r="E66" i="7"/>
  <c r="V120" i="1"/>
  <c r="O123" i="1"/>
  <c r="O120" i="1"/>
  <c r="S120" i="1" s="1"/>
  <c r="O119" i="1" l="1"/>
  <c r="W120" i="1"/>
  <c r="R120" i="1"/>
  <c r="R123" i="1"/>
  <c r="S123" i="1"/>
  <c r="M263" i="4"/>
  <c r="M264" i="4" s="1"/>
  <c r="C109" i="1"/>
  <c r="S119" i="1" l="1"/>
  <c r="R119" i="1"/>
  <c r="D334" i="4"/>
  <c r="D278" i="4"/>
  <c r="D279" i="4" s="1"/>
  <c r="T130" i="1" l="1"/>
  <c r="D144" i="1"/>
  <c r="E144" i="1" s="1"/>
  <c r="F144" i="1" s="1"/>
  <c r="D140" i="1"/>
  <c r="D142" i="1"/>
  <c r="E142" i="1" s="1"/>
  <c r="F142" i="1" s="1"/>
  <c r="X120" i="1"/>
  <c r="V130" i="1" l="1"/>
  <c r="W130" i="1" s="1"/>
  <c r="X130" i="1" s="1"/>
  <c r="T119" i="1"/>
  <c r="V119" i="1" s="1"/>
  <c r="C146" i="1" s="1"/>
  <c r="E140" i="1"/>
  <c r="F140" i="1" s="1"/>
  <c r="I140" i="1"/>
  <c r="J140" i="1" s="1"/>
  <c r="X121" i="1"/>
  <c r="J141" i="1"/>
  <c r="X125" i="1"/>
  <c r="Y125" i="1" s="1"/>
  <c r="D138" i="1"/>
  <c r="I138" i="1" s="1"/>
  <c r="J138" i="1" s="1"/>
  <c r="W126" i="1"/>
  <c r="W128" i="1"/>
  <c r="X128" i="1" s="1"/>
  <c r="Y128" i="1" s="1"/>
  <c r="I142" i="1"/>
  <c r="J142" i="1" s="1"/>
  <c r="W127" i="1"/>
  <c r="X127" i="1" s="1"/>
  <c r="W131" i="1"/>
  <c r="I144" i="1"/>
  <c r="J144" i="1" s="1"/>
  <c r="W129" i="1"/>
  <c r="X129" i="1" s="1"/>
  <c r="Y129" i="1" s="1"/>
  <c r="I139" i="1"/>
  <c r="J139" i="1" s="1"/>
  <c r="V123" i="1"/>
  <c r="W123" i="1" s="1"/>
  <c r="G109" i="1"/>
  <c r="X126" i="1" l="1"/>
  <c r="Y126" i="1" s="1"/>
  <c r="E138" i="1"/>
  <c r="F138" i="1" s="1"/>
  <c r="D145" i="1"/>
  <c r="X131" i="1"/>
  <c r="Y131" i="1" s="1"/>
  <c r="X123" i="1"/>
  <c r="W119" i="1" l="1"/>
  <c r="X119" i="1" s="1"/>
  <c r="H145" i="1"/>
  <c r="I145" i="1" s="1"/>
  <c r="J145" i="1" s="1"/>
  <c r="D146" i="1"/>
  <c r="E145" i="1"/>
  <c r="F145" i="1" s="1"/>
  <c r="D290" i="4"/>
  <c r="D296" i="4"/>
</calcChain>
</file>

<file path=xl/sharedStrings.xml><?xml version="1.0" encoding="utf-8"?>
<sst xmlns="http://schemas.openxmlformats.org/spreadsheetml/2006/main" count="2919" uniqueCount="830">
  <si>
    <t>Рабочая программа</t>
  </si>
  <si>
    <t>в тыс.руб, если не указано иное</t>
  </si>
  <si>
    <t>тыс. долл.</t>
  </si>
  <si>
    <t>тыс. руб.</t>
  </si>
  <si>
    <t>руб. к долл.</t>
  </si>
  <si>
    <t>ДО</t>
  </si>
  <si>
    <t>Средний курс за 9м2017</t>
  </si>
  <si>
    <t>НСО</t>
  </si>
  <si>
    <t>Курс на 30.09.2017</t>
  </si>
  <si>
    <t>Допустимая ошибка</t>
  </si>
  <si>
    <t>Номинальная сумма ошибки</t>
  </si>
  <si>
    <t>несущ</t>
  </si>
  <si>
    <t>несущественно</t>
  </si>
  <si>
    <t>немат</t>
  </si>
  <si>
    <t>нематериально</t>
  </si>
  <si>
    <t>ПГ</t>
  </si>
  <si>
    <t>прошлый год</t>
  </si>
  <si>
    <t>ЭЯ</t>
  </si>
  <si>
    <t>Эрнст энд Янг</t>
  </si>
  <si>
    <t>з\п</t>
  </si>
  <si>
    <t>заработная плата</t>
  </si>
  <si>
    <t>Цель:</t>
  </si>
  <si>
    <t>Выполненная работа:</t>
  </si>
  <si>
    <t>Комментарий:</t>
  </si>
  <si>
    <t>Заключение:</t>
  </si>
  <si>
    <r>
      <t xml:space="preserve">Основываясь на относящихся к данным счетам </t>
    </r>
    <r>
      <rPr>
        <b/>
        <sz val="10"/>
        <rFont val="Arial"/>
        <family val="2"/>
        <charset val="204"/>
      </rPr>
      <t>общих оценках риска (Минимальный)</t>
    </r>
    <r>
      <rPr>
        <sz val="10"/>
        <rFont val="Arial"/>
        <family val="2"/>
        <charset val="204"/>
      </rPr>
      <t xml:space="preserve"> и результатах аудиторских процедур в этой и связанных областях, </t>
    </r>
  </si>
  <si>
    <t>мы считаем, что выполненные процедуры являются подходящими и достаточными для релевантных предпосылок финансовой отчетности и относящихся к ним оценкам риска.</t>
  </si>
  <si>
    <t>Разница</t>
  </si>
  <si>
    <t>Ссылка</t>
  </si>
  <si>
    <t>несущ.</t>
  </si>
  <si>
    <t>Комментарий: данные символы используются Клиентом для обозначения трансформационных проводок</t>
  </si>
  <si>
    <t>22</t>
  </si>
  <si>
    <t>23</t>
  </si>
  <si>
    <t>Списание ОС и поисковых активов РСБУ</t>
  </si>
  <si>
    <t>Списание социальных ОС</t>
  </si>
  <si>
    <t>Входящий реф</t>
  </si>
  <si>
    <t>Рекласс - ОПУ (с/ст, комм. и админ. расх</t>
  </si>
  <si>
    <t>Расчет</t>
  </si>
  <si>
    <t>Общие и административные расходы</t>
  </si>
  <si>
    <t>Общие и административные расходы, КГ</t>
  </si>
  <si>
    <t>E05/605</t>
  </si>
  <si>
    <t>Услуги управляющей компании</t>
  </si>
  <si>
    <t>E05/606</t>
  </si>
  <si>
    <t>Прочие профессиональные услуги</t>
  </si>
  <si>
    <t>E05/701</t>
  </si>
  <si>
    <t>Налоги</t>
  </si>
  <si>
    <t>Общие и административные расходы, ПК</t>
  </si>
  <si>
    <t>E05/190</t>
  </si>
  <si>
    <t>Материальные расходы</t>
  </si>
  <si>
    <t>E05/301</t>
  </si>
  <si>
    <t>Расходы на персонал</t>
  </si>
  <si>
    <t>E05/401</t>
  </si>
  <si>
    <t>Амортизационные расходы</t>
  </si>
  <si>
    <t>E05/999</t>
  </si>
  <si>
    <t>Прочие</t>
  </si>
  <si>
    <t>Общие и административные расходы, СК</t>
  </si>
  <si>
    <t>28</t>
  </si>
  <si>
    <t>AA</t>
  </si>
  <si>
    <t>B4</t>
  </si>
  <si>
    <t>Рекласс - НМА</t>
  </si>
  <si>
    <t>Рекласс/АТП - ОПУ (прочие доходы/расходы</t>
  </si>
  <si>
    <t>Рекласс - ОС типа А</t>
  </si>
  <si>
    <t>Нематериальные активы</t>
  </si>
  <si>
    <t>НМА - поступление за период</t>
  </si>
  <si>
    <t>Капремонты - капитализация затрат</t>
  </si>
  <si>
    <t>Корректировка ВГР расхождений ВР</t>
  </si>
  <si>
    <t>А3.1</t>
  </si>
  <si>
    <t>За вычетом курсовых разниц</t>
  </si>
  <si>
    <t>Изменение,%</t>
  </si>
  <si>
    <t>итоговая строка</t>
  </si>
  <si>
    <t xml:space="preserve">Цель: </t>
  </si>
  <si>
    <t>Код затрат</t>
  </si>
  <si>
    <t>Виды затрат</t>
  </si>
  <si>
    <t>январь</t>
  </si>
  <si>
    <t>февраль</t>
  </si>
  <si>
    <t>март</t>
  </si>
  <si>
    <t>апрель</t>
  </si>
  <si>
    <t xml:space="preserve">май </t>
  </si>
  <si>
    <t>июнь</t>
  </si>
  <si>
    <t>июль</t>
  </si>
  <si>
    <t>август</t>
  </si>
  <si>
    <t>сентябрь</t>
  </si>
  <si>
    <t>Всего 9м2017</t>
  </si>
  <si>
    <t xml:space="preserve">    3201040020 Уголь (топливо)</t>
  </si>
  <si>
    <t xml:space="preserve">    3201040050 Газы (топливо)</t>
  </si>
  <si>
    <t xml:space="preserve">    3201040080 Естественная убыль в пределах норм</t>
  </si>
  <si>
    <t>Топливо</t>
  </si>
  <si>
    <t xml:space="preserve">    3201010020 Добавочные материалы</t>
  </si>
  <si>
    <t xml:space="preserve">    3201010030 Добавочные материалы собственного п</t>
  </si>
  <si>
    <t xml:space="preserve">    3201010055 Металлолом стальной собственного пр</t>
  </si>
  <si>
    <t xml:space="preserve">    3201030010 Вспомогательные материалы</t>
  </si>
  <si>
    <t xml:space="preserve">    3201030015 Вспомогательн. материалы собствен.</t>
  </si>
  <si>
    <t xml:space="preserve">    3201030020 Огнеупоры</t>
  </si>
  <si>
    <t xml:space="preserve">    3201050010 Тара и тарные материалы</t>
  </si>
  <si>
    <t xml:space="preserve">    3201060010 Запчасти</t>
  </si>
  <si>
    <t xml:space="preserve">    3201060015 Запчасти покупные РМЗ</t>
  </si>
  <si>
    <t xml:space="preserve">    3201060020 Запчасти собственного производства</t>
  </si>
  <si>
    <t xml:space="preserve">    3201060030 Запасные части б/у</t>
  </si>
  <si>
    <t xml:space="preserve">    3201070010 Малоценные объекты</t>
  </si>
  <si>
    <t xml:space="preserve">    3201090010 Инвентарь и хозяйственные принадлеж</t>
  </si>
  <si>
    <t xml:space="preserve">    3201100010 Спецодежда</t>
  </si>
  <si>
    <t xml:space="preserve">    3201100020 Спецодежда собственного производств</t>
  </si>
  <si>
    <t xml:space="preserve">    3201140030 Инструмент и спец. оборудование</t>
  </si>
  <si>
    <t xml:space="preserve">    3299000003 Сырье и основные материалы</t>
  </si>
  <si>
    <t xml:space="preserve">    3299000037 Металлолом собственного производств</t>
  </si>
  <si>
    <t>Вспомогательные материалы</t>
  </si>
  <si>
    <t>Сырье и материалы</t>
  </si>
  <si>
    <t xml:space="preserve">    3201110010 Электроэнергия</t>
  </si>
  <si>
    <t xml:space="preserve">    3201110015 Электроэнергия цехам</t>
  </si>
  <si>
    <t xml:space="preserve">    3201110020 Теплоэнергия</t>
  </si>
  <si>
    <t xml:space="preserve">    3201110030 Водоснабжение и канализация</t>
  </si>
  <si>
    <t>Энергетика</t>
  </si>
  <si>
    <t xml:space="preserve">    3201040040 Горючее</t>
  </si>
  <si>
    <t xml:space="preserve">    3201040030 Смазочные материалы</t>
  </si>
  <si>
    <t>ГСМ</t>
  </si>
  <si>
    <t xml:space="preserve">    3201120010 Услуги автомобильного транспорта ст</t>
  </si>
  <si>
    <t xml:space="preserve">    3201120015 Услуги железнодорожного транспорта</t>
  </si>
  <si>
    <t xml:space="preserve">    3201120020 Услуги по текущему ремонту сторон.о</t>
  </si>
  <si>
    <t xml:space="preserve">    3201120030 Услуги по капитальному ремонту стор</t>
  </si>
  <si>
    <t xml:space="preserve">    3201120035 Обеспечение спецпитанием (стор. орг</t>
  </si>
  <si>
    <t xml:space="preserve">    3201120045 Услуги по содержанию дорог комбинат</t>
  </si>
  <si>
    <t xml:space="preserve">    3201120086 Услуги по технич.обслуживанию</t>
  </si>
  <si>
    <t xml:space="preserve">    3201120090 Прочие услуги промышленного хар-ра</t>
  </si>
  <si>
    <t xml:space="preserve">    3201120293 Испытание материалов</t>
  </si>
  <si>
    <t xml:space="preserve">    3201120130 УслугаПоСервису</t>
  </si>
  <si>
    <t xml:space="preserve">    3201120140 Усл стор организ. по доставке работ</t>
  </si>
  <si>
    <t xml:space="preserve">    3201120200 Превышение ПДК загрязняющих веществ</t>
  </si>
  <si>
    <t xml:space="preserve">    3201120265 Услуги по вывозу мусора</t>
  </si>
  <si>
    <t xml:space="preserve">    3201120270 Услуги по химической чистке одежды</t>
  </si>
  <si>
    <t xml:space="preserve">    3201120281 Техническое обслуживание лифтов</t>
  </si>
  <si>
    <t xml:space="preserve">    3201120282 Техническое обслуживание систем пож</t>
  </si>
  <si>
    <t xml:space="preserve">    3201120292 Услуги по восстановлению ТМЦ</t>
  </si>
  <si>
    <t xml:space="preserve">    3201120297 Услуги по обслуживанию УЖДТ</t>
  </si>
  <si>
    <t xml:space="preserve">    3201120300 Услуги по эксплуатации энергоактиво</t>
  </si>
  <si>
    <t xml:space="preserve">    3201120330 Услуги по тех. обсл. средств измере</t>
  </si>
  <si>
    <t xml:space="preserve">    3201120340 Услуги по тех. обслуживанию холодил</t>
  </si>
  <si>
    <t xml:space="preserve">    3201120360 Услуги по очистке ж/д путей</t>
  </si>
  <si>
    <t>Услуги сторонних организаций</t>
  </si>
  <si>
    <t xml:space="preserve">    3202010050 Основная з/п</t>
  </si>
  <si>
    <t xml:space="preserve">    3202010150 Отпускные</t>
  </si>
  <si>
    <t xml:space="preserve">    3202020060 Расходы на питание</t>
  </si>
  <si>
    <t xml:space="preserve">    3202030010 З/плата работников занятых на общес</t>
  </si>
  <si>
    <t xml:space="preserve">    3202030170 Компенсация при увольнении посогл.с</t>
  </si>
  <si>
    <t xml:space="preserve">    3202030180 Выплата пособия по сокращению (осно</t>
  </si>
  <si>
    <t xml:space="preserve">    3205040099 Прочие выплаты</t>
  </si>
  <si>
    <t xml:space="preserve">    3205040100 Выплаты за обучение</t>
  </si>
  <si>
    <t xml:space="preserve">    3206010170 Социальные выплаты трудящимся(ФСР)</t>
  </si>
  <si>
    <t>Зарплата</t>
  </si>
  <si>
    <t xml:space="preserve">    3203000015 Страховые взносы</t>
  </si>
  <si>
    <t xml:space="preserve">    3203000016 Страховые взносы (увольнение по сог</t>
  </si>
  <si>
    <t xml:space="preserve">    3203000125 Страх.взносы от несчастных случаев</t>
  </si>
  <si>
    <t>Отчисления на з/п</t>
  </si>
  <si>
    <t xml:space="preserve">    3204000010 Амортизация зданий, сооружений</t>
  </si>
  <si>
    <t xml:space="preserve">    3204000020 Амортизация машин, оборудов., прочи</t>
  </si>
  <si>
    <t xml:space="preserve">    3204000090 Амортизация прочих ОС непроизв.назн</t>
  </si>
  <si>
    <t xml:space="preserve">    3204000100 Амортизация ОС в аренде</t>
  </si>
  <si>
    <t xml:space="preserve">    3204000110 Амортизация нематериальных активов</t>
  </si>
  <si>
    <t xml:space="preserve">    3204000130 Амортизация сменного оборудования</t>
  </si>
  <si>
    <t>Амортизация</t>
  </si>
  <si>
    <t xml:space="preserve">    3205030130 Добровольное медицинское страховани</t>
  </si>
  <si>
    <t>Добровольное страхование</t>
  </si>
  <si>
    <t xml:space="preserve">    3304000014 РБП сертификаты</t>
  </si>
  <si>
    <t xml:space="preserve">    3304000015 РБП обяз. страх. трансп. средств (О</t>
  </si>
  <si>
    <t xml:space="preserve">    3304000018 РБП добровольное страхование имущес</t>
  </si>
  <si>
    <t xml:space="preserve">    3304000019 РБП добр.страхов.гражд. ответственн</t>
  </si>
  <si>
    <t xml:space="preserve">    3304000020 РБП кол. страхов. от несчастных слу</t>
  </si>
  <si>
    <t xml:space="preserve">    3304000022 РБП программное обеспечение</t>
  </si>
  <si>
    <t>РБП</t>
  </si>
  <si>
    <t xml:space="preserve">    3205010010 Информационные услуги</t>
  </si>
  <si>
    <t xml:space="preserve">    3205010012 Информацион.услуги не учитываемые в</t>
  </si>
  <si>
    <t xml:space="preserve">    3205010020 Аудиторские услуги</t>
  </si>
  <si>
    <t xml:space="preserve">    3205010030 Юридические услуги</t>
  </si>
  <si>
    <t xml:space="preserve">    3205010050 Нотариальные услуги (по тарифу)</t>
  </si>
  <si>
    <t xml:space="preserve">    3205010051 Нотариальные услуги (сверх тарифа)</t>
  </si>
  <si>
    <t xml:space="preserve">    3205010060 Услуги по проведению испытаний,иссл</t>
  </si>
  <si>
    <t xml:space="preserve">    3205010070 Расходы на техническую информацию</t>
  </si>
  <si>
    <t xml:space="preserve">    3205010080 Медицинские услуги</t>
  </si>
  <si>
    <t xml:space="preserve">    3205010081 Мед.услуги,не учитываемые для налог</t>
  </si>
  <si>
    <t xml:space="preserve">    3205010110 Услуги предприятий связи</t>
  </si>
  <si>
    <t xml:space="preserve">    3205010120 Дератизация и дезинсекция</t>
  </si>
  <si>
    <t xml:space="preserve">    3205010150 Услуги Госпожнадзора</t>
  </si>
  <si>
    <t xml:space="preserve">    3205010155 Услуги по промышленной безопасности</t>
  </si>
  <si>
    <t xml:space="preserve">    3205010160 Охранные услуги</t>
  </si>
  <si>
    <t xml:space="preserve">    3205010180 Подписка на периодическую печать</t>
  </si>
  <si>
    <t xml:space="preserve">    3205010190 Бытовые услуги</t>
  </si>
  <si>
    <t xml:space="preserve">    3205010200 Услуги по организации обеспечения п</t>
  </si>
  <si>
    <t xml:space="preserve">    3205010210 Арендные платежи</t>
  </si>
  <si>
    <t xml:space="preserve">    3205010230 УслГеодезическойИГидрометеорологичС</t>
  </si>
  <si>
    <t xml:space="preserve">    3205010240 Услуги по управлению</t>
  </si>
  <si>
    <t xml:space="preserve">    3205010250 Поверка приборов</t>
  </si>
  <si>
    <t xml:space="preserve">    3205010256 Усл.регионального центра подготовки</t>
  </si>
  <si>
    <t xml:space="preserve">    3205010258 Питьевая вода для управления</t>
  </si>
  <si>
    <t xml:space="preserve">    3205010259 Услуги в области информационных тех</t>
  </si>
  <si>
    <t xml:space="preserve">    3205010261 Расходы на имидж</t>
  </si>
  <si>
    <t xml:space="preserve">    3205010900 Прочие услуги непромышленного харак</t>
  </si>
  <si>
    <t xml:space="preserve">    3205010901 Услуга копировально-множительная</t>
  </si>
  <si>
    <t xml:space="preserve">    3205010903 Полиграфическая продукция</t>
  </si>
  <si>
    <t xml:space="preserve">    3205010904 Проч.усл.непромышлен.характ,не учит</t>
  </si>
  <si>
    <t xml:space="preserve">    3205010910 Подготовка кадров ОбученСеминарКонф</t>
  </si>
  <si>
    <t xml:space="preserve">    3205011070 Услуги по вед.бухгалтерск. и налог.</t>
  </si>
  <si>
    <t xml:space="preserve">    3205040010 Вознагр.за рационализаторство и изо</t>
  </si>
  <si>
    <t xml:space="preserve">    3205040110 Проезд (обучение)</t>
  </si>
  <si>
    <t xml:space="preserve">    3205040115 Обучение (проезд-воздушный транспор</t>
  </si>
  <si>
    <t xml:space="preserve">    3205040120 Суточные (обучение) по норме</t>
  </si>
  <si>
    <t xml:space="preserve">    3205040130 Суточные (обучение) сверх норм</t>
  </si>
  <si>
    <t xml:space="preserve">    3205040140 Проживание (обучение)</t>
  </si>
  <si>
    <t xml:space="preserve">    3205040145 Проживание (обучение) сверх норм</t>
  </si>
  <si>
    <t xml:space="preserve">    3205040150 Участие в конференциях и семинарах</t>
  </si>
  <si>
    <t xml:space="preserve">    3205050010 Командировочные (проезд)</t>
  </si>
  <si>
    <t xml:space="preserve">    3205050015 Командировочные (проезд-воздушный т</t>
  </si>
  <si>
    <t xml:space="preserve">    3205050020 Командировочные (проживание)</t>
  </si>
  <si>
    <t xml:space="preserve">    3205050025 Командировочные расходы  (проживани</t>
  </si>
  <si>
    <t xml:space="preserve">    3205050030 Командировочные (суточные) по норме</t>
  </si>
  <si>
    <t xml:space="preserve">    3205050050 Командировочные (прочие)</t>
  </si>
  <si>
    <t xml:space="preserve">    3205050060 Оформление виз, паспортов</t>
  </si>
  <si>
    <t xml:space="preserve">    3205050080 Командировочные  загран.(проезд)</t>
  </si>
  <si>
    <t xml:space="preserve">    3205050090 Командировочные загран.(проживание)</t>
  </si>
  <si>
    <t xml:space="preserve">    3205050100 Командировочные загран. (суточные)</t>
  </si>
  <si>
    <t xml:space="preserve">    3205050130 Командировочные (суточные) свыше но</t>
  </si>
  <si>
    <t xml:space="preserve">    3205050140 Командировочные (проезд) не учит.дл</t>
  </si>
  <si>
    <t xml:space="preserve">    3205060010 Почтовые расходы</t>
  </si>
  <si>
    <t xml:space="preserve">    3205060021 Автоматическая м/г связь</t>
  </si>
  <si>
    <t xml:space="preserve">    3205060027 Услуги связи ГТС</t>
  </si>
  <si>
    <t xml:space="preserve">    3205060028 Услуги Новок.дистанции сигнал. и св</t>
  </si>
  <si>
    <t xml:space="preserve">    3205060032 Интернет</t>
  </si>
  <si>
    <t xml:space="preserve">    3205060040 Использование р/ч спектра</t>
  </si>
  <si>
    <t xml:space="preserve">    3205060042 Услуги сотовой связи</t>
  </si>
  <si>
    <t xml:space="preserve">    3205060043 Услуги Мин PФ по связи</t>
  </si>
  <si>
    <t xml:space="preserve">    3205070040 Приобретение литературы</t>
  </si>
  <si>
    <t xml:space="preserve">    3205080010 Расходы на проведение официальног.п</t>
  </si>
  <si>
    <t xml:space="preserve">    3205090050 Программные продукты и их сопровожд</t>
  </si>
  <si>
    <t xml:space="preserve">    3205090063 Доп.сборы за невыполн.плана ж/д пер</t>
  </si>
  <si>
    <t xml:space="preserve">    3205090062 Дополнительные сборы за простой ваг</t>
  </si>
  <si>
    <t xml:space="preserve">    3205090064 Прочие дополнительные сборы ж.д.</t>
  </si>
  <si>
    <t xml:space="preserve">    3205090080 Техосмотр автомобилей</t>
  </si>
  <si>
    <t xml:space="preserve">    3205090180 Услуги по аккредитации</t>
  </si>
  <si>
    <t xml:space="preserve">    3208000200 Плат.за земли санит.-защ.зоны по со</t>
  </si>
  <si>
    <t xml:space="preserve">    3299000032 Возмещение материального ущерба</t>
  </si>
  <si>
    <t xml:space="preserve">    3201030050 Питьевая вода в емкостях</t>
  </si>
  <si>
    <t xml:space="preserve">    3212010000 Резерв на выплату вознаграждений</t>
  </si>
  <si>
    <t xml:space="preserve">    3212010004 Резерв по выплатам ежегодн.вознагра</t>
  </si>
  <si>
    <t>Управленческие расходы</t>
  </si>
  <si>
    <t>Прочие расходы</t>
  </si>
  <si>
    <t xml:space="preserve">    3205020010 Транспортный налог</t>
  </si>
  <si>
    <t xml:space="preserve">    3205020020 Земельный налог</t>
  </si>
  <si>
    <t xml:space="preserve">    3205020030 Арендная плата за землю</t>
  </si>
  <si>
    <t xml:space="preserve">    3205020130 Налог на загрязнение окружающей сре</t>
  </si>
  <si>
    <t xml:space="preserve">    3205020160 Водный налог</t>
  </si>
  <si>
    <t xml:space="preserve">    3205020240 Плата за пользование водными объект</t>
  </si>
  <si>
    <t>Налоги в себестоимости</t>
  </si>
  <si>
    <t>Итого стр. 2220</t>
  </si>
  <si>
    <t>По данным ОСВ</t>
  </si>
  <si>
    <t>Сверка</t>
  </si>
  <si>
    <t>Итого</t>
  </si>
  <si>
    <t>Проверка</t>
  </si>
  <si>
    <t>ВБ1</t>
  </si>
  <si>
    <t>Код</t>
  </si>
  <si>
    <t>Прочее</t>
  </si>
  <si>
    <t>25%ДО</t>
  </si>
  <si>
    <t>Транспортные расходы</t>
  </si>
  <si>
    <t>3201030010  Вспомогательные материалы</t>
  </si>
  <si>
    <t>3201040030  Смазочные ма</t>
  </si>
  <si>
    <t>3201040040  Горючее</t>
  </si>
  <si>
    <t>3201060010 Запчасти</t>
  </si>
  <si>
    <t>3201090010  Инвен и ХозП</t>
  </si>
  <si>
    <t>3201100010 Спецодежда</t>
  </si>
  <si>
    <t>3201110015  ЭлектроэнЦех</t>
  </si>
  <si>
    <t>3201120270  УслПоХимичЧи</t>
  </si>
  <si>
    <t>3205010120  ДератизацДез</t>
  </si>
  <si>
    <t>3205010150  Услуги Госпо</t>
  </si>
  <si>
    <t>3304000015  РБП ОбязСтра</t>
  </si>
  <si>
    <t>Расходы на складское хозяйство</t>
  </si>
  <si>
    <t>Расходы на ГО и ЧС</t>
  </si>
  <si>
    <t>Плата за негат. воздействие на окр.среду</t>
  </si>
  <si>
    <t>Сумма согласно принт скрину</t>
  </si>
  <si>
    <t>Сумма согласно расшифровке</t>
  </si>
  <si>
    <t>Принт скрин из САП&gt;&gt;</t>
  </si>
  <si>
    <t>ссылка</t>
  </si>
  <si>
    <t>[1]</t>
  </si>
  <si>
    <t>[2]</t>
  </si>
  <si>
    <t>Уровень риска по счету - Минимальный</t>
  </si>
  <si>
    <t>Тип процедуры</t>
  </si>
  <si>
    <t>ВД1</t>
  </si>
  <si>
    <t xml:space="preserve">ВД3, ВД4, ВД5,ВД6 </t>
  </si>
  <si>
    <t>ВД5</t>
  </si>
  <si>
    <t>Проанализировать расходы на оплату услуг юристов и нотариусов, запросить информацию по услугам, оказанным на значительные суммы. Убедится, что раскрыта информация по всем текущим судебным разбирательствам.</t>
  </si>
  <si>
    <t>ВД4</t>
  </si>
  <si>
    <t>Проверьте классификацию стоимости услуг между себестоимостью продаж, коммерческими, общими и административными расходами.</t>
  </si>
  <si>
    <t>ВД3</t>
  </si>
  <si>
    <t>ВД6</t>
  </si>
  <si>
    <t>ВД7</t>
  </si>
  <si>
    <t>Мы получили расшифровку Клиента по расходам на складское хозяйство, а также по расходам на ГО и ЧС.</t>
  </si>
  <si>
    <t>О4</t>
  </si>
  <si>
    <t>Используемые сокращения:</t>
  </si>
  <si>
    <t xml:space="preserve">мы убедились, что отклонения от ожиданий находятся в допустимых пределах. </t>
  </si>
  <si>
    <t>Мы выполнили все запланированные аудиторские процедуры в отношении административных расходов, включая применимые основные процедуры проверки по существу.</t>
  </si>
  <si>
    <t>Административные расходы</t>
  </si>
  <si>
    <t>По данным пакета, тыс. долл.</t>
  </si>
  <si>
    <t>Изменение,
тыс.долл</t>
  </si>
  <si>
    <t>9м 2017, 
тыс. долл.</t>
  </si>
  <si>
    <t>Складские</t>
  </si>
  <si>
    <t>ГО и ЧС</t>
  </si>
  <si>
    <t>Мы сверили ее с ОСВ, расхождений не выявлено.</t>
  </si>
  <si>
    <t>Существенных расхождений не обнаружено.</t>
  </si>
  <si>
    <t>Вспомогательно&gt;&gt;</t>
  </si>
  <si>
    <t>Мы выяснили, что расходы на складское хозяйство и расходы на ГО и ЧС переклассифицируются из административных в себестоимость.</t>
  </si>
  <si>
    <t>Исх. реф</t>
  </si>
  <si>
    <t>ВА3</t>
  </si>
  <si>
    <t>3/4 от 25% ДО</t>
  </si>
  <si>
    <t>Ср.курс за 2017</t>
  </si>
  <si>
    <t>Курс на 31.12.2017</t>
  </si>
  <si>
    <t xml:space="preserve">    3201030030 Вспомогательные материалы  б/у</t>
  </si>
  <si>
    <t xml:space="preserve">    3201070035 Малоценные объекты б/у</t>
  </si>
  <si>
    <t xml:space="preserve">    3205010170 Услуги по подбору и найму персонала</t>
  </si>
  <si>
    <t xml:space="preserve">    3205050150 Командировочные прочие, не учитывае</t>
  </si>
  <si>
    <t>Средний курс за 9м2018</t>
  </si>
  <si>
    <t>Курс на 30.09.2018</t>
  </si>
  <si>
    <t>за 9мес.2018 при определении порога мы умножали аллокированный ДО дополнительно на 3/4.</t>
  </si>
  <si>
    <t>9м 2018, 
тыс. руб.</t>
  </si>
  <si>
    <t>9м 2018, тыс. руб.</t>
  </si>
  <si>
    <t>9м 2018, 
тыс. долл.</t>
  </si>
  <si>
    <t>9м 2017,
тыс. долл.</t>
  </si>
  <si>
    <t>Ожидание за 9 мес 2018</t>
  </si>
  <si>
    <t xml:space="preserve">    3201070030 Малоценные объекты ДИТ</t>
  </si>
  <si>
    <t xml:space="preserve">    3299000608 Запасные части Б/У</t>
  </si>
  <si>
    <t xml:space="preserve">    3299000060 СмазочнМатериалыБ.У</t>
  </si>
  <si>
    <t xml:space="preserve">    3299000062 Металлолом от ремонтов</t>
  </si>
  <si>
    <t xml:space="preserve">    3201120095 Тех. обслуживание автотранспорта</t>
  </si>
  <si>
    <t xml:space="preserve">    3212010005 Резерв на выплату 13 зарплаты</t>
  </si>
  <si>
    <t xml:space="preserve">    3212010006 Резерв на Страховые взносы по 13 зп</t>
  </si>
  <si>
    <t xml:space="preserve">    3205010040 Консалтинговые услуги</t>
  </si>
  <si>
    <t xml:space="preserve">    3205010320 Оценочные работы</t>
  </si>
  <si>
    <t xml:space="preserve">    3205020251 Экология. Экологический мониторинг</t>
  </si>
  <si>
    <t xml:space="preserve">    3205020252 Экология. Разработка документации</t>
  </si>
  <si>
    <t xml:space="preserve">    3205020254 Экология. Обращение с отходами</t>
  </si>
  <si>
    <t xml:space="preserve">    3205050040 Командировочные (суточные) свыше но</t>
  </si>
  <si>
    <t xml:space="preserve">    3205060033 Расх., связанные с использ. корп.ка</t>
  </si>
  <si>
    <t xml:space="preserve">    3205080020 Транспортное обслуживание</t>
  </si>
  <si>
    <t xml:space="preserve">    3205080030 Буфетное обслуживание</t>
  </si>
  <si>
    <t xml:space="preserve">    3209000025 Плата за пользование вагонами</t>
  </si>
  <si>
    <t xml:space="preserve">    3299000710 Прочие расходы</t>
  </si>
  <si>
    <t xml:space="preserve">    3299000706 Аренда основных средств</t>
  </si>
  <si>
    <t>Всего 9м2018</t>
  </si>
  <si>
    <t>3201070010 МалоценныеОбъекты</t>
  </si>
  <si>
    <t>Сверка расходов по гражданской обороне и чрезвычайным ситуациям с данными учета, 9м2018</t>
  </si>
  <si>
    <t xml:space="preserve"> Сверка расшифровки складских расходов с данными учета, 9м2018</t>
  </si>
  <si>
    <t>А7.3.2</t>
  </si>
  <si>
    <t>ВД2</t>
  </si>
  <si>
    <t>Мы провели все запланированные процедуры в части административных расходов и не выявили существенных ошибок.</t>
  </si>
  <si>
    <t>Мы не предлагали компании дополнительных корректировок.</t>
  </si>
  <si>
    <t>Убедиться, что РСБУ сумма расходов корректна.</t>
  </si>
  <si>
    <t xml:space="preserve">Поскольку расчет аллокированного ДО выполнен основной командой на основе аннуализированных данных, то для анализа изменений </t>
  </si>
  <si>
    <t>Мы просмотрели расшифровку на предмет необычных сумм и не выявили таковых.</t>
  </si>
  <si>
    <r>
      <t xml:space="preserve">Расшифровка  с надлежащим уровнем детализации для данной процедуры и установленный для анализа порог обеспечили </t>
    </r>
    <r>
      <rPr>
        <b/>
        <sz val="10"/>
        <color rgb="FF000000"/>
        <rFont val="Arial"/>
        <family val="2"/>
        <charset val="204"/>
      </rPr>
      <t>достаточный уровень уверенности</t>
    </r>
    <r>
      <rPr>
        <sz val="10"/>
        <color rgb="FF000000"/>
        <rFont val="Arial"/>
        <family val="2"/>
        <charset val="204"/>
      </rPr>
      <t xml:space="preserve"> от аналитической процедуры по счету.</t>
    </r>
  </si>
  <si>
    <t>С учетом минимального риска по счету и полученного уровня уверенности дополнительных позиций для тестирования мы не выбирали.</t>
  </si>
  <si>
    <t>Структура 9м2017</t>
  </si>
  <si>
    <t>Изменения, тыс.руб.</t>
  </si>
  <si>
    <t>Изменения в структуре</t>
  </si>
  <si>
    <t>Итого материальные расходы</t>
  </si>
  <si>
    <t>По данным ГА</t>
  </si>
  <si>
    <t>КГ</t>
  </si>
  <si>
    <t>СК</t>
  </si>
  <si>
    <t>Металлэнергофинанс, ООО</t>
  </si>
  <si>
    <t>ТВН, ООО</t>
  </si>
  <si>
    <t>ТВ-Мост, ООО</t>
  </si>
  <si>
    <t>Центр сервисных решений, ООО</t>
  </si>
  <si>
    <t>Компании, не входящие в периметр консолидации</t>
  </si>
  <si>
    <t>ЧОП Интерлок-Н, ООО</t>
  </si>
  <si>
    <t>9м2017</t>
  </si>
  <si>
    <t>Структура 9м2018</t>
  </si>
  <si>
    <t>Цель</t>
  </si>
  <si>
    <t>Выполненная работа</t>
  </si>
  <si>
    <t>Мы сверили расшифровку с гибким анализом и не выявили существенных расхождений.</t>
  </si>
  <si>
    <t>таким образом мы подтвердили, что распределение расходов по видам компаний правильное.</t>
  </si>
  <si>
    <t>Вывод</t>
  </si>
  <si>
    <t>Компания</t>
  </si>
  <si>
    <t>ПК</t>
  </si>
  <si>
    <t>Итого (КГ, ПК, СК)</t>
  </si>
  <si>
    <t>9м 2017</t>
  </si>
  <si>
    <t>Тип контрагента</t>
  </si>
  <si>
    <t>Наименование компании</t>
  </si>
  <si>
    <t>Изменения, %</t>
  </si>
  <si>
    <t>ЧОП Интерлок-НКМК, ООО</t>
  </si>
  <si>
    <t>Объединенные учетные системы, АО</t>
  </si>
  <si>
    <t xml:space="preserve">Признак </t>
  </si>
  <si>
    <t>Итого профессиональные услуги</t>
  </si>
  <si>
    <t>Прочие компании</t>
  </si>
  <si>
    <t>Таблица 1. Расшифровка прочих профессиональных услуг по видам компаний, 9м2018</t>
  </si>
  <si>
    <t>Таблица 2. Расшифровка прочих профессиональных услуг по контрагентам, 9м2018</t>
  </si>
  <si>
    <t>Таблица 3. Профессиональные услуги в составе административных расходов помесячно за 9м2018</t>
  </si>
  <si>
    <t>9м 2018</t>
  </si>
  <si>
    <t>-</t>
  </si>
  <si>
    <t>Отклонение от среднего</t>
  </si>
  <si>
    <t>Комментарий 1</t>
  </si>
  <si>
    <t>В расшифровку включены также расходы на складское хозяйство, а также ГО и ЧС, которые автоматически переходят из административных расходов в себестоимость.</t>
  </si>
  <si>
    <r>
      <t xml:space="preserve">Разбор рекласса см. на </t>
    </r>
    <r>
      <rPr>
        <b/>
        <sz val="10"/>
        <color rgb="FFFF0000"/>
        <rFont val="Arial"/>
        <family val="2"/>
        <charset val="204"/>
      </rPr>
      <t>ВД7</t>
    </r>
    <r>
      <rPr>
        <sz val="10"/>
        <color theme="1"/>
        <rFont val="Arial"/>
        <family val="2"/>
        <charset val="204"/>
      </rPr>
      <t>.</t>
    </r>
  </si>
  <si>
    <t xml:space="preserve">МСФО 2220 строка </t>
  </si>
  <si>
    <t>Прочие профессиональные услуги и транспортные расходы</t>
  </si>
  <si>
    <t>9м2018:</t>
  </si>
  <si>
    <t>Мы сравнили с расходами за 9мес 2017 года и объяснили существенные изменения (более 10% и 3/4 от 25%ДО).</t>
  </si>
  <si>
    <t>Мы проанализировали помесячные изменения в расходах за 9м2018.</t>
  </si>
  <si>
    <t>Рекласс на 9м2018</t>
  </si>
  <si>
    <t>Итого рекласс в с/с 9м2018</t>
  </si>
  <si>
    <t>Мы сверили расшифровку с гибким анализом.</t>
  </si>
  <si>
    <r>
      <t>Мы сверили суммы расходов с договором, смотри</t>
    </r>
    <r>
      <rPr>
        <b/>
        <sz val="10"/>
        <color rgb="FF0000FF"/>
        <rFont val="Arial"/>
        <family val="2"/>
        <charset val="204"/>
      </rPr>
      <t xml:space="preserve"> Примечание 1</t>
    </r>
    <r>
      <rPr>
        <sz val="10"/>
        <rFont val="Arial"/>
        <family val="2"/>
        <charset val="204"/>
      </rPr>
      <t>, расхождений не обнаружено.</t>
    </r>
  </si>
  <si>
    <t>Вывод:</t>
  </si>
  <si>
    <t>Примечание 1</t>
  </si>
  <si>
    <t>Свод ошибок</t>
  </si>
  <si>
    <t>Профессиональные услуги</t>
  </si>
  <si>
    <t>Услуги УК</t>
  </si>
  <si>
    <t>ВБ1.3</t>
  </si>
  <si>
    <t>Итого прочие расходы</t>
  </si>
  <si>
    <t>МСФО 9мес2017 
Е Руда,тыс.долл.</t>
  </si>
  <si>
    <t>по данным ГА</t>
  </si>
  <si>
    <t>Мы провели анализ расходов помесячно, а также сравнили с расходами прошлого года.</t>
  </si>
  <si>
    <t>Содержание, время проведения и объем процедур на 30.09.2018</t>
  </si>
  <si>
    <t>К1.2</t>
  </si>
  <si>
    <t>Комментарий 2</t>
  </si>
  <si>
    <t>Источник: получено в рамках доп. запроса</t>
  </si>
  <si>
    <t>Признак</t>
  </si>
  <si>
    <t>Наименование кредитора</t>
  </si>
  <si>
    <t>Балансовый счет</t>
  </si>
  <si>
    <t>Наименование счета</t>
  </si>
  <si>
    <t>МВЗ</t>
  </si>
  <si>
    <t>Cумма по дебету</t>
  </si>
  <si>
    <t>Дата проводки</t>
  </si>
  <si>
    <t>Комментарий 3</t>
  </si>
  <si>
    <t>Расшифровка строки "3205010160 Охранные услуги", 9м 2018</t>
  </si>
  <si>
    <t>Закрытое акционерное общество "Интерфакс"</t>
  </si>
  <si>
    <t>Общество с ограниченной ответственностью "Запсиблифт"</t>
  </si>
  <si>
    <t>Общество с ограниченной ответственностью "Межрегиональное бюро коммерческой информации"</t>
  </si>
  <si>
    <t>Охранные услуги</t>
  </si>
  <si>
    <t>ООО "ЧОП "Интерлок-Н"</t>
  </si>
  <si>
    <t>ООО ЧОП "ИНТЕРЛОК-НКМК"</t>
  </si>
  <si>
    <t>ФГУП "Охрана" МВД России</t>
  </si>
  <si>
    <t>ФГКУ УВО ГУ МВД РФ Кемеровской обл.</t>
  </si>
  <si>
    <t>Расходы на амортизацию</t>
  </si>
  <si>
    <t>Итого Общие и административные расходы</t>
  </si>
  <si>
    <t>9м 2017, тыс. долл.</t>
  </si>
  <si>
    <t>Факт 9м 2018, тыс. долл.</t>
  </si>
  <si>
    <t>расчет</t>
  </si>
  <si>
    <t>Официальная ставка инфляции за 9м2018</t>
  </si>
  <si>
    <t>Мы использовали официальную ставку инфляции по данным сайтам федстат.ру (раздел "индексы потребительских цен на товары и услуги").</t>
  </si>
  <si>
    <t>Мы выбрали ставку инфляции по столбцу "в % к соответствующему периоду предыдущего года"</t>
  </si>
  <si>
    <t>Мы выбрали в столбце "Территории" - Российская Федерация, даты - январь-сентябрь 2018</t>
  </si>
  <si>
    <t xml:space="preserve">Суммы вознаграждения согласно доп.соглашению к договору №14 "О передаче полномочий единоличного исполнительного </t>
  </si>
  <si>
    <t>Сумма вознаграждения с июля 2018 согласно доп соглашению №14</t>
  </si>
  <si>
    <t>Номер дополнительного соглашения</t>
  </si>
  <si>
    <t>Дата</t>
  </si>
  <si>
    <t>Сумма вознаграждения</t>
  </si>
  <si>
    <t>№13</t>
  </si>
  <si>
    <t>№14</t>
  </si>
  <si>
    <t>02.08.2018</t>
  </si>
  <si>
    <t>12.12.2016</t>
  </si>
  <si>
    <t>3И</t>
  </si>
  <si>
    <t>У0</t>
  </si>
  <si>
    <t>УЕ</t>
  </si>
  <si>
    <t>Вне объема аудита</t>
  </si>
  <si>
    <t>Сайт:федстат.ру</t>
  </si>
  <si>
    <t>Ожидаемые расходы  за 9м2018, тыс. руб.</t>
  </si>
  <si>
    <t>Ожидаемые расходы за 9м2018, тыс. долл.</t>
  </si>
  <si>
    <t>Комментарий 4</t>
  </si>
  <si>
    <t>Свод административных расходов</t>
  </si>
  <si>
    <t>за 9мес.2018 при определении порога мы умножали аллокированный ДО на 3/4.</t>
  </si>
  <si>
    <t>А1.2.1.2</t>
  </si>
  <si>
    <t>По данным ЭЯ</t>
  </si>
  <si>
    <t>Мы сверили сумму в пакете отчетности с данными ЭЯ и не обнаружили существенных расхождений.</t>
  </si>
  <si>
    <t>Расшифровка строки 2220</t>
  </si>
  <si>
    <t>Таблица 1. Сопоставление кода и вида расходов 9м2018:</t>
  </si>
  <si>
    <t>Таблица 2. Расшифровка строки 2220 Формы №2 за 9м 2018 г.</t>
  </si>
  <si>
    <t>формула</t>
  </si>
  <si>
    <t>На основании нашего понимания бизнеса клиента и природы профессиональных услуг, мы проставили признак - компании группы, прочие компании или связанные стороны,</t>
  </si>
  <si>
    <t>за 9мес2018 при определении порога мы умножали аллокированный ДО дополнительно на 3/4.</t>
  </si>
  <si>
    <t>Сумма проф.услуг в среднем за месяц</t>
  </si>
  <si>
    <t>Рост стоимости услуг</t>
  </si>
  <si>
    <t>ВД1. Консультационные услуги</t>
  </si>
  <si>
    <t>ПППС</t>
  </si>
  <si>
    <t>Свод консультационных услуг</t>
  </si>
  <si>
    <t>Анализ основных элементов консультационных услуг</t>
  </si>
  <si>
    <t xml:space="preserve">Выполните помесячный анализ основных элементов консультационных услуг. </t>
  </si>
  <si>
    <t>БППС</t>
  </si>
  <si>
    <t>Компоненты расходов на консультационные услуги</t>
  </si>
  <si>
    <t>Получение расшифровки на консультационные услуги, отраженных на счетах бухгалтерского учета (например, расходов на юридические, налоговые услуги). Сравнение с показателями предыдущего периода и изучение существенных или необычных колебаний, включая отсутствие ожидаемых колебаний. Изучение необычных операций и тестирование операций с учетом проведенной комбинированной оценки рисков и установленного для целей тестирования порогового значения путем анализа исходной документации на предмет их обоснованности и экономической целесообразности.</t>
  </si>
  <si>
    <t xml:space="preserve">Обзор крупных и необычных расходов на консультационные услуги </t>
  </si>
  <si>
    <t>Проанализируйте расшифровку на наличие и целесообразность крупных и необычных расходов.
Произвести обзор первичной документации на предмет обоснованности расходов и целей бизнеса.</t>
  </si>
  <si>
    <t>Консультационные услуги. Классификация</t>
  </si>
  <si>
    <t>Консультационные услуги. Полнота подтверждения юристов</t>
  </si>
  <si>
    <t>БТЗ</t>
  </si>
  <si>
    <t>Подготовка заключения по ВД1. Консультационные услуги</t>
  </si>
  <si>
    <t>Подготовьте свод консультационных услуг за 9м2018. Постройте ожидание для соответствующих строк ОФП /ОФР и объясните существенные отклонения (свыше 3/4 от 25% ДО и 10%) от фактических сумм. Подготовьте свод трансформации, который должен включать по крайней мере: РСБУ суммы, все МСФО проводки, сделанные клиентом, суммы МСФО по данным клиента, колонки корректировок ЭЯ, суммы МСФО по данным ЭЯ. Сделайте перекрестные ссылки между суммами и Трансформацией.</t>
  </si>
  <si>
    <t>ВД2. Услуги управляющей компании</t>
  </si>
  <si>
    <t>Свод расходов услуг управляющей компании</t>
  </si>
  <si>
    <t>Анализ составляющих услуг управляющей компании</t>
  </si>
  <si>
    <t>Выполните помесячный анализ основных элементов расходов на услуги управляющей компании.</t>
  </si>
  <si>
    <t>Услуги управляющей компании. Услуги управления</t>
  </si>
  <si>
    <t>Выполните рационализацию расходов на услуги управления за год.</t>
  </si>
  <si>
    <t>Услуги управляющей компании. Классификация</t>
  </si>
  <si>
    <t xml:space="preserve"> Подготовьте свод Услуг управляющей компании за 9м2018. Постройте ожидание для соответствующих строк ОФП /ОФР и объясните существенные отклонения (свыше 3/4 от 25% ДО и 10%) от фактических сумм. Подготовьте свод трансформации, который должен включать по крайней мере: РСБУ суммы, все МСФО проводки, сделанные клиентом, суммы МСФО по данным клиента, колонки корректировок ЭЯ, суммы МСФО по данным ЭЯ. Сделайте перекрестные ссылки между суммами и Трансформацией.</t>
  </si>
  <si>
    <t>Таблица 1. Прочие расходы в составе административных расходов помесячно за 9м2018</t>
  </si>
  <si>
    <t>Таблица 1. Услуги управляющей компании в составе административных расходов помесячно за 9 месяцев 2018.</t>
  </si>
  <si>
    <t>Мы сравнили помесячные отклонения от средней суммы расходов, и выявили 2 месяца (март и июль) с существенным увеличением.</t>
  </si>
  <si>
    <t>3Ж</t>
  </si>
  <si>
    <t>ВИ</t>
  </si>
  <si>
    <t>ФХ83000</t>
  </si>
  <si>
    <t>ФП83011</t>
  </si>
  <si>
    <t>ФП83012</t>
  </si>
  <si>
    <t>ФП83013</t>
  </si>
  <si>
    <t>ПИ7314</t>
  </si>
  <si>
    <t>Ист Металс АГ</t>
  </si>
  <si>
    <t>Изменение</t>
  </si>
  <si>
    <t>Комментарий</t>
  </si>
  <si>
    <t xml:space="preserve">на уровне 9м2017года с учетом инфляции </t>
  </si>
  <si>
    <t>Пересчет ЭЯ</t>
  </si>
  <si>
    <t>разница</t>
  </si>
  <si>
    <t>разница, %</t>
  </si>
  <si>
    <t>Средний курс за 1 кв 2018</t>
  </si>
  <si>
    <t>Средний курс за 2 кв 2018</t>
  </si>
  <si>
    <t>Средний курс за 3 кв 2018</t>
  </si>
  <si>
    <t>с учетом ЕАР 1 6м2018</t>
  </si>
  <si>
    <t>сумма вознаграждения 6м2018 ЕАР, тыс.долл</t>
  </si>
  <si>
    <t>несущ, менее НСО</t>
  </si>
  <si>
    <t>А3.5</t>
  </si>
  <si>
    <t>Ежемесячная оплата 2017 год</t>
  </si>
  <si>
    <t>По данным клиента</t>
  </si>
  <si>
    <t>ВД0</t>
  </si>
  <si>
    <t>Счет с ограниченным риском (в канвасе  несущественный счет)</t>
  </si>
  <si>
    <t>Счета / Процедуры</t>
  </si>
  <si>
    <t>По данным Компании</t>
  </si>
  <si>
    <t>Необъясненная разница</t>
  </si>
  <si>
    <t>Расшифровка строки 2220 Ф №2, складское хозяйство, за 9м 2018</t>
  </si>
  <si>
    <t>Складское хозяйство (ПИ7314 счет)</t>
  </si>
  <si>
    <t>ГО и ЧС (ПИ7314)</t>
  </si>
  <si>
    <t>проект внедрения бизнес-системы (БСЕ)</t>
  </si>
  <si>
    <t>программа повышения эффективности сталеплавильного производства</t>
  </si>
  <si>
    <t>программа повышения организационной эффективности сталеплавильного производства коксоаглодоменного производства</t>
  </si>
  <si>
    <t>тыс. руб. (без НДС)</t>
  </si>
  <si>
    <t>срок платежа</t>
  </si>
  <si>
    <t>23.03.2018</t>
  </si>
  <si>
    <t>29.03.2018</t>
  </si>
  <si>
    <t>19.07.2018</t>
  </si>
  <si>
    <t>26.07.2018</t>
  </si>
  <si>
    <t>проект</t>
  </si>
  <si>
    <t>за 6 мес с янв по июнь</t>
  </si>
  <si>
    <t>за 3 мес с июля по сент</t>
  </si>
  <si>
    <t>9м2018</t>
  </si>
  <si>
    <t>Стоимость услуг по ведению учета</t>
  </si>
  <si>
    <t>Итого:</t>
  </si>
  <si>
    <t>При этом учитывается характер и объем оказываемых услуг, затраты управляющей компании, а также  рыночный уровень рентабельности сопоставимых услуг.</t>
  </si>
  <si>
    <t>К11</t>
  </si>
  <si>
    <t>Для сверки материалов, списанных в производство&gt;&gt;</t>
  </si>
  <si>
    <t>Исх. Реф.</t>
  </si>
  <si>
    <t>октябрь</t>
  </si>
  <si>
    <t>ноябрь</t>
  </si>
  <si>
    <t>декабрь</t>
  </si>
  <si>
    <t>Всего 4 квартал 2018</t>
  </si>
  <si>
    <t>Всего 12м2018</t>
  </si>
  <si>
    <t>Таблица 1. Материальные расходы в составе административных расходов помесячно за 9м2018</t>
  </si>
  <si>
    <t>Рекласс на 12м2018</t>
  </si>
  <si>
    <t>Итого рекласс в с/с 12м2018</t>
  </si>
  <si>
    <t>Сверить расшифровку Административных расходов за 9 и 12 месяцев 2018 с ОСВ за 9 и 12 месяцев 2018 года, а также с гибким анализом.</t>
  </si>
  <si>
    <t>Мы получили расшифровку Клиента по Административным расходам за 9  и 12 месяцев 2018 года.</t>
  </si>
  <si>
    <t>Мы не ожидаем значительных изменений в административных расходах.</t>
  </si>
  <si>
    <t>Ожидания по административным расходам за 4й квартал 2018</t>
  </si>
  <si>
    <t>Отклонение от факта</t>
  </si>
  <si>
    <t>Отклонение от факта, %</t>
  </si>
  <si>
    <t>тыс.руб.</t>
  </si>
  <si>
    <t>Расшифровка стр.2220 Ф №2 ГУ МЧС России за 9м 2018</t>
  </si>
  <si>
    <r>
      <rPr>
        <b/>
        <sz val="10"/>
        <color theme="1"/>
        <rFont val="Arial"/>
        <family val="2"/>
        <charset val="204"/>
      </rPr>
      <t xml:space="preserve">Складские расходы </t>
    </r>
    <r>
      <rPr>
        <sz val="10"/>
        <color theme="1"/>
        <rFont val="Arial"/>
        <family val="2"/>
        <charset val="204"/>
      </rPr>
      <t>- расходы, связанные с хранением и пополнением запасов в течение определенного периода времени - необходимым этапом производственного процесса).</t>
    </r>
  </si>
  <si>
    <t>в целях приведения себестоимости производства к себестоимости продаж.</t>
  </si>
  <si>
    <r>
      <t xml:space="preserve">Основные </t>
    </r>
    <r>
      <rPr>
        <b/>
        <sz val="10"/>
        <color theme="1"/>
        <rFont val="Arial"/>
        <family val="2"/>
        <charset val="204"/>
      </rPr>
      <t>расходы по гражданской обороне и чрезвычайным ситуациям</t>
    </r>
    <r>
      <rPr>
        <sz val="10"/>
        <color theme="1"/>
        <rFont val="Arial"/>
        <family val="2"/>
        <charset val="204"/>
      </rPr>
      <t xml:space="preserve"> составляют расходы на услуги Госпожнадзора.</t>
    </r>
  </si>
  <si>
    <t>В компании расходы на проведение противопожарных мероприятий, установку противопожарных систем, приобретение первичных средств пожаротушения,</t>
  </si>
  <si>
    <t>обучение работников пожарно-техническому минимуму для получаения заключения Госпожнадзора относятся к составу Себестоимости.</t>
  </si>
  <si>
    <t xml:space="preserve"> Сверка расшифровки складских расходов с данными учета, 12м2018</t>
  </si>
  <si>
    <t>Сверка расходов по гражданской обороне и чрезвычайным ситуациям с данными учета, 12м2018</t>
  </si>
  <si>
    <t>3201110025  ТеплоэнергСо</t>
  </si>
  <si>
    <t>3201130105  УслСобсЦехПо</t>
  </si>
  <si>
    <t>3201140030  ИнструмИСпец</t>
  </si>
  <si>
    <t>3205010250  ПоверкаПрибо</t>
  </si>
  <si>
    <t xml:space="preserve">Номер счета </t>
  </si>
  <si>
    <t xml:space="preserve">Вид затрат </t>
  </si>
  <si>
    <t>4й кв 2018</t>
  </si>
  <si>
    <t>12мес2018</t>
  </si>
  <si>
    <t>За 4й квартал 2018 &gt;&gt;&gt;</t>
  </si>
  <si>
    <t>За 9м2018</t>
  </si>
  <si>
    <t>За 12м2018</t>
  </si>
  <si>
    <t>Несущ.</t>
  </si>
  <si>
    <t>Ожидания по расходам на услуги управляющей компании за 4й квартал 2018</t>
  </si>
  <si>
    <t>31.12.2018</t>
  </si>
  <si>
    <t>12м2018:</t>
  </si>
  <si>
    <t>Таблица 1.1 Расшифровка прочих профессиональных услуг по видам компаний, 12м2018</t>
  </si>
  <si>
    <t>12м 2018</t>
  </si>
  <si>
    <t>Таблица 2.1. Расшифровка прочих профессиональных услуг по контрагентам, 12м2018</t>
  </si>
  <si>
    <t>Итого 4кв2018</t>
  </si>
  <si>
    <t>Получить разбивку по расходам на услуги управляющей компании за 9 и 12 месяцев 2018 года.</t>
  </si>
  <si>
    <t>Мы сделали помесячную разбивку расходов на вознаграждения УК за 9 и 12 месяцев 2018.</t>
  </si>
  <si>
    <t xml:space="preserve"> </t>
  </si>
  <si>
    <t>Ожидаемые мат. расходы за 4й квартал 2018</t>
  </si>
  <si>
    <t>Ожидание 4й кв 2018</t>
  </si>
  <si>
    <t>Отклонение, тыс.руб</t>
  </si>
  <si>
    <t>Отклонение, %</t>
  </si>
  <si>
    <t>1/2 от 25% ДО</t>
  </si>
  <si>
    <t>Мы построили ожидания на 4 квартал 2018 года и сравнили ожидание с фактическим данными, порог - 10% и 1/2 от 25% ДО.</t>
  </si>
  <si>
    <t>Факт 4 квартал 2018</t>
  </si>
  <si>
    <t>Ожидания по расходам на профессиональные услуги за 4й квартал 2018</t>
  </si>
  <si>
    <t>Ожидаемые расходы на проф. услуги за 4й квартал 2018</t>
  </si>
  <si>
    <t>Ожидаемые расходы на услуги УК за 4й квартал 2018</t>
  </si>
  <si>
    <t>Ожидания по прочим расходам компании за 4й квартал 2018</t>
  </si>
  <si>
    <t>Ожидаемые прочие расходы за 4й квартал 2018</t>
  </si>
  <si>
    <t>Ожидаемые расходы на  складское хозяйство за 4й квартал 2018</t>
  </si>
  <si>
    <t>Ожидаемые расходы на ГО и ЧС за 4й квартал 2018</t>
  </si>
  <si>
    <t>30.09.2018</t>
  </si>
  <si>
    <t>Подготовить свод  для счетов Административные расходы за 9 и 12 месяцев 2018.</t>
  </si>
  <si>
    <t>Таблица 1. Административные расходы по данным пакета отчетности за 12 месяцев 2018 г.</t>
  </si>
  <si>
    <t>Таблица 2. Административные расходы по данным гибкого анализа за 12 месяцев 2018 г.</t>
  </si>
  <si>
    <t>12м 2018, тыс. руб.</t>
  </si>
  <si>
    <t xml:space="preserve">Построить ожидание для соответствующих строк ОФР и объяснить существенные отклонения </t>
  </si>
  <si>
    <t>(свыше 3/4 от 25% ДО и 10% на 9м2018 и свыше 25% ДО и 10% на 12м2018).</t>
  </si>
  <si>
    <t>то для анализа изменений и выполнения других аналитических процедур</t>
  </si>
  <si>
    <t xml:space="preserve">Поскольку расчет аллокированного ДО на 9м выполнен основной командой на основе аннуализированных данных, </t>
  </si>
  <si>
    <t>12м 2018, 
тыс. руб.</t>
  </si>
  <si>
    <t>12м 2018, 
тыс. долл.</t>
  </si>
  <si>
    <t>12м 2017, 
тыс. долл.</t>
  </si>
  <si>
    <t>12м 2017,
тыс. долл.</t>
  </si>
  <si>
    <t>Мы подготовили Сводную таблицу Административных расходов за 9 и 12 месяцев 2018 года.</t>
  </si>
  <si>
    <t xml:space="preserve">Мы построили ожидания на 9 и 12 месяцев 2018 и сравнили с фактическими расходами, </t>
  </si>
  <si>
    <t>Ожидание за 12 мес 2018</t>
  </si>
  <si>
    <t>12м 2017, тыс. долл.</t>
  </si>
  <si>
    <t>Факт 12м 2018, тыс. долл.</t>
  </si>
  <si>
    <t>за 6 мес с июля по декабрь</t>
  </si>
  <si>
    <t>Ожидаемые расходы  за 12м2018, тыс. руб.</t>
  </si>
  <si>
    <t>Ожидаемые расходы  за 12м2018, тыс. долл.</t>
  </si>
  <si>
    <t>Содержание, время проведения и объем процедур на 31.12.2018</t>
  </si>
  <si>
    <t>Обновите данные свода за 9м2018 и сравните данные по статьям с данными за 9м2017. Инвестигируйте все необычные изменения и отклонения от ожидания. Если по результатам сравнения будут идентифицированы существенные отклонения от ожидания, необходимо получить понимание данных отклонений, а также обозначить перечень необходимых процедур.</t>
  </si>
  <si>
    <t>При отсутствии существенных необъяснимых изменений за период до 30.09.2018, и при наличии существенных аудиторских доказательств от проведения аналитических процедур, не требуется дополнительных процедур.</t>
  </si>
  <si>
    <t>Сделать вывод относительно существенного счета или раскрываемой информации. Оценить обоснованность и результаты выполненных процедур по существу, а также существенные выводы при их наличии. Определить, были ли получены достаточные надлежащие аудиторские доказательства в отношении существенных счетов, раскрываемой информации и соответствующих предпосылок.</t>
  </si>
  <si>
    <t>ДО на 30.09.2018</t>
  </si>
  <si>
    <t>НСО на 30.09.2018</t>
  </si>
  <si>
    <t>ДО на 31.12.2018</t>
  </si>
  <si>
    <t>НСО на 31.12.2018</t>
  </si>
  <si>
    <t>МСФО 12мес2017 
Е Руда,тыс.долл.</t>
  </si>
  <si>
    <t>Сверка с пакетом отчетности</t>
  </si>
  <si>
    <t>А1.4</t>
  </si>
  <si>
    <t>Сайт: гкс.ру</t>
  </si>
  <si>
    <t>Проанализировать изменения сумм основных статей расходов за 9м2018 относительно 9м2017 и за 12м2018 относительно 12м2017.</t>
  </si>
  <si>
    <t xml:space="preserve">Отдельно на соответствующих листах мы построили ожидания на 4квартал по крупным статьям расходов, </t>
  </si>
  <si>
    <t>если ожидание отклонялось от фактических данных, мы объяснили причины отклонения и выполняли доп.аналит.процедуры.</t>
  </si>
  <si>
    <t>мы полагаем, что выполненные процедуры в совокупности с общей оценкой риска позволяют нам получить достаточный уровень уверенности.</t>
  </si>
  <si>
    <t>Получить разбивку по расходам на сырье и запасные части за 9 и 12 месяцев 2018.</t>
  </si>
  <si>
    <t>Мы получили помесячную расшифровку расходов на сырье и запасные части в составе административных расходов помесячно за 9 и 12 месяцев 2018.</t>
  </si>
  <si>
    <t>Получить разбивку по расходам на профессиональные услуги за 9 и 12 месяцев 2018.</t>
  </si>
  <si>
    <t>Мы получили помесячную расшифровку расходов на профессиональные услуги за 9 и 12  месяцев 2018 года.</t>
  </si>
  <si>
    <t>Средний курс за 12м2018</t>
  </si>
  <si>
    <t>Курс на 31.12.2018</t>
  </si>
  <si>
    <t>Мы построили ожидания на 4 квартал 2018 года и сравнили ожидание с фактическим данными, аналитический порог - 10% и 1/2 от 25% ДО.</t>
  </si>
  <si>
    <r>
      <t xml:space="preserve">Таким образом, мы ожидаем, что суммы ежемесячного вознаграждения будут совпадать с суммами ежемесячного вознаграждения с июля 2018 в соответствии с </t>
    </r>
    <r>
      <rPr>
        <b/>
        <sz val="10"/>
        <color rgb="FF0000FF"/>
        <rFont val="Arial"/>
        <family val="2"/>
        <charset val="204"/>
      </rPr>
      <t>Примечанием 1.</t>
    </r>
  </si>
  <si>
    <t>В среднем расходы на сырье в месяц за 9мес</t>
  </si>
  <si>
    <t>перепроверить</t>
  </si>
  <si>
    <t>Ожидание 12м2018, тыс. долл.</t>
  </si>
  <si>
    <t>Отклонение, тыс. долл.</t>
  </si>
  <si>
    <t xml:space="preserve">на уровне ПГ с учетом инфляции </t>
  </si>
  <si>
    <t>меньше НСО, незнач. отклонение</t>
  </si>
  <si>
    <t>УА200</t>
  </si>
  <si>
    <t>А1.7.1.2</t>
  </si>
  <si>
    <t>Сумма на 30.09.2018</t>
  </si>
  <si>
    <t>Сумма на 31.12.2018</t>
  </si>
  <si>
    <t>за 4 квартал 2018 &gt;&gt;&gt;</t>
  </si>
  <si>
    <t>[3]</t>
  </si>
  <si>
    <t>[4]</t>
  </si>
  <si>
    <t xml:space="preserve">    3201030043 Полиграфия</t>
  </si>
  <si>
    <t xml:space="preserve">    3201110050 Услуга МЭФ по передачи объема генер</t>
  </si>
  <si>
    <t xml:space="preserve">    3206010029 Единовремен. премии поощрительного</t>
  </si>
  <si>
    <t xml:space="preserve">    3204000160 Амортизация оценочных обязательств_</t>
  </si>
  <si>
    <t xml:space="preserve">    3205020255 Экология. Прочие</t>
  </si>
  <si>
    <t xml:space="preserve">    3209000037 Экспертиза</t>
  </si>
  <si>
    <t xml:space="preserve">    3205090160 Проверка системы менеджемента</t>
  </si>
  <si>
    <t>Расшифровка прочих доходов и расходов в составе административных расходов, 12м2018</t>
  </si>
  <si>
    <t>Счет ЕПС</t>
  </si>
  <si>
    <t>Наименование счета ЕПС</t>
  </si>
  <si>
    <t>Счет САП</t>
  </si>
  <si>
    <t>Наименование счета САП</t>
  </si>
  <si>
    <t>Код контрагента</t>
  </si>
  <si>
    <t>Наименование контрагента</t>
  </si>
  <si>
    <t>Сумма в тыс.руб.</t>
  </si>
  <si>
    <t>Тип вида затрат</t>
  </si>
  <si>
    <t>Вид затрат код</t>
  </si>
  <si>
    <t>Вид затрат наименование</t>
  </si>
  <si>
    <t>(91164000-91264000)&lt;0</t>
  </si>
  <si>
    <t>Восстановление/Создание резерва под авансы под ВНА</t>
  </si>
  <si>
    <t>ПЛ9603</t>
  </si>
  <si>
    <t>Созд-е/Восст-е резерва под авансы под ВНА (НДС)</t>
  </si>
  <si>
    <t>C999999</t>
  </si>
  <si>
    <t>Прочие Компании</t>
  </si>
  <si>
    <t>91240720</t>
  </si>
  <si>
    <t>Судебные издержки</t>
  </si>
  <si>
    <t>ПЛ9572</t>
  </si>
  <si>
    <t>Судебные издержки и госпошлина</t>
  </si>
  <si>
    <t>91240820</t>
  </si>
  <si>
    <t>Госпошлина</t>
  </si>
  <si>
    <t>91241000</t>
  </si>
  <si>
    <t>Услуги кредитных организаций</t>
  </si>
  <si>
    <t>ПИ9575</t>
  </si>
  <si>
    <t>Расходы по выпуску и обслуживанию ценных бумаг</t>
  </si>
  <si>
    <t>ПИ9582</t>
  </si>
  <si>
    <t>Расходы по выпуску и обслуживанию ЦБ</t>
  </si>
  <si>
    <t>91250100</t>
  </si>
  <si>
    <t>Выплаты социального характера</t>
  </si>
  <si>
    <t>ПЛ9586</t>
  </si>
  <si>
    <t>Выплаты соцхарактера по колдог.управленческому персоналу</t>
  </si>
  <si>
    <t>Убыток прошлых лет_общехозяйственные</t>
  </si>
  <si>
    <t>ПИ9548</t>
  </si>
  <si>
    <t>Убыток прошлых лет_общехозяйственные_КГ</t>
  </si>
  <si>
    <t>C005295</t>
  </si>
  <si>
    <t>East Metals AG</t>
  </si>
  <si>
    <t>E05</t>
  </si>
  <si>
    <t>ПИ9551</t>
  </si>
  <si>
    <t>Убыток прошлых лет_общехозяйственные_ПК</t>
  </si>
  <si>
    <t xml:space="preserve">(91165200-91265200)&gt;0 </t>
  </si>
  <si>
    <t>Восстановление/Создание резерва под оценочное обяз-во (в части налогов) кроме НП, НДПИ</t>
  </si>
  <si>
    <t>ПЛ8532</t>
  </si>
  <si>
    <t>Восстановление/Создание резерва по налогам и сборам (кр. НП,НДПИ)</t>
  </si>
  <si>
    <t>(91163300-91263300) &gt;0</t>
  </si>
  <si>
    <t>Восстановление/Создание резерва по сомнительным долгам (НДС)</t>
  </si>
  <si>
    <t>Восстановление резерва под вознаграждения прошлых лет (непринимаемый НУ) управленческого персонала</t>
  </si>
  <si>
    <t>ПИ8537</t>
  </si>
  <si>
    <t>Восст-ие/Созд-ие рез-ва под оц.об-во по вознагр.,  сокращению управленческого персонала</t>
  </si>
  <si>
    <t>Прибыль прошлых лет - уменьшение расхода_общехозяйственные</t>
  </si>
  <si>
    <t>ПИ8551</t>
  </si>
  <si>
    <t>Прибыль прошлых лет_общехозяйственные ПК</t>
  </si>
  <si>
    <t>Плата за негативное воздействие на окружающую среду</t>
  </si>
  <si>
    <r>
      <t xml:space="preserve">Источник: </t>
    </r>
    <r>
      <rPr>
        <b/>
        <i/>
        <sz val="10"/>
        <color rgb="FFFF0000"/>
        <rFont val="Arial"/>
        <family val="2"/>
        <charset val="204"/>
      </rPr>
      <t>ВА7</t>
    </r>
  </si>
  <si>
    <t xml:space="preserve">что связано с изменением статуса контрагента ЧОП Интерлок, который на 9м2018 входил в список СК. </t>
  </si>
  <si>
    <t>Таким образом, в отчетности за 12м2018 расходы по ЧОП Интерлок отражаются за 6 месяцев.</t>
  </si>
  <si>
    <t>На 12м2018 изменился статус данного контрагента и с 01.07.2018 отражается в отчетности как ПК.</t>
  </si>
  <si>
    <t>Мы получили пояснения от Клиента относительно уменьшения суммы затрат по строке "E05/606 Прочие профессиональные услуги" в составе строки "FP83013 Общие и административные расходы, СК",</t>
  </si>
  <si>
    <t>Таблица 3. Свод расходов по ГО и ЧС, 12м 2018</t>
  </si>
  <si>
    <t>Таблица 4. Свод складских расходов, 12м 2018</t>
  </si>
  <si>
    <t>Примечание 1. Реклассификация складских расходов и расходов на ГО ЧС из административных расходов в себестоимость, 12м2018.</t>
  </si>
  <si>
    <r>
      <t xml:space="preserve">Мы сверили суммы расшифровок с принт скринами из системы САП. См. </t>
    </r>
    <r>
      <rPr>
        <b/>
        <sz val="10"/>
        <color rgb="FF0000FF"/>
        <rFont val="Arial"/>
        <family val="2"/>
        <charset val="204"/>
      </rPr>
      <t>Примечание 1.</t>
    </r>
  </si>
  <si>
    <t>ВД0.1</t>
  </si>
  <si>
    <t>Раскрытие</t>
  </si>
  <si>
    <t>Проверить раскрытие административных расходов в отчетности.</t>
  </si>
  <si>
    <t>Мы проверили раскрытие Административных расходов в пакете  финансовой отчетности.</t>
  </si>
  <si>
    <t>Раскрытие 1.2</t>
  </si>
  <si>
    <t>тыс.долл.</t>
  </si>
  <si>
    <t>Общехозяйственные и административные расходы</t>
  </si>
  <si>
    <t>Компании группы</t>
  </si>
  <si>
    <t>Прочие связанные стороны</t>
  </si>
  <si>
    <t>Третьи стороны</t>
  </si>
  <si>
    <t>Раскрытие 6.3</t>
  </si>
  <si>
    <t>Заработная плата</t>
  </si>
  <si>
    <t>Услуги управления</t>
  </si>
  <si>
    <t>Раскрытие 1.9</t>
  </si>
  <si>
    <t>А1.7.6.3</t>
  </si>
  <si>
    <t>А1.7.1.9</t>
  </si>
  <si>
    <t>МЭФ, ООО</t>
  </si>
  <si>
    <t>Мы использовали официальную ставку инфляции по данным сайтам гкс.ру.</t>
  </si>
  <si>
    <t>Получить разбивку по прочим расходам за 9 и 12 месяцев 2018 года.</t>
  </si>
  <si>
    <t>Мы получили расшифровку прочих расходов на 30.09.2018 и на 31.12.2018</t>
  </si>
  <si>
    <t>Мы провели анализ расходов помесячно за 9 и 12 месяцев 2018, а также сравнили с расходами прошлого года за 9 и 12 месяцев 2017.</t>
  </si>
  <si>
    <t>на 30.09.2018</t>
  </si>
  <si>
    <t>на 31.12.2018</t>
  </si>
  <si>
    <t>Расшифровка строки "3205010160 Охранные услуги", 12м 2018</t>
  </si>
  <si>
    <t>Комментарий 5</t>
  </si>
  <si>
    <t>Общество с ограниченной ответственностью "Частное охранное предприятие "Интерлок-Н"</t>
  </si>
  <si>
    <t>Общество с ограниченной ответственностью Частное охранное предприятие  "Интерлок-НКМК"</t>
  </si>
  <si>
    <t>Общество с ограниченной ответственностью Частное охранное предприятие "Планар-М"</t>
  </si>
  <si>
    <t>ФГКУ "Управление вневедомственной охраны Главного управления МВД Российской Федерации по Кемеровской обла</t>
  </si>
  <si>
    <t>Федеральное государственное унитарное предприятие "Охрана" Министерства внутренних дел Российской Федерац</t>
  </si>
  <si>
    <t>ЕМАГ</t>
  </si>
  <si>
    <t>Средний курс за 6м2018</t>
  </si>
  <si>
    <t>Ожидаемые административные расходы за 4й квартал 2018</t>
  </si>
  <si>
    <t>Мы убедились в том, что раскрытия в пакете фин.отчетности в части Административных расходов отражены корректно.</t>
  </si>
  <si>
    <t>По строке 3201110020 Теплоэнергия главным критерием для построения ожиданий является цикличность расходов на теплоэнергию.</t>
  </si>
  <si>
    <t>Так, в 1 и 4 квартале (зимние месяцы) расходы на теплоэнергию повышаются.</t>
  </si>
  <si>
    <t>Таким образом, расходы на теплоэнергию на 4 квартал 2018 года ожидаются на уровне 1 квартала 2018 года.</t>
  </si>
  <si>
    <t>Общий комментарий</t>
  </si>
  <si>
    <t>Отклонение факта от ожидания в 4 квартале 2018 года в относительном выражении превышает аналитический порог 10%.</t>
  </si>
  <si>
    <t>Однако в абсолютном выражении отклонение от ожиданий является несущественным и не анализируется.</t>
  </si>
  <si>
    <t>По нашему мнению, административные расходы верно отражены в пакете отчетности по состоянию на 31 Декабря 2018 и 12 месяцев, заканчивающихся в эту дату.</t>
  </si>
  <si>
    <t>12м2018</t>
  </si>
  <si>
    <t>П5.1</t>
  </si>
  <si>
    <t>ВД.хкс-Б.01-ГК: Получение представления о СКО, относящихся к расходам и соответствующим начислениям, на уровне главной книги</t>
  </si>
  <si>
    <t>Мы выявим ряд начислений и соответствующих расходов, выполнив процедуры Н.хкс-Б.01 - Н.хкс-Б.03. Проанализировать, какие из начислений и соответствующих расходов являются существенными и тесно связаны с процессом закупок (например, транспортные расходы). Выполнить следующие процедуры: &amp;bull; Выбрать счета по учету начислений из баланса и проанализировать движение по счету в соответствующем периоде для понимания существенных изменений за год или за месяц с разбивкой по источникам бухгалтерских проводок &amp;bull; Выбрать соответствующие счета по учету расходов, связанные со счетами по учету начислений, из отчета о прибылях и убытках и проанализировать движение по счету для понимания существенных изменений за год или за месяц с разбивкой по источникам бухгалтерских проводок &amp;bull; Получить представление о характере, объеме и частоте бухгалтерских проводок по счетам учета начислений и соответствующих расходов, включая изменения по сравнению с предыдущим периодом, в разбивке по источникам указанных бухгалтерских проводок. &amp;bull; В отношении источников проводок, которые не были выявлены в результате выполненных нами ранее процедур по СКО, относящимся к торговой кредиторской задолженности (Н.хкс-Б.01-03), определить, какие из них представляют собой СКО (при их наличии), а также получить представление о том, являются ли такие СКО рутинными, нерутинными или оценочными.</t>
  </si>
  <si>
    <t>ВД.хкс-Е.01-ГК: Выполнение аналитических процедур проверки по существу в отношении соответствующих расходов по торговой кредиторской задолженности</t>
  </si>
  <si>
    <t>Выполнить аналитические процедуры в отношении соответствующих расходов и начислений по торговой кредиторской задолженности на основании выявленных в разделе Н.хкс-Б расходов и источников торговой кредиторской задолженности. В отношении каждого счета по учету расходов, получить представление об особенности расходов и движении сумм из периода в период, в том числе о процедуре внесения/удаления проводок по счетам учета начислений. С учетом нашего понимания деятельности компании, определить соответствуют ли виды расходов и их движение нашим ожиданиям. Мы тщательно изучаем подробную информацию и соответствующим образом анализируем нестандартные позиции.</t>
  </si>
  <si>
    <t>ВД.хкс-Ж.01-ГК: Выполнение детальных тестов в отношении расходов по торговой кредиторской задолженности (Необязательно)</t>
  </si>
  <si>
    <t>Мы выполняем детальные тесты, если доказательств, полученных в результате аналитических процедур проверки по существу, недостаточно для формирования вывода относительно расходов по торговой кредиторской задолженности. • Тестирование ключевых позиций: определите ключевые позиции для тестирования при помощи аналитики главной книги. Согласовать условия сделки с подтверждающей документацией по каждой позиции, выбранной для тестирования. Определить, была ли сумма надлежащим образом отражена в главной книге. Для более подробных инструкций, используйте эБППС ВД-01.3ГЛ и эБППС ВД-01.5 - ВД-01.6. • Тестирование репрезентативной выборки: на основании результатов тестирования ключевых позиций, определите, имеется ли необходимость тестирования репрезентативной выборки для расходов по торговой кредиторской задолженности. Для более подробных инструкций по формированию и тестированию репрезентативной выборки, используйте эБППС ВД-01.4 - ВД-01.6. • Расходы на юридические услуги: проверьте информацию по счетам расходов на юридические услуги в рамках изменений в отчете о прибылях и убытках на предмет подтверждения факта отправки запросов юрисконсульту, который занимается существенными разбирательствами, претензиями и оценками.</t>
  </si>
  <si>
    <t>ВД.хкс-З.01-ГК: Анализ процедур в отношении счетов учета расходов от промежуточной даты до даты окончания периода</t>
  </si>
  <si>
    <t>Проанализировать движение по счетам расходов от промежуточной даты до даты окончания периода с применением анализа данных главной книги. Оценить движение по счетам в период проверки на предмет соответствия изменениям, выявленным в ходе выполнения промежуточных процедур. Мы анализируем статьи, по которым наблюдается изменение движения (напр., новые источники запасов, бухгалтерские проводки, вносимые вручную, и существенные изменения объемов). 
Определить бухгалтерские проводки, которые были внесены после извлечения данных для промежуточной даты, но вступают в силу до промежуточной даты (т.е. проводки задним числом).	
Проанализировать существенные проводки задним числом и оценить их влияние на выполненные промежуточные процедуры и соответствующие заключения.</t>
  </si>
  <si>
    <t>секция Н КЗ</t>
  </si>
  <si>
    <t>КомпанияХолдинг, ООО</t>
  </si>
  <si>
    <t>КомпанияТехника, ООО</t>
  </si>
  <si>
    <t>Основная деятельность АО "Компанияруда" - добыча железорудного сырья.</t>
  </si>
  <si>
    <t xml:space="preserve">Для целей ИКФО мы не проводимдетальных процедур в отношении административных расходов Компанияруды за 6м2018 в связи с тем, </t>
  </si>
  <si>
    <t>МСФО 1пг2018 
КомпанияРуда, тыс.руб.</t>
  </si>
  <si>
    <t>управляющей организации - ООО "Компания Холдинг" от 10.10.2008, стоимость услуг с июля 2018 года выросла до 148 650 тыс. руб. за вычетом НДС.</t>
  </si>
  <si>
    <t>в соответствие с которым сумма ежемесячного вознаграждения УК ООО "Компания Холдинг" увеличивается до 148,650 тыс.руб. (без НДС) с июля 2018 года.</t>
  </si>
  <si>
    <t>На уровне Компания Холдинг было принято решение о том, что подобного типа затраты с 2013 г. должны учитываться в составе себестоимости</t>
  </si>
  <si>
    <t xml:space="preserve">Компания </t>
  </si>
  <si>
    <t>С июля 2018 года в состав АО «Компания » также вошло АО «Компанияруда».</t>
  </si>
  <si>
    <t>В целях аудиторской проверки финансовой отчетности АО "Компания " 2018 года необходимо включить в расходы также затраты Компанияруды в 1П2018,</t>
  </si>
  <si>
    <t>т.к. гибкий анализ на 30.09.2018 содержит все расходы  и расходы Компанияруды в 3 квартале.</t>
  </si>
  <si>
    <t>Сопоставимые данные ПГ должны включать расходы  и Компанияруды (элиминация не требуется).</t>
  </si>
  <si>
    <t>что они не входят в объем аудита, см. подробнее на Прил 1 к АСМ Расчет существенности, объем работ  2018.</t>
  </si>
  <si>
    <t>Методику по пересчету ДО и НСО в рубли, смотри в Прил 1 к АСМ Расчет существенности, объем работ  2018.</t>
  </si>
  <si>
    <t xml:space="preserve">Согласно доп. Соглашению №14 от 2 августа 2018 к договору №1 "О передаче полномочий единоличного исполнительного органа АО "" </t>
  </si>
  <si>
    <t>Таблица 1. Административные расходы по данным пакета отчетности за 9 месяцев 2018 г. (Компания )</t>
  </si>
  <si>
    <t>Таблица 2 Административные расходы по данным гибкого анализа за 9 месяцев 2018 г. (Компания )</t>
  </si>
  <si>
    <t>ООО ЧОП "Интерлок-"</t>
  </si>
  <si>
    <t>Общество с ограниченной ответственностью Частное охранное предприятие  "Интерлок-"</t>
  </si>
  <si>
    <t>Мы получили доп.соглашение №14 от 2 августа 2018 к договору о передаче полномочий  2017, действующее в 2018 году.</t>
  </si>
  <si>
    <t>Мы получили ВД5.1 Доп. соглашение №14 от 2 августа 2018 к договору о передаче полномочий  2017, действующее в 2018 году.</t>
  </si>
  <si>
    <t>органа ОАО "" управляющей организации - ООО "Компания Холдинг" от 10/10/2008 увеличиваются до 148,650 тыс.руб. (без НДС) с июля 2018 года и совпадают с суммами в Таблице 1.</t>
  </si>
  <si>
    <t>Стоимость услуг управляющей компании по договору №1 "О передаче полномочий единоличного исполнительного органа ОАО "" управляющей организации - ООО "Компания Холдинг" от 10/10/2008 устанавливается путем переговоров сторон.</t>
  </si>
  <si>
    <t>Мы ожидаем, что уровень расходов в 4 квартале будет находиться примерно на уровне расходов 3 квартала, когда в состав  уже был включен добывающий филиал (ранее - АО Компанияруда).</t>
  </si>
  <si>
    <t>Источник: раздел 13 (доходы и расходы) Компания _13.37_Анализ управленческих расходов из стр.2220_09.10.18, первоначальный запрос</t>
  </si>
  <si>
    <t>Источник: Компания _13.45_Расшифр. склад хоз, ГОиЧС_09m_2018_08.10.2018</t>
  </si>
  <si>
    <t>Центр, ООО</t>
  </si>
  <si>
    <t>Увеличение расходов  на прочие профессиональные услуги по компаниям группы произошло в связи с оплатой услуг ООО "Центр" в 2017 году</t>
  </si>
  <si>
    <t>за неполный 3-ий квартал по договору, заключенному в августе 2017 года (Б10.6 Договор оказания услуг Центр  от 15.08.2017 ИПК),</t>
  </si>
  <si>
    <t>в то время как в текущем году оплата услуг ООО "Центр" была осуществлена за 9 полных месяцев.</t>
  </si>
  <si>
    <t>Расходы на услуги Центр в 2018 по стоимости 2017</t>
  </si>
  <si>
    <t>Источник: ВД4. Вознаграждение КонсКомпания ИПК  2018</t>
  </si>
  <si>
    <t>Увеличение расходов на прочие профессиональные услуги по прочим компаниям произошло в связи с  выплатой вознаграждения ООО "КонсКомпания"</t>
  </si>
  <si>
    <t xml:space="preserve">За консультац.услуги КонсКомпания по по этапам 3.1-3.2 Предложения ЕВР015 от 13.04.17 согласно договора в сумме </t>
  </si>
  <si>
    <t xml:space="preserve">Вознаграждение КонсКомпания по протоколу УК от 08.02.2018 за консультационные услуги по Предложению 3 от 11.11.2016 в сумме </t>
  </si>
  <si>
    <t xml:space="preserve">Вознаграждение КонсКомпания по протоколу УК от 18.04.2018 за консультационные услуги по Предложению 3 от 11.11.2016 в сумме </t>
  </si>
  <si>
    <t xml:space="preserve">Консультационные услуги КонсКомпания согласно Доп.соглашению 1 от 17.04.18 к Предложению ЕВР020 от 23.11.17 в сумме </t>
  </si>
  <si>
    <t xml:space="preserve">Итого вознаграждение КонсКомпания: </t>
  </si>
  <si>
    <t>Вознаграждение ООО "КонсКомпания"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</si>
</sst>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(* #,##0.0000_);_(* \(#,##0.0000\);_(* &quot;-&quot;??_);_(@_)"/>
    <numFmt numFmtId="167" formatCode="#,###;\(#,###\);\-"/>
    <numFmt numFmtId="168" formatCode="#,##0\ ;&quot;(&quot;#,##0&quot;)&quot;"/>
    <numFmt numFmtId="169" formatCode="_-* #,##0.00_р_._-;\-* #,##0.00_р_._-;_-* &quot;-&quot;??_р_._-;_-@_-"/>
    <numFmt numFmtId="170" formatCode="_-* #,##0_р_._-;\-* #,##0_р_._-;_-* &quot;-&quot;??_р_._-;_-@_-"/>
    <numFmt numFmtId="171" formatCode="_(* #,##0.0000_);_(* \(#,##0.0000\);_(* &quot;-&quot;????_);_(@_)"/>
    <numFmt numFmtId="172" formatCode="_-* #,##0.00\ _₽_-;\-* #,##0.00\ _₽_-;_-* &quot;-&quot;??\ _₽_-;_-@_-"/>
    <numFmt numFmtId="173" formatCode="_-* #,##0_-;\-* #,##0_-;_-* &quot;-&quot;??_-;_-@_-"/>
    <numFmt numFmtId="174" formatCode="#,##0;\(#,##0\);\-"/>
    <numFmt numFmtId="175" formatCode="mm/dd/yy;@"/>
    <numFmt numFmtId="176" formatCode="#,##0.0000_);\(#,##0.0000\)"/>
    <numFmt numFmtId="177" formatCode="0.00000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0000FF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indexed="12"/>
      <name val="Arial"/>
      <family val="2"/>
      <charset val="204"/>
    </font>
    <font>
      <b/>
      <sz val="10"/>
      <color rgb="FF0000FF"/>
      <name val="Arial"/>
      <family val="2"/>
      <charset val="204"/>
    </font>
    <font>
      <sz val="10"/>
      <name val="Verdana"/>
      <family val="2"/>
      <charset val="204"/>
    </font>
    <font>
      <sz val="10"/>
      <color indexed="8"/>
      <name val="Arial"/>
      <family val="2"/>
      <charset val="204"/>
    </font>
    <font>
      <i/>
      <sz val="10"/>
      <color rgb="FFFF0000"/>
      <name val="Arial"/>
      <family val="2"/>
      <charset val="204"/>
    </font>
    <font>
      <i/>
      <sz val="10"/>
      <name val="Arial"/>
      <family val="2"/>
      <charset val="204"/>
    </font>
    <font>
      <sz val="10"/>
      <name val="Helv"/>
    </font>
    <font>
      <i/>
      <sz val="10"/>
      <color rgb="FF0000FF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8"/>
      <name val="Arial"/>
      <family val="2"/>
    </font>
    <font>
      <b/>
      <sz val="10"/>
      <color indexed="8"/>
      <name val="Arial"/>
      <family val="2"/>
      <charset val="204"/>
    </font>
    <font>
      <sz val="8"/>
      <name val="Arial"/>
      <family val="2"/>
      <charset val="204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i/>
      <sz val="10"/>
      <color indexed="12"/>
      <name val="Arial"/>
      <family val="2"/>
      <charset val="204"/>
    </font>
    <font>
      <sz val="10"/>
      <name val="Arial"/>
      <family val="2"/>
    </font>
    <font>
      <sz val="10"/>
      <color rgb="FF000000"/>
      <name val="Arial"/>
      <family val="2"/>
      <charset val="204"/>
    </font>
    <font>
      <b/>
      <i/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b/>
      <sz val="10"/>
      <color rgb="FF00B050"/>
      <name val="Arial"/>
      <family val="2"/>
      <charset val="204"/>
    </font>
    <font>
      <b/>
      <i/>
      <sz val="10"/>
      <color theme="1"/>
      <name val="Arial"/>
      <family val="2"/>
      <charset val="204"/>
    </font>
    <font>
      <b/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1"/>
      <name val="Arial"/>
      <family val="2"/>
    </font>
    <font>
      <b/>
      <sz val="10"/>
      <color indexed="10"/>
      <name val="Arial"/>
      <family val="2"/>
      <charset val="204"/>
    </font>
    <font>
      <u/>
      <sz val="11"/>
      <color theme="10"/>
      <name val="Calibri"/>
      <family val="2"/>
      <scheme val="minor"/>
    </font>
    <font>
      <i/>
      <u/>
      <sz val="10"/>
      <color theme="10"/>
      <name val="Arial"/>
      <family val="2"/>
      <charset val="204"/>
    </font>
    <font>
      <i/>
      <sz val="10"/>
      <color rgb="FF3333FF"/>
      <name val="Arial"/>
      <family val="2"/>
      <charset val="204"/>
    </font>
    <font>
      <b/>
      <sz val="10"/>
      <color rgb="FF3333FF"/>
      <name val="Arial"/>
      <family val="2"/>
      <charset val="204"/>
    </font>
    <font>
      <sz val="10"/>
      <color indexed="12"/>
      <name val="Arial"/>
      <family val="2"/>
      <charset val="204"/>
    </font>
    <font>
      <b/>
      <sz val="8"/>
      <name val="Arial"/>
      <family val="2"/>
      <charset val="204"/>
    </font>
    <font>
      <b/>
      <i/>
      <sz val="10"/>
      <color rgb="FF0000FF"/>
      <name val="Arial"/>
      <family val="2"/>
      <charset val="204"/>
    </font>
    <font>
      <b/>
      <i/>
      <sz val="10"/>
      <color rgb="FFFF0000"/>
      <name val="Arial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indexed="40"/>
      </patternFill>
    </fill>
    <fill>
      <patternFill patternType="solid">
        <fgColor indexed="31"/>
        <bgColor indexed="64"/>
      </patternFill>
    </fill>
    <fill>
      <patternFill patternType="solid">
        <fgColor indexed="41"/>
      </patternFill>
    </fill>
    <fill>
      <patternFill patternType="solid">
        <fgColor indexed="43"/>
      </patternFill>
    </fill>
    <fill>
      <patternFill patternType="solid">
        <fgColor rgb="FFD3D3D3"/>
        <bgColor indexed="64"/>
      </patternFill>
    </fill>
    <fill>
      <patternFill patternType="solid">
        <fgColor indexed="5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rgb="FF0000FF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5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164" fontId="1" fillId="0" borderId="0" applyFont="0" applyFill="0" applyBorder="0" applyAlignment="0" applyProtection="0"/>
    <xf numFmtId="0" fontId="13" fillId="0" borderId="0"/>
    <xf numFmtId="0" fontId="17" fillId="0" borderId="0"/>
    <xf numFmtId="164" fontId="6" fillId="0" borderId="0" applyFont="0" applyFill="0" applyBorder="0" applyAlignment="0" applyProtection="0"/>
    <xf numFmtId="4" fontId="20" fillId="2" borderId="0" applyNumberFormat="0" applyProtection="0">
      <alignment horizontal="left" vertical="center" indent="1"/>
    </xf>
    <xf numFmtId="0" fontId="22" fillId="3" borderId="10" applyNumberFormat="0" applyProtection="0">
      <alignment horizontal="left" vertical="center" indent="1"/>
    </xf>
    <xf numFmtId="4" fontId="23" fillId="2" borderId="11" applyNumberFormat="0" applyProtection="0">
      <alignment horizontal="left" vertical="center" indent="1"/>
    </xf>
    <xf numFmtId="0" fontId="22" fillId="4" borderId="11" applyNumberFormat="0" applyProtection="0">
      <alignment horizontal="left" vertical="center" indent="1"/>
    </xf>
    <xf numFmtId="4" fontId="24" fillId="5" borderId="11" applyNumberFormat="0" applyProtection="0">
      <alignment vertical="center"/>
    </xf>
    <xf numFmtId="4" fontId="23" fillId="4" borderId="11" applyNumberFormat="0" applyProtection="0">
      <alignment horizontal="right" vertical="center"/>
    </xf>
    <xf numFmtId="4" fontId="24" fillId="5" borderId="11" applyNumberFormat="0" applyProtection="0">
      <alignment horizontal="left" vertical="center" indent="1"/>
    </xf>
    <xf numFmtId="0" fontId="26" fillId="0" borderId="0" applyNumberFormat="0" applyFill="0" applyBorder="0" applyProtection="0">
      <alignment horizontal="left"/>
    </xf>
    <xf numFmtId="0" fontId="6" fillId="0" borderId="0"/>
    <xf numFmtId="0" fontId="6" fillId="0" borderId="0"/>
    <xf numFmtId="0" fontId="6" fillId="0" borderId="0"/>
    <xf numFmtId="169" fontId="1" fillId="0" borderId="0" applyFont="0" applyFill="0" applyBorder="0" applyAlignment="0" applyProtection="0"/>
    <xf numFmtId="0" fontId="5" fillId="0" borderId="0"/>
    <xf numFmtId="169" fontId="30" fillId="0" borderId="0" applyFont="0" applyFill="0" applyBorder="0" applyAlignment="0" applyProtection="0"/>
    <xf numFmtId="0" fontId="29" fillId="0" borderId="0"/>
    <xf numFmtId="0" fontId="26" fillId="6" borderId="0" applyNumberFormat="0" applyBorder="0" applyProtection="0">
      <alignment horizontal="center" wrapText="1"/>
    </xf>
    <xf numFmtId="0" fontId="29" fillId="0" borderId="0"/>
    <xf numFmtId="0" fontId="29" fillId="0" borderId="0"/>
    <xf numFmtId="0" fontId="5" fillId="0" borderId="0"/>
    <xf numFmtId="0" fontId="22" fillId="7" borderId="11" applyNumberFormat="0" applyProtection="0">
      <alignment horizontal="left" vertical="top" indent="1"/>
    </xf>
    <xf numFmtId="0" fontId="5" fillId="0" borderId="0"/>
    <xf numFmtId="164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6" fillId="0" borderId="0" applyNumberFormat="0" applyFill="0" applyBorder="0" applyAlignment="0" applyProtection="0"/>
    <xf numFmtId="0" fontId="37" fillId="8" borderId="0" applyNumberFormat="0" applyBorder="0" applyAlignment="0" applyProtection="0"/>
    <xf numFmtId="0" fontId="38" fillId="9" borderId="0" applyNumberFormat="0" applyBorder="0" applyAlignment="0" applyProtection="0"/>
    <xf numFmtId="0" fontId="39" fillId="10" borderId="0" applyNumberFormat="0" applyBorder="0" applyAlignment="0" applyProtection="0"/>
    <xf numFmtId="0" fontId="40" fillId="11" borderId="16" applyNumberFormat="0" applyAlignment="0" applyProtection="0"/>
    <xf numFmtId="0" fontId="41" fillId="12" borderId="17" applyNumberFormat="0" applyAlignment="0" applyProtection="0"/>
    <xf numFmtId="0" fontId="42" fillId="12" borderId="16" applyNumberFormat="0" applyAlignment="0" applyProtection="0"/>
    <xf numFmtId="0" fontId="43" fillId="0" borderId="18" applyNumberFormat="0" applyFill="0" applyAlignment="0" applyProtection="0"/>
    <xf numFmtId="0" fontId="44" fillId="13" borderId="19" applyNumberFormat="0" applyAlignment="0" applyProtection="0"/>
    <xf numFmtId="0" fontId="45" fillId="0" borderId="0" applyNumberFormat="0" applyFill="0" applyBorder="0" applyAlignment="0" applyProtection="0"/>
    <xf numFmtId="0" fontId="5" fillId="14" borderId="20" applyNumberFormat="0" applyFont="0" applyAlignment="0" applyProtection="0"/>
    <xf numFmtId="0" fontId="46" fillId="0" borderId="0" applyNumberFormat="0" applyFill="0" applyBorder="0" applyAlignment="0" applyProtection="0"/>
    <xf numFmtId="0" fontId="47" fillId="0" borderId="21" applyNumberFormat="0" applyFill="0" applyAlignment="0" applyProtection="0"/>
    <xf numFmtId="0" fontId="48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48" fillId="38" borderId="0" applyNumberFormat="0" applyBorder="0" applyAlignment="0" applyProtection="0"/>
    <xf numFmtId="0" fontId="49" fillId="0" borderId="0"/>
    <xf numFmtId="9" fontId="1" fillId="0" borderId="0" applyFont="0" applyFill="0" applyBorder="0" applyAlignment="0" applyProtection="0"/>
    <xf numFmtId="0" fontId="51" fillId="0" borderId="0" applyNumberFormat="0" applyFill="0" applyBorder="0" applyAlignment="0" applyProtection="0"/>
  </cellStyleXfs>
  <cellXfs count="738">
    <xf numFmtId="0" fontId="0" fillId="0" borderId="0" xfId="0"/>
    <xf numFmtId="0" fontId="2" fillId="0" borderId="0" xfId="0" applyFont="1" applyAlignment="1"/>
    <xf numFmtId="0" fontId="2" fillId="0" borderId="0" xfId="0" applyFont="1" applyFill="1" applyAlignment="1"/>
    <xf numFmtId="0" fontId="4" fillId="0" borderId="0" xfId="0" applyFont="1" applyFill="1" applyAlignment="1"/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Alignment="1"/>
    <xf numFmtId="3" fontId="10" fillId="0" borderId="0" xfId="0" applyNumberFormat="1" applyFont="1" applyFill="1" applyBorder="1" applyAlignment="1"/>
    <xf numFmtId="0" fontId="11" fillId="0" borderId="0" xfId="0" applyNumberFormat="1" applyFont="1" applyAlignment="1">
      <alignment horizontal="left"/>
    </xf>
    <xf numFmtId="166" fontId="3" fillId="0" borderId="0" xfId="4" applyNumberFormat="1" applyFont="1" applyFill="1" applyBorder="1" applyAlignment="1"/>
    <xf numFmtId="0" fontId="6" fillId="0" borderId="0" xfId="0" applyNumberFormat="1" applyFont="1" applyAlignment="1">
      <alignment horizontal="left"/>
    </xf>
    <xf numFmtId="0" fontId="3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/>
    <xf numFmtId="0" fontId="15" fillId="0" borderId="0" xfId="0" applyFont="1" applyFill="1" applyAlignment="1"/>
    <xf numFmtId="0" fontId="3" fillId="0" borderId="9" xfId="0" applyFont="1" applyBorder="1"/>
    <xf numFmtId="0" fontId="9" fillId="0" borderId="9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167" fontId="6" fillId="0" borderId="9" xfId="7" applyNumberFormat="1" applyFont="1" applyFill="1" applyBorder="1" applyAlignment="1">
      <alignment horizontal="right"/>
    </xf>
    <xf numFmtId="0" fontId="18" fillId="0" borderId="9" xfId="0" applyFont="1" applyFill="1" applyBorder="1" applyAlignment="1">
      <alignment horizontal="center"/>
    </xf>
    <xf numFmtId="168" fontId="3" fillId="0" borderId="9" xfId="0" applyNumberFormat="1" applyFont="1" applyFill="1" applyBorder="1"/>
    <xf numFmtId="168" fontId="19" fillId="0" borderId="9" xfId="0" applyNumberFormat="1" applyFont="1" applyFill="1" applyBorder="1"/>
    <xf numFmtId="0" fontId="18" fillId="0" borderId="0" xfId="0" applyFont="1" applyFill="1" applyAlignment="1">
      <alignment horizontal="center"/>
    </xf>
    <xf numFmtId="0" fontId="12" fillId="0" borderId="0" xfId="9" quotePrefix="1" applyNumberFormat="1" applyFont="1" applyFill="1" applyBorder="1" applyAlignment="1" applyProtection="1">
      <alignment horizontal="center"/>
      <protection locked="0"/>
    </xf>
    <xf numFmtId="0" fontId="21" fillId="0" borderId="9" xfId="10" quotePrefix="1" applyNumberFormat="1" applyFont="1" applyFill="1" applyBorder="1" applyAlignment="1">
      <alignment horizontal="center" vertical="center" wrapText="1"/>
    </xf>
    <xf numFmtId="0" fontId="9" fillId="0" borderId="9" xfId="10" quotePrefix="1" applyNumberFormat="1" applyFont="1" applyFill="1" applyBorder="1" applyAlignment="1">
      <alignment horizontal="center" vertical="center" wrapText="1"/>
    </xf>
    <xf numFmtId="0" fontId="7" fillId="0" borderId="9" xfId="11" quotePrefix="1" applyFont="1" applyFill="1" applyBorder="1">
      <alignment horizontal="left" vertical="center" indent="1"/>
    </xf>
    <xf numFmtId="0" fontId="25" fillId="0" borderId="9" xfId="0" applyNumberFormat="1" applyFont="1" applyFill="1" applyBorder="1" applyAlignment="1">
      <alignment horizontal="right"/>
    </xf>
    <xf numFmtId="0" fontId="9" fillId="0" borderId="9" xfId="0" applyFont="1" applyFill="1" applyBorder="1" applyAlignment="1">
      <alignment horizontal="center" vertical="center" wrapText="1"/>
    </xf>
    <xf numFmtId="0" fontId="7" fillId="0" borderId="0" xfId="11" quotePrefix="1" applyFont="1" applyFill="1" applyBorder="1" applyAlignment="1"/>
    <xf numFmtId="0" fontId="7" fillId="0" borderId="0" xfId="11" quotePrefix="1" applyFont="1" applyFill="1" applyBorder="1">
      <alignment horizontal="left" vertical="center" indent="1"/>
    </xf>
    <xf numFmtId="0" fontId="6" fillId="0" borderId="0" xfId="11" quotePrefix="1" applyFont="1" applyFill="1" applyBorder="1">
      <alignment horizontal="left" vertical="center" indent="1"/>
    </xf>
    <xf numFmtId="0" fontId="6" fillId="0" borderId="0" xfId="11" quotePrefix="1" applyFont="1" applyFill="1" applyBorder="1" applyAlignment="1">
      <alignment horizontal="left" vertical="center"/>
    </xf>
    <xf numFmtId="0" fontId="7" fillId="0" borderId="9" xfId="11" quotePrefix="1" applyFont="1" applyFill="1" applyBorder="1" applyAlignment="1">
      <alignment horizontal="left" vertical="center"/>
    </xf>
    <xf numFmtId="0" fontId="3" fillId="0" borderId="9" xfId="0" applyFont="1" applyFill="1" applyBorder="1"/>
    <xf numFmtId="0" fontId="21" fillId="0" borderId="9" xfId="14" quotePrefix="1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0" fontId="18" fillId="0" borderId="0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 wrapText="1"/>
    </xf>
    <xf numFmtId="0" fontId="18" fillId="0" borderId="0" xfId="0" applyFont="1" applyFill="1"/>
    <xf numFmtId="0" fontId="18" fillId="0" borderId="0" xfId="0" applyFont="1" applyFill="1" applyAlignment="1"/>
    <xf numFmtId="41" fontId="21" fillId="0" borderId="0" xfId="12" applyNumberFormat="1" applyFont="1" applyFill="1" applyBorder="1">
      <alignment vertical="center"/>
    </xf>
    <xf numFmtId="168" fontId="14" fillId="0" borderId="2" xfId="12" applyNumberFormat="1" applyFont="1" applyFill="1" applyBorder="1">
      <alignment vertical="center"/>
    </xf>
    <xf numFmtId="41" fontId="14" fillId="0" borderId="2" xfId="12" applyNumberFormat="1" applyFont="1" applyFill="1" applyBorder="1">
      <alignment vertical="center"/>
    </xf>
    <xf numFmtId="168" fontId="14" fillId="0" borderId="0" xfId="12" applyNumberFormat="1" applyFont="1" applyFill="1" applyBorder="1">
      <alignment vertical="center"/>
    </xf>
    <xf numFmtId="168" fontId="14" fillId="0" borderId="5" xfId="12" applyNumberFormat="1" applyFont="1" applyFill="1" applyBorder="1">
      <alignment vertical="center"/>
    </xf>
    <xf numFmtId="0" fontId="28" fillId="0" borderId="0" xfId="17" applyFont="1" applyFill="1" applyBorder="1"/>
    <xf numFmtId="3" fontId="6" fillId="0" borderId="0" xfId="18" applyNumberFormat="1" applyFont="1" applyFill="1"/>
    <xf numFmtId="3" fontId="6" fillId="0" borderId="0" xfId="17" applyNumberFormat="1" applyFont="1" applyFill="1"/>
    <xf numFmtId="3" fontId="6" fillId="0" borderId="0" xfId="19" applyNumberFormat="1" applyFont="1" applyFill="1" applyBorder="1"/>
    <xf numFmtId="41" fontId="3" fillId="0" borderId="0" xfId="0" applyNumberFormat="1" applyFont="1"/>
    <xf numFmtId="1" fontId="6" fillId="0" borderId="0" xfId="17" applyNumberFormat="1" applyFont="1" applyFill="1" applyBorder="1" applyAlignment="1">
      <alignment horizontal="left"/>
    </xf>
    <xf numFmtId="4" fontId="6" fillId="0" borderId="0" xfId="17" applyNumberFormat="1" applyFont="1" applyFill="1" applyBorder="1" applyAlignment="1">
      <alignment horizontal="left"/>
    </xf>
    <xf numFmtId="4" fontId="7" fillId="0" borderId="0" xfId="17" applyNumberFormat="1" applyFont="1" applyFill="1" applyBorder="1" applyAlignment="1">
      <alignment horizontal="left"/>
    </xf>
    <xf numFmtId="1" fontId="6" fillId="0" borderId="0" xfId="0" applyNumberFormat="1" applyFont="1" applyFill="1" applyBorder="1" applyAlignment="1">
      <alignment horizontal="left"/>
    </xf>
    <xf numFmtId="4" fontId="6" fillId="0" borderId="0" xfId="17" applyNumberFormat="1" applyFont="1" applyFill="1" applyBorder="1"/>
    <xf numFmtId="3" fontId="15" fillId="0" borderId="0" xfId="0" applyNumberFormat="1" applyFont="1" applyFill="1" applyAlignment="1">
      <alignment horizontal="right"/>
    </xf>
    <xf numFmtId="0" fontId="9" fillId="0" borderId="0" xfId="0" applyFont="1" applyFill="1"/>
    <xf numFmtId="3" fontId="12" fillId="0" borderId="0" xfId="0" applyNumberFormat="1" applyFont="1" applyFill="1" applyBorder="1" applyAlignment="1">
      <alignment horizontal="right"/>
    </xf>
    <xf numFmtId="0" fontId="2" fillId="0" borderId="0" xfId="0" applyFont="1" applyBorder="1"/>
    <xf numFmtId="41" fontId="2" fillId="0" borderId="0" xfId="0" applyNumberFormat="1" applyFont="1" applyFill="1" applyBorder="1"/>
    <xf numFmtId="0" fontId="18" fillId="0" borderId="0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41" fontId="3" fillId="0" borderId="0" xfId="0" applyNumberFormat="1" applyFont="1" applyBorder="1"/>
    <xf numFmtId="41" fontId="3" fillId="0" borderId="5" xfId="0" applyNumberFormat="1" applyFont="1" applyBorder="1"/>
    <xf numFmtId="0" fontId="7" fillId="0" borderId="9" xfId="0" applyFont="1" applyFill="1" applyBorder="1" applyAlignment="1">
      <alignment horizontal="center"/>
    </xf>
    <xf numFmtId="41" fontId="3" fillId="0" borderId="9" xfId="0" applyNumberFormat="1" applyFont="1" applyFill="1" applyBorder="1"/>
    <xf numFmtId="4" fontId="6" fillId="0" borderId="0" xfId="0" applyNumberFormat="1" applyFont="1" applyFill="1" applyBorder="1"/>
    <xf numFmtId="41" fontId="15" fillId="0" borderId="0" xfId="0" applyNumberFormat="1" applyFont="1" applyFill="1" applyBorder="1"/>
    <xf numFmtId="0" fontId="9" fillId="0" borderId="0" xfId="0" applyFont="1" applyFill="1" applyBorder="1" applyAlignment="1">
      <alignment horizontal="right" vertical="top" wrapText="1"/>
    </xf>
    <xf numFmtId="1" fontId="6" fillId="0" borderId="0" xfId="0" applyNumberFormat="1" applyFont="1" applyFill="1" applyBorder="1" applyAlignment="1">
      <alignment horizontal="right"/>
    </xf>
    <xf numFmtId="1" fontId="7" fillId="0" borderId="0" xfId="0" applyNumberFormat="1" applyFont="1" applyFill="1" applyBorder="1" applyAlignment="1">
      <alignment horizontal="right"/>
    </xf>
    <xf numFmtId="1" fontId="6" fillId="0" borderId="0" xfId="0" applyNumberFormat="1" applyFont="1" applyFill="1" applyBorder="1"/>
    <xf numFmtId="1" fontId="6" fillId="0" borderId="1" xfId="0" applyNumberFormat="1" applyFont="1" applyFill="1" applyBorder="1"/>
    <xf numFmtId="4" fontId="6" fillId="0" borderId="2" xfId="0" applyNumberFormat="1" applyFont="1" applyFill="1" applyBorder="1"/>
    <xf numFmtId="1" fontId="6" fillId="0" borderId="7" xfId="0" applyNumberFormat="1" applyFont="1" applyFill="1" applyBorder="1"/>
    <xf numFmtId="0" fontId="3" fillId="0" borderId="1" xfId="0" applyFont="1" applyBorder="1"/>
    <xf numFmtId="0" fontId="3" fillId="0" borderId="7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0" xfId="0" applyFont="1" applyFill="1" applyBorder="1" applyAlignment="1">
      <alignment horizontal="left" vertical="center" wrapText="1"/>
    </xf>
    <xf numFmtId="169" fontId="7" fillId="0" borderId="0" xfId="19" applyFont="1" applyFill="1" applyBorder="1" applyAlignment="1">
      <alignment horizontal="center" vertical="center" wrapText="1"/>
    </xf>
    <xf numFmtId="0" fontId="15" fillId="0" borderId="0" xfId="0" applyFont="1" applyAlignment="1">
      <alignment horizontal="right"/>
    </xf>
    <xf numFmtId="3" fontId="3" fillId="0" borderId="1" xfId="0" applyNumberFormat="1" applyFont="1" applyFill="1" applyBorder="1" applyAlignment="1">
      <alignment horizontal="left"/>
    </xf>
    <xf numFmtId="3" fontId="3" fillId="0" borderId="3" xfId="0" applyNumberFormat="1" applyFont="1" applyFill="1" applyBorder="1" applyAlignment="1">
      <alignment horizontal="left"/>
    </xf>
    <xf numFmtId="3" fontId="3" fillId="0" borderId="7" xfId="0" applyNumberFormat="1" applyFont="1" applyFill="1" applyBorder="1" applyAlignment="1">
      <alignment horizontal="left"/>
    </xf>
    <xf numFmtId="3" fontId="3" fillId="0" borderId="8" xfId="0" applyNumberFormat="1" applyFont="1" applyFill="1" applyBorder="1" applyAlignment="1">
      <alignment horizontal="left"/>
    </xf>
    <xf numFmtId="3" fontId="3" fillId="0" borderId="4" xfId="0" applyNumberFormat="1" applyFont="1" applyFill="1" applyBorder="1" applyAlignment="1">
      <alignment horizontal="left"/>
    </xf>
    <xf numFmtId="3" fontId="3" fillId="0" borderId="6" xfId="0" applyNumberFormat="1" applyFont="1" applyFill="1" applyBorder="1" applyAlignment="1">
      <alignment horizontal="left"/>
    </xf>
    <xf numFmtId="0" fontId="15" fillId="0" borderId="0" xfId="0" applyFont="1" applyFill="1" applyBorder="1" applyAlignment="1">
      <alignment horizontal="right" vertical="top" wrapText="1"/>
    </xf>
    <xf numFmtId="0" fontId="12" fillId="0" borderId="0" xfId="0" applyFont="1" applyAlignment="1">
      <alignment horizontal="center"/>
    </xf>
    <xf numFmtId="41" fontId="6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41" fontId="6" fillId="0" borderId="9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165" fontId="3" fillId="0" borderId="9" xfId="1" applyNumberFormat="1" applyFont="1" applyFill="1" applyBorder="1"/>
    <xf numFmtId="170" fontId="3" fillId="0" borderId="0" xfId="1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41" fontId="2" fillId="0" borderId="0" xfId="0" applyNumberFormat="1" applyFont="1" applyFill="1"/>
    <xf numFmtId="0" fontId="9" fillId="0" borderId="0" xfId="23" applyFont="1" applyFill="1" applyBorder="1" applyAlignment="1">
      <alignment horizontal="center" vertical="center" wrapText="1"/>
    </xf>
    <xf numFmtId="0" fontId="9" fillId="0" borderId="0" xfId="23" applyFont="1" applyFill="1" applyBorder="1" applyAlignment="1">
      <alignment horizontal="left" vertical="center"/>
    </xf>
    <xf numFmtId="0" fontId="9" fillId="0" borderId="0" xfId="23" applyFont="1" applyFill="1" applyBorder="1" applyAlignment="1">
      <alignment horizontal="left" vertical="center" wrapText="1"/>
    </xf>
    <xf numFmtId="0" fontId="7" fillId="0" borderId="9" xfId="23" applyFont="1" applyFill="1" applyBorder="1" applyAlignment="1">
      <alignment horizontal="center" vertical="center" wrapText="1"/>
    </xf>
    <xf numFmtId="0" fontId="9" fillId="0" borderId="9" xfId="23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0" xfId="15" applyFont="1" applyFill="1" applyBorder="1" applyAlignment="1">
      <alignment horizontal="center" vertical="center" wrapText="1"/>
    </xf>
    <xf numFmtId="0" fontId="6" fillId="0" borderId="0" xfId="15" applyFont="1" applyFill="1" applyBorder="1" applyAlignment="1">
      <alignment horizontal="left" vertical="top" wrapText="1"/>
    </xf>
    <xf numFmtId="0" fontId="7" fillId="0" borderId="9" xfId="0" applyFont="1" applyFill="1" applyBorder="1" applyAlignment="1">
      <alignment horizontal="center" wrapText="1"/>
    </xf>
    <xf numFmtId="0" fontId="9" fillId="0" borderId="0" xfId="0" applyFont="1"/>
    <xf numFmtId="0" fontId="2" fillId="0" borderId="0" xfId="0" applyFont="1"/>
    <xf numFmtId="0" fontId="3" fillId="0" borderId="0" xfId="0" applyFont="1"/>
    <xf numFmtId="0" fontId="7" fillId="0" borderId="0" xfId="3" applyFont="1" applyFill="1" applyBorder="1" applyAlignment="1">
      <alignment horizontal="center"/>
    </xf>
    <xf numFmtId="43" fontId="3" fillId="0" borderId="0" xfId="4" applyNumberFormat="1" applyFont="1" applyFill="1" applyBorder="1" applyAlignment="1"/>
    <xf numFmtId="43" fontId="2" fillId="0" borderId="0" xfId="4" applyNumberFormat="1" applyFont="1" applyFill="1" applyBorder="1" applyAlignment="1">
      <alignment horizontal="center"/>
    </xf>
    <xf numFmtId="166" fontId="3" fillId="0" borderId="3" xfId="4" applyNumberFormat="1" applyFont="1" applyFill="1" applyBorder="1" applyAlignment="1"/>
    <xf numFmtId="166" fontId="3" fillId="0" borderId="8" xfId="4" applyNumberFormat="1" applyFont="1" applyFill="1" applyBorder="1" applyAlignment="1"/>
    <xf numFmtId="0" fontId="3" fillId="0" borderId="0" xfId="0" applyFont="1" applyFill="1"/>
    <xf numFmtId="0" fontId="3" fillId="0" borderId="0" xfId="0" applyFont="1" applyFill="1" applyBorder="1" applyAlignment="1">
      <alignment vertical="center"/>
    </xf>
    <xf numFmtId="0" fontId="9" fillId="0" borderId="0" xfId="0" applyFont="1" applyAlignment="1">
      <alignment horizontal="right"/>
    </xf>
    <xf numFmtId="0" fontId="3" fillId="0" borderId="0" xfId="0" applyFont="1" applyBorder="1" applyAlignment="1">
      <alignment vertical="center"/>
    </xf>
    <xf numFmtId="165" fontId="3" fillId="0" borderId="0" xfId="1" applyNumberFormat="1" applyFont="1" applyBorder="1" applyAlignment="1">
      <alignment vertical="center"/>
    </xf>
    <xf numFmtId="0" fontId="3" fillId="0" borderId="0" xfId="0" applyFont="1" applyFill="1" applyAlignment="1"/>
    <xf numFmtId="0" fontId="12" fillId="0" borderId="0" xfId="0" applyFont="1" applyFill="1" applyAlignment="1">
      <alignment horizontal="left"/>
    </xf>
    <xf numFmtId="0" fontId="6" fillId="0" borderId="9" xfId="6" applyFont="1" applyFill="1" applyBorder="1" applyAlignment="1"/>
    <xf numFmtId="0" fontId="18" fillId="0" borderId="0" xfId="0" applyFont="1" applyFill="1" applyBorder="1" applyAlignment="1">
      <alignment horizontal="left"/>
    </xf>
    <xf numFmtId="0" fontId="18" fillId="0" borderId="0" xfId="0" applyFont="1" applyAlignment="1"/>
    <xf numFmtId="0" fontId="3" fillId="0" borderId="0" xfId="0" applyFont="1" applyFill="1" applyBorder="1"/>
    <xf numFmtId="168" fontId="14" fillId="0" borderId="0" xfId="13" applyNumberFormat="1" applyFont="1" applyFill="1" applyBorder="1">
      <alignment horizontal="right" vertical="center"/>
    </xf>
    <xf numFmtId="0" fontId="2" fillId="0" borderId="9" xfId="0" applyFont="1" applyFill="1" applyBorder="1" applyAlignment="1">
      <alignment horizontal="center" vertical="center" wrapText="1"/>
    </xf>
    <xf numFmtId="41" fontId="14" fillId="0" borderId="0" xfId="12" applyNumberFormat="1" applyFont="1" applyFill="1" applyBorder="1">
      <alignment vertical="center"/>
    </xf>
    <xf numFmtId="3" fontId="3" fillId="0" borderId="0" xfId="0" applyNumberFormat="1" applyFont="1" applyFill="1" applyAlignment="1">
      <alignment horizontal="left"/>
    </xf>
    <xf numFmtId="41" fontId="3" fillId="0" borderId="0" xfId="0" applyNumberFormat="1" applyFont="1" applyFill="1" applyBorder="1"/>
    <xf numFmtId="0" fontId="9" fillId="0" borderId="0" xfId="0" applyFont="1" applyFill="1" applyBorder="1" applyAlignment="1">
      <alignment horizontal="right"/>
    </xf>
    <xf numFmtId="165" fontId="3" fillId="0" borderId="0" xfId="0" applyNumberFormat="1" applyFont="1"/>
    <xf numFmtId="169" fontId="7" fillId="0" borderId="9" xfId="19" applyFont="1" applyFill="1" applyBorder="1" applyAlignment="1">
      <alignment horizontal="center" vertical="center" wrapText="1"/>
    </xf>
    <xf numFmtId="0" fontId="3" fillId="0" borderId="0" xfId="0" applyFont="1" applyBorder="1"/>
    <xf numFmtId="0" fontId="6" fillId="0" borderId="0" xfId="17" applyFont="1" applyFill="1" applyBorder="1"/>
    <xf numFmtId="41" fontId="3" fillId="0" borderId="0" xfId="0" applyNumberFormat="1" applyFont="1" applyFill="1"/>
    <xf numFmtId="3" fontId="7" fillId="0" borderId="9" xfId="19" applyNumberFormat="1" applyFont="1" applyFill="1" applyBorder="1" applyAlignment="1">
      <alignment horizontal="center" vertical="center" wrapText="1"/>
    </xf>
    <xf numFmtId="0" fontId="7" fillId="0" borderId="2" xfId="17" applyFont="1" applyFill="1" applyBorder="1" applyAlignment="1">
      <alignment horizontal="center" vertical="center"/>
    </xf>
    <xf numFmtId="0" fontId="7" fillId="0" borderId="9" xfId="17" applyFont="1" applyFill="1" applyBorder="1" applyAlignment="1">
      <alignment horizontal="center" vertical="center"/>
    </xf>
    <xf numFmtId="4" fontId="7" fillId="0" borderId="9" xfId="17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4" fillId="0" borderId="0" xfId="0" applyFont="1" applyFill="1"/>
    <xf numFmtId="0" fontId="6" fillId="0" borderId="0" xfId="0" applyFont="1" applyFill="1" applyBorder="1"/>
    <xf numFmtId="166" fontId="3" fillId="0" borderId="3" xfId="1" applyNumberFormat="1" applyFont="1" applyFill="1" applyBorder="1" applyAlignment="1"/>
    <xf numFmtId="166" fontId="3" fillId="0" borderId="8" xfId="1" applyNumberFormat="1" applyFont="1" applyFill="1" applyBorder="1" applyAlignment="1"/>
    <xf numFmtId="0" fontId="3" fillId="0" borderId="0" xfId="0" applyNumberFormat="1" applyFont="1" applyFill="1" applyAlignment="1">
      <alignment horizontal="left"/>
    </xf>
    <xf numFmtId="0" fontId="9" fillId="0" borderId="9" xfId="14" quotePrefix="1" applyNumberFormat="1" applyFont="1" applyFill="1" applyBorder="1" applyAlignment="1">
      <alignment horizontal="center" vertical="center" wrapText="1"/>
    </xf>
    <xf numFmtId="0" fontId="9" fillId="0" borderId="0" xfId="13" applyNumberFormat="1" applyFont="1" applyFill="1" applyBorder="1">
      <alignment horizontal="right" vertical="center"/>
    </xf>
    <xf numFmtId="165" fontId="3" fillId="0" borderId="0" xfId="1" applyNumberFormat="1" applyFont="1"/>
    <xf numFmtId="4" fontId="6" fillId="0" borderId="0" xfId="0" applyNumberFormat="1" applyFont="1" applyFill="1" applyBorder="1" applyAlignment="1">
      <alignment horizontal="left"/>
    </xf>
    <xf numFmtId="1" fontId="6" fillId="0" borderId="0" xfId="0" applyNumberFormat="1" applyFont="1" applyFill="1"/>
    <xf numFmtId="0" fontId="3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horizontal="right"/>
    </xf>
    <xf numFmtId="0" fontId="3" fillId="0" borderId="0" xfId="0" applyNumberFormat="1" applyFont="1" applyAlignment="1">
      <alignment horizontal="left"/>
    </xf>
    <xf numFmtId="0" fontId="31" fillId="0" borderId="0" xfId="2" applyFont="1" applyFill="1" applyBorder="1" applyAlignment="1"/>
    <xf numFmtId="0" fontId="9" fillId="0" borderId="0" xfId="1" applyNumberFormat="1" applyFont="1" applyFill="1" applyBorder="1" applyAlignment="1" applyProtection="1">
      <alignment horizontal="right" vertical="center"/>
      <protection locked="0"/>
    </xf>
    <xf numFmtId="169" fontId="9" fillId="0" borderId="9" xfId="19" applyFont="1" applyFill="1" applyBorder="1" applyAlignment="1">
      <alignment horizontal="center" vertical="center" wrapText="1"/>
    </xf>
    <xf numFmtId="1" fontId="9" fillId="0" borderId="0" xfId="0" applyNumberFormat="1" applyFont="1" applyFill="1" applyBorder="1" applyAlignment="1">
      <alignment horizontal="right"/>
    </xf>
    <xf numFmtId="165" fontId="3" fillId="0" borderId="0" xfId="0" applyNumberFormat="1" applyFont="1" applyBorder="1"/>
    <xf numFmtId="171" fontId="27" fillId="0" borderId="8" xfId="0" applyNumberFormat="1" applyFont="1" applyFill="1" applyBorder="1" applyAlignment="1">
      <alignment horizontal="right" vertical="top"/>
    </xf>
    <xf numFmtId="0" fontId="32" fillId="0" borderId="0" xfId="0" applyFont="1" applyFill="1"/>
    <xf numFmtId="0" fontId="3" fillId="0" borderId="5" xfId="0" applyFont="1" applyFill="1" applyBorder="1"/>
    <xf numFmtId="0" fontId="3" fillId="0" borderId="5" xfId="0" applyFont="1" applyFill="1" applyBorder="1" applyAlignment="1">
      <alignment horizontal="left" vertical="center" wrapText="1"/>
    </xf>
    <xf numFmtId="165" fontId="3" fillId="0" borderId="0" xfId="1" applyNumberFormat="1" applyFont="1" applyBorder="1" applyAlignment="1">
      <alignment horizontal="right"/>
    </xf>
    <xf numFmtId="165" fontId="3" fillId="0" borderId="5" xfId="1" applyNumberFormat="1" applyFont="1" applyBorder="1" applyAlignment="1">
      <alignment horizontal="right"/>
    </xf>
    <xf numFmtId="0" fontId="7" fillId="0" borderId="2" xfId="0" applyFont="1" applyBorder="1" applyAlignment="1">
      <alignment horizontal="center"/>
    </xf>
    <xf numFmtId="0" fontId="3" fillId="0" borderId="12" xfId="0" applyFont="1" applyBorder="1"/>
    <xf numFmtId="0" fontId="9" fillId="0" borderId="0" xfId="0" applyFont="1" applyBorder="1" applyAlignment="1">
      <alignment horizontal="right"/>
    </xf>
    <xf numFmtId="43" fontId="3" fillId="0" borderId="0" xfId="0" applyNumberFormat="1" applyFont="1"/>
    <xf numFmtId="41" fontId="3" fillId="0" borderId="12" xfId="0" applyNumberFormat="1" applyFont="1" applyBorder="1"/>
    <xf numFmtId="41" fontId="6" fillId="0" borderId="0" xfId="0" applyNumberFormat="1" applyFont="1" applyFill="1" applyBorder="1"/>
    <xf numFmtId="168" fontId="21" fillId="0" borderId="0" xfId="12" applyNumberFormat="1" applyFont="1" applyFill="1" applyBorder="1">
      <alignment vertical="center"/>
    </xf>
    <xf numFmtId="0" fontId="12" fillId="0" borderId="0" xfId="0" applyFont="1" applyBorder="1" applyAlignment="1">
      <alignment horizontal="left"/>
    </xf>
    <xf numFmtId="0" fontId="3" fillId="0" borderId="4" xfId="0" applyFont="1" applyFill="1" applyBorder="1"/>
    <xf numFmtId="43" fontId="3" fillId="0" borderId="0" xfId="0" applyNumberFormat="1" applyFont="1" applyFill="1"/>
    <xf numFmtId="41" fontId="6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65" fontId="3" fillId="0" borderId="12" xfId="1" applyNumberFormat="1" applyFont="1" applyBorder="1" applyAlignment="1">
      <alignment horizontal="right"/>
    </xf>
    <xf numFmtId="0" fontId="3" fillId="0" borderId="0" xfId="0" applyFont="1" applyAlignment="1">
      <alignment horizontal="left"/>
    </xf>
    <xf numFmtId="0" fontId="11" fillId="0" borderId="0" xfId="0" applyNumberFormat="1" applyFont="1" applyFill="1" applyAlignment="1">
      <alignment horizontal="left"/>
    </xf>
    <xf numFmtId="0" fontId="6" fillId="0" borderId="0" xfId="15" applyNumberFormat="1" applyFont="1" applyFill="1" applyBorder="1" applyAlignment="1">
      <alignment horizontal="left" vertical="center"/>
    </xf>
    <xf numFmtId="0" fontId="11" fillId="0" borderId="0" xfId="16" applyNumberFormat="1" applyFont="1" applyFill="1" applyAlignment="1">
      <alignment horizontal="left"/>
    </xf>
    <xf numFmtId="0" fontId="3" fillId="0" borderId="0" xfId="0" applyFont="1" applyBorder="1" applyAlignment="1">
      <alignment horizontal="left"/>
    </xf>
    <xf numFmtId="0" fontId="12" fillId="0" borderId="0" xfId="0" applyFont="1"/>
    <xf numFmtId="0" fontId="9" fillId="0" borderId="0" xfId="0" applyFont="1" applyFill="1" applyAlignment="1">
      <alignment horizontal="right" vertical="center"/>
    </xf>
    <xf numFmtId="0" fontId="25" fillId="0" borderId="0" xfId="0" applyNumberFormat="1" applyFont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 wrapText="1"/>
    </xf>
    <xf numFmtId="1" fontId="6" fillId="0" borderId="12" xfId="17" applyNumberFormat="1" applyFont="1" applyFill="1" applyBorder="1" applyAlignment="1">
      <alignment horizontal="left"/>
    </xf>
    <xf numFmtId="4" fontId="6" fillId="0" borderId="12" xfId="17" applyNumberFormat="1" applyFont="1" applyFill="1" applyBorder="1" applyAlignment="1">
      <alignment horizontal="left"/>
    </xf>
    <xf numFmtId="9" fontId="3" fillId="0" borderId="0" xfId="0" applyNumberFormat="1" applyFont="1" applyFill="1" applyBorder="1" applyAlignment="1">
      <alignment horizontal="right" vertical="center" wrapText="1"/>
    </xf>
    <xf numFmtId="9" fontId="3" fillId="0" borderId="12" xfId="0" applyNumberFormat="1" applyFont="1" applyBorder="1"/>
    <xf numFmtId="0" fontId="18" fillId="0" borderId="0" xfId="0" applyFont="1" applyFill="1" applyBorder="1"/>
    <xf numFmtId="0" fontId="50" fillId="0" borderId="0" xfId="26" applyNumberFormat="1" applyFont="1" applyFill="1" applyBorder="1" applyAlignment="1">
      <alignment horizontal="right"/>
    </xf>
    <xf numFmtId="9" fontId="3" fillId="0" borderId="0" xfId="0" applyNumberFormat="1" applyFont="1" applyBorder="1"/>
    <xf numFmtId="41" fontId="2" fillId="0" borderId="0" xfId="0" applyNumberFormat="1" applyFont="1" applyBorder="1"/>
    <xf numFmtId="9" fontId="3" fillId="0" borderId="0" xfId="0" applyNumberFormat="1" applyFont="1" applyFill="1" applyBorder="1"/>
    <xf numFmtId="4" fontId="7" fillId="0" borderId="0" xfId="17" applyNumberFormat="1" applyFont="1" applyFill="1" applyBorder="1"/>
    <xf numFmtId="9" fontId="3" fillId="0" borderId="5" xfId="0" applyNumberFormat="1" applyFont="1" applyBorder="1"/>
    <xf numFmtId="0" fontId="2" fillId="0" borderId="9" xfId="0" applyFont="1" applyBorder="1"/>
    <xf numFmtId="41" fontId="2" fillId="0" borderId="9" xfId="0" applyNumberFormat="1" applyFont="1" applyBorder="1"/>
    <xf numFmtId="0" fontId="18" fillId="0" borderId="0" xfId="0" applyFont="1" applyFill="1" applyBorder="1" applyAlignment="1">
      <alignment horizontal="right"/>
    </xf>
    <xf numFmtId="0" fontId="9" fillId="0" borderId="0" xfId="0" applyFont="1" applyBorder="1" applyAlignment="1"/>
    <xf numFmtId="0" fontId="4" fillId="0" borderId="0" xfId="0" applyFont="1" applyBorder="1"/>
    <xf numFmtId="9" fontId="4" fillId="0" borderId="0" xfId="0" applyNumberFormat="1" applyFont="1" applyBorder="1"/>
    <xf numFmtId="165" fontId="15" fillId="0" borderId="0" xfId="1" applyNumberFormat="1" applyFont="1" applyFill="1" applyBorder="1" applyAlignment="1">
      <alignment horizontal="right"/>
    </xf>
    <xf numFmtId="0" fontId="2" fillId="0" borderId="12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/>
    </xf>
    <xf numFmtId="41" fontId="6" fillId="0" borderId="0" xfId="1" applyNumberFormat="1" applyFont="1" applyFill="1" applyBorder="1" applyAlignment="1">
      <alignment horizontal="right"/>
    </xf>
    <xf numFmtId="41" fontId="6" fillId="0" borderId="0" xfId="1" applyNumberFormat="1" applyFont="1" applyFill="1" applyBorder="1"/>
    <xf numFmtId="41" fontId="7" fillId="0" borderId="0" xfId="1" applyNumberFormat="1" applyFont="1" applyFill="1" applyBorder="1" applyAlignment="1">
      <alignment horizontal="right"/>
    </xf>
    <xf numFmtId="41" fontId="7" fillId="0" borderId="0" xfId="1" applyNumberFormat="1" applyFont="1" applyFill="1" applyBorder="1"/>
    <xf numFmtId="41" fontId="6" fillId="0" borderId="12" xfId="1" applyNumberFormat="1" applyFont="1" applyFill="1" applyBorder="1" applyAlignment="1">
      <alignment horizontal="right"/>
    </xf>
    <xf numFmtId="41" fontId="6" fillId="0" borderId="12" xfId="1" applyNumberFormat="1" applyFont="1" applyFill="1" applyBorder="1"/>
    <xf numFmtId="9" fontId="3" fillId="0" borderId="12" xfId="0" applyNumberFormat="1" applyFont="1" applyFill="1" applyBorder="1" applyAlignment="1">
      <alignment horizontal="right" vertical="center" wrapText="1"/>
    </xf>
    <xf numFmtId="0" fontId="6" fillId="0" borderId="0" xfId="0" applyNumberFormat="1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27" fillId="0" borderId="0" xfId="0" applyFont="1" applyFill="1" applyAlignment="1">
      <alignment vertical="center"/>
    </xf>
    <xf numFmtId="0" fontId="3" fillId="0" borderId="0" xfId="0" applyFont="1" applyAlignme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27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18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6" fillId="0" borderId="2" xfId="11" quotePrefix="1" applyFont="1" applyFill="1" applyBorder="1" applyAlignment="1">
      <alignment horizontal="left" vertical="center"/>
    </xf>
    <xf numFmtId="168" fontId="14" fillId="0" borderId="12" xfId="13" applyNumberFormat="1" applyFont="1" applyFill="1" applyBorder="1">
      <alignment horizontal="right" vertical="center"/>
    </xf>
    <xf numFmtId="0" fontId="6" fillId="0" borderId="5" xfId="11" quotePrefix="1" applyFont="1" applyFill="1" applyBorder="1" applyAlignment="1">
      <alignment horizontal="left" vertical="center"/>
    </xf>
    <xf numFmtId="0" fontId="7" fillId="0" borderId="9" xfId="11" applyFont="1" applyFill="1" applyBorder="1" applyAlignment="1">
      <alignment horizontal="left" vertical="center"/>
    </xf>
    <xf numFmtId="168" fontId="21" fillId="0" borderId="9" xfId="13" applyNumberFormat="1" applyFont="1" applyFill="1" applyBorder="1">
      <alignment horizontal="right" vertical="center"/>
    </xf>
    <xf numFmtId="0" fontId="2" fillId="0" borderId="12" xfId="20" applyFont="1" applyFill="1" applyBorder="1" applyAlignment="1">
      <alignment horizontal="center" vertical="center" wrapText="1"/>
    </xf>
    <xf numFmtId="165" fontId="3" fillId="0" borderId="12" xfId="1" applyNumberFormat="1" applyFont="1" applyFill="1" applyBorder="1" applyAlignment="1">
      <alignment horizontal="center"/>
    </xf>
    <xf numFmtId="0" fontId="6" fillId="0" borderId="12" xfId="11" quotePrefix="1" applyFont="1" applyFill="1" applyBorder="1" applyAlignment="1"/>
    <xf numFmtId="0" fontId="12" fillId="0" borderId="0" xfId="0" applyFont="1" applyAlignment="1"/>
    <xf numFmtId="0" fontId="3" fillId="0" borderId="0" xfId="20" applyFont="1" applyFill="1" applyBorder="1" applyAlignment="1">
      <alignment horizontal="center"/>
    </xf>
    <xf numFmtId="0" fontId="6" fillId="0" borderId="0" xfId="11" quotePrefix="1" applyFont="1" applyFill="1" applyBorder="1" applyAlignment="1"/>
    <xf numFmtId="0" fontId="3" fillId="0" borderId="5" xfId="0" applyFont="1" applyFill="1" applyBorder="1" applyAlignment="1">
      <alignment horizontal="center"/>
    </xf>
    <xf numFmtId="0" fontId="7" fillId="0" borderId="0" xfId="11" applyFont="1" applyFill="1" applyBorder="1" applyAlignment="1">
      <alignment horizontal="right"/>
    </xf>
    <xf numFmtId="0" fontId="19" fillId="0" borderId="0" xfId="0" applyFont="1" applyAlignment="1">
      <alignment horizontal="right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right"/>
    </xf>
    <xf numFmtId="0" fontId="2" fillId="0" borderId="9" xfId="0" applyFont="1" applyBorder="1" applyAlignment="1">
      <alignment horizontal="left"/>
    </xf>
    <xf numFmtId="168" fontId="3" fillId="0" borderId="0" xfId="0" applyNumberFormat="1" applyFont="1"/>
    <xf numFmtId="0" fontId="6" fillId="0" borderId="0" xfId="11" quotePrefix="1" applyFont="1" applyFill="1" applyBorder="1" applyAlignment="1">
      <alignment horizontal="left"/>
    </xf>
    <xf numFmtId="0" fontId="6" fillId="0" borderId="0" xfId="20" applyNumberFormat="1" applyFont="1" applyFill="1" applyBorder="1" applyAlignment="1">
      <alignment horizontal="left"/>
    </xf>
    <xf numFmtId="0" fontId="16" fillId="0" borderId="9" xfId="0" applyFont="1" applyBorder="1" applyAlignment="1">
      <alignment horizontal="right"/>
    </xf>
    <xf numFmtId="9" fontId="4" fillId="0" borderId="9" xfId="1" applyNumberFormat="1" applyFont="1" applyBorder="1"/>
    <xf numFmtId="165" fontId="3" fillId="0" borderId="9" xfId="0" applyNumberFormat="1" applyFont="1" applyBorder="1"/>
    <xf numFmtId="0" fontId="3" fillId="0" borderId="9" xfId="0" applyFont="1" applyBorder="1" applyAlignment="1">
      <alignment wrapText="1"/>
    </xf>
    <xf numFmtId="41" fontId="3" fillId="0" borderId="9" xfId="0" applyNumberFormat="1" applyFont="1" applyBorder="1" applyAlignment="1"/>
    <xf numFmtId="0" fontId="3" fillId="0" borderId="0" xfId="0" applyFont="1" applyBorder="1" applyAlignment="1">
      <alignment wrapText="1"/>
    </xf>
    <xf numFmtId="41" fontId="3" fillId="0" borderId="0" xfId="0" applyNumberFormat="1" applyFont="1" applyBorder="1" applyAlignment="1"/>
    <xf numFmtId="0" fontId="32" fillId="0" borderId="0" xfId="0" applyFont="1"/>
    <xf numFmtId="1" fontId="7" fillId="0" borderId="9" xfId="0" applyNumberFormat="1" applyFont="1" applyFill="1" applyBorder="1" applyAlignment="1">
      <alignment horizontal="center" vertical="center" wrapText="1"/>
    </xf>
    <xf numFmtId="4" fontId="7" fillId="0" borderId="9" xfId="17" applyNumberFormat="1" applyFont="1" applyFill="1" applyBorder="1" applyAlignment="1">
      <alignment horizontal="center" vertical="center" wrapText="1"/>
    </xf>
    <xf numFmtId="3" fontId="7" fillId="0" borderId="2" xfId="0" applyNumberFormat="1" applyFont="1" applyFill="1" applyBorder="1" applyAlignment="1">
      <alignment horizontal="center" vertical="center" wrapText="1"/>
    </xf>
    <xf numFmtId="1" fontId="6" fillId="0" borderId="9" xfId="0" applyNumberFormat="1" applyFont="1" applyFill="1" applyBorder="1"/>
    <xf numFmtId="4" fontId="6" fillId="0" borderId="9" xfId="17" applyNumberFormat="1" applyFont="1" applyFill="1" applyBorder="1"/>
    <xf numFmtId="3" fontId="6" fillId="0" borderId="9" xfId="0" applyNumberFormat="1" applyFont="1" applyFill="1" applyBorder="1"/>
    <xf numFmtId="3" fontId="7" fillId="0" borderId="9" xfId="0" applyNumberFormat="1" applyFont="1" applyFill="1" applyBorder="1" applyAlignment="1">
      <alignment horizontal="right"/>
    </xf>
    <xf numFmtId="0" fontId="6" fillId="0" borderId="0" xfId="20" applyNumberFormat="1" applyFont="1" applyFill="1" applyBorder="1" applyAlignment="1"/>
    <xf numFmtId="0" fontId="6" fillId="0" borderId="5" xfId="11" quotePrefix="1" applyFont="1" applyFill="1" applyBorder="1" applyAlignment="1"/>
    <xf numFmtId="0" fontId="12" fillId="0" borderId="0" xfId="0" applyFont="1" applyFill="1"/>
    <xf numFmtId="0" fontId="9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vertical="center"/>
    </xf>
    <xf numFmtId="0" fontId="9" fillId="0" borderId="12" xfId="0" applyFont="1" applyFill="1" applyBorder="1" applyAlignment="1">
      <alignment horizontal="center" vertical="center"/>
    </xf>
    <xf numFmtId="0" fontId="12" fillId="0" borderId="0" xfId="0" applyFont="1" applyFill="1" applyAlignment="1"/>
    <xf numFmtId="168" fontId="3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0" fontId="6" fillId="0" borderId="0" xfId="20" quotePrefix="1" applyNumberFormat="1" applyFont="1" applyFill="1" applyBorder="1" applyAlignment="1"/>
    <xf numFmtId="168" fontId="2" fillId="0" borderId="0" xfId="0" applyNumberFormat="1" applyFont="1" applyFill="1" applyBorder="1"/>
    <xf numFmtId="0" fontId="3" fillId="0" borderId="0" xfId="0" applyFont="1" applyFill="1" applyAlignment="1">
      <alignment horizontal="center"/>
    </xf>
    <xf numFmtId="0" fontId="19" fillId="0" borderId="0" xfId="0" applyFont="1" applyFill="1" applyAlignment="1">
      <alignment horizontal="right"/>
    </xf>
    <xf numFmtId="41" fontId="14" fillId="0" borderId="0" xfId="1" applyNumberFormat="1" applyFont="1" applyFill="1" applyBorder="1" applyAlignment="1" applyProtection="1">
      <alignment horizontal="right"/>
      <protection locked="0"/>
    </xf>
    <xf numFmtId="41" fontId="3" fillId="0" borderId="0" xfId="0" applyNumberFormat="1" applyFont="1" applyFill="1" applyBorder="1" applyAlignment="1">
      <alignment horizontal="right"/>
    </xf>
    <xf numFmtId="41" fontId="3" fillId="0" borderId="0" xfId="1" applyNumberFormat="1" applyFont="1" applyFill="1" applyBorder="1" applyAlignment="1">
      <alignment horizontal="right"/>
    </xf>
    <xf numFmtId="41" fontId="2" fillId="0" borderId="0" xfId="0" applyNumberFormat="1" applyFont="1" applyFill="1" applyAlignment="1">
      <alignment horizontal="right"/>
    </xf>
    <xf numFmtId="9" fontId="3" fillId="0" borderId="0" xfId="0" applyNumberFormat="1" applyFont="1" applyFill="1" applyBorder="1" applyAlignment="1">
      <alignment horizontal="right"/>
    </xf>
    <xf numFmtId="9" fontId="3" fillId="0" borderId="5" xfId="0" applyNumberFormat="1" applyFont="1" applyFill="1" applyBorder="1" applyAlignment="1">
      <alignment horizontal="right"/>
    </xf>
    <xf numFmtId="41" fontId="14" fillId="0" borderId="5" xfId="1" applyNumberFormat="1" applyFont="1" applyFill="1" applyBorder="1" applyAlignment="1" applyProtection="1">
      <alignment horizontal="right"/>
      <protection locked="0"/>
    </xf>
    <xf numFmtId="0" fontId="3" fillId="0" borderId="0" xfId="0" applyFont="1" applyFill="1" applyAlignment="1">
      <alignment horizontal="left"/>
    </xf>
    <xf numFmtId="0" fontId="27" fillId="0" borderId="0" xfId="0" applyFont="1" applyAlignment="1">
      <alignment vertical="center"/>
    </xf>
    <xf numFmtId="4" fontId="9" fillId="0" borderId="0" xfId="0" applyNumberFormat="1" applyFont="1" applyFill="1" applyBorder="1"/>
    <xf numFmtId="1" fontId="6" fillId="0" borderId="9" xfId="17" applyNumberFormat="1" applyFont="1" applyFill="1" applyBorder="1" applyAlignment="1">
      <alignment horizontal="center"/>
    </xf>
    <xf numFmtId="41" fontId="6" fillId="0" borderId="0" xfId="17" applyNumberFormat="1" applyFont="1" applyFill="1" applyBorder="1" applyAlignment="1">
      <alignment horizontal="left"/>
    </xf>
    <xf numFmtId="41" fontId="6" fillId="0" borderId="0" xfId="17" applyNumberFormat="1" applyFont="1" applyFill="1" applyBorder="1"/>
    <xf numFmtId="9" fontId="3" fillId="0" borderId="0" xfId="0" applyNumberFormat="1" applyFont="1"/>
    <xf numFmtId="4" fontId="6" fillId="0" borderId="5" xfId="17" applyNumberFormat="1" applyFont="1" applyFill="1" applyBorder="1"/>
    <xf numFmtId="41" fontId="6" fillId="0" borderId="5" xfId="1" applyNumberFormat="1" applyFont="1" applyFill="1" applyBorder="1" applyAlignment="1">
      <alignment horizontal="right"/>
    </xf>
    <xf numFmtId="41" fontId="6" fillId="0" borderId="5" xfId="1" applyNumberFormat="1" applyFont="1" applyFill="1" applyBorder="1"/>
    <xf numFmtId="41" fontId="3" fillId="0" borderId="2" xfId="0" applyNumberFormat="1" applyFont="1" applyBorder="1"/>
    <xf numFmtId="0" fontId="6" fillId="0" borderId="0" xfId="17" applyFont="1" applyFill="1" applyBorder="1" applyAlignment="1">
      <alignment horizontal="left"/>
    </xf>
    <xf numFmtId="9" fontId="4" fillId="0" borderId="9" xfId="1" applyNumberFormat="1" applyFont="1" applyFill="1" applyBorder="1"/>
    <xf numFmtId="41" fontId="21" fillId="0" borderId="12" xfId="12" applyNumberFormat="1" applyFont="1" applyFill="1" applyBorder="1">
      <alignment vertical="center"/>
    </xf>
    <xf numFmtId="171" fontId="3" fillId="0" borderId="6" xfId="1" applyNumberFormat="1" applyFont="1" applyFill="1" applyBorder="1" applyAlignment="1">
      <alignment horizontal="right"/>
    </xf>
    <xf numFmtId="9" fontId="7" fillId="0" borderId="0" xfId="0" applyNumberFormat="1" applyFont="1" applyFill="1" applyBorder="1"/>
    <xf numFmtId="0" fontId="18" fillId="0" borderId="12" xfId="0" applyFont="1" applyFill="1" applyBorder="1" applyAlignment="1">
      <alignment horizontal="center"/>
    </xf>
    <xf numFmtId="9" fontId="7" fillId="0" borderId="22" xfId="0" applyNumberFormat="1" applyFont="1" applyFill="1" applyBorder="1"/>
    <xf numFmtId="41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41" fontId="18" fillId="0" borderId="0" xfId="0" applyNumberFormat="1" applyFont="1" applyFill="1" applyAlignment="1">
      <alignment horizontal="center" vertical="center"/>
    </xf>
    <xf numFmtId="9" fontId="3" fillId="0" borderId="22" xfId="0" applyNumberFormat="1" applyFont="1" applyBorder="1"/>
    <xf numFmtId="0" fontId="3" fillId="0" borderId="0" xfId="0" applyFont="1" applyAlignment="1">
      <alignment horizontal="right"/>
    </xf>
    <xf numFmtId="0" fontId="4" fillId="0" borderId="0" xfId="0" applyFont="1"/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3" fillId="0" borderId="5" xfId="0" applyFont="1" applyBorder="1" applyAlignment="1">
      <alignment horizontal="left"/>
    </xf>
    <xf numFmtId="0" fontId="12" fillId="0" borderId="0" xfId="11" quotePrefix="1" applyFont="1" applyFill="1" applyBorder="1" applyAlignment="1">
      <alignment horizontal="left"/>
    </xf>
    <xf numFmtId="41" fontId="14" fillId="0" borderId="2" xfId="1" applyNumberFormat="1" applyFont="1" applyFill="1" applyBorder="1" applyAlignment="1" applyProtection="1">
      <alignment horizontal="right"/>
      <protection locked="0"/>
    </xf>
    <xf numFmtId="0" fontId="3" fillId="0" borderId="22" xfId="0" applyFont="1" applyBorder="1"/>
    <xf numFmtId="41" fontId="3" fillId="0" borderId="0" xfId="0" applyNumberFormat="1" applyFont="1" applyFill="1" applyAlignment="1">
      <alignment horizontal="right"/>
    </xf>
    <xf numFmtId="14" fontId="3" fillId="0" borderId="0" xfId="0" applyNumberFormat="1" applyFont="1"/>
    <xf numFmtId="14" fontId="3" fillId="0" borderId="5" xfId="0" applyNumberFormat="1" applyFont="1" applyBorder="1"/>
    <xf numFmtId="0" fontId="2" fillId="0" borderId="0" xfId="0" applyFont="1" applyFill="1"/>
    <xf numFmtId="0" fontId="2" fillId="0" borderId="0" xfId="0" applyFont="1" applyFill="1" applyBorder="1"/>
    <xf numFmtId="0" fontId="7" fillId="0" borderId="22" xfId="17" applyFont="1" applyFill="1" applyBorder="1" applyAlignment="1">
      <alignment horizontal="center" vertical="center"/>
    </xf>
    <xf numFmtId="4" fontId="7" fillId="0" borderId="22" xfId="17" applyNumberFormat="1" applyFont="1" applyFill="1" applyBorder="1" applyAlignment="1">
      <alignment horizontal="center" vertical="center"/>
    </xf>
    <xf numFmtId="169" fontId="7" fillId="0" borderId="22" xfId="19" applyFont="1" applyFill="1" applyBorder="1" applyAlignment="1">
      <alignment horizontal="center" vertical="center" wrapText="1"/>
    </xf>
    <xf numFmtId="3" fontId="7" fillId="0" borderId="22" xfId="19" applyNumberFormat="1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9" fontId="3" fillId="0" borderId="12" xfId="0" applyNumberFormat="1" applyFont="1" applyFill="1" applyBorder="1"/>
    <xf numFmtId="9" fontId="3" fillId="0" borderId="5" xfId="0" applyNumberFormat="1" applyFont="1" applyFill="1" applyBorder="1"/>
    <xf numFmtId="3" fontId="9" fillId="0" borderId="5" xfId="0" applyNumberFormat="1" applyFont="1" applyFill="1" applyBorder="1" applyAlignment="1">
      <alignment horizontal="center"/>
    </xf>
    <xf numFmtId="0" fontId="2" fillId="0" borderId="22" xfId="0" applyFont="1" applyBorder="1" applyAlignment="1">
      <alignment horizontal="center"/>
    </xf>
    <xf numFmtId="43" fontId="2" fillId="0" borderId="22" xfId="1" applyFont="1" applyBorder="1" applyAlignment="1">
      <alignment horizontal="center"/>
    </xf>
    <xf numFmtId="9" fontId="2" fillId="0" borderId="9" xfId="73" applyFont="1" applyBorder="1"/>
    <xf numFmtId="0" fontId="7" fillId="0" borderId="22" xfId="6" applyFont="1" applyFill="1" applyBorder="1" applyAlignment="1">
      <alignment horizontal="left" vertical="center" wrapText="1"/>
    </xf>
    <xf numFmtId="173" fontId="7" fillId="0" borderId="22" xfId="21" applyNumberFormat="1" applyFont="1" applyFill="1" applyBorder="1" applyAlignment="1">
      <alignment horizontal="center" vertical="center" wrapText="1"/>
    </xf>
    <xf numFmtId="173" fontId="7" fillId="0" borderId="12" xfId="21" applyNumberFormat="1" applyFont="1" applyFill="1" applyBorder="1" applyAlignment="1">
      <alignment horizontal="center" vertical="center" wrapText="1"/>
    </xf>
    <xf numFmtId="165" fontId="3" fillId="0" borderId="0" xfId="0" applyNumberFormat="1" applyFont="1" applyFill="1" applyAlignment="1"/>
    <xf numFmtId="0" fontId="6" fillId="0" borderId="0" xfId="6" applyFont="1" applyFill="1" applyBorder="1" applyAlignment="1">
      <alignment horizontal="left" vertical="center" wrapText="1"/>
    </xf>
    <xf numFmtId="174" fontId="6" fillId="0" borderId="0" xfId="1" applyNumberFormat="1" applyFont="1" applyFill="1" applyBorder="1" applyAlignment="1">
      <alignment horizontal="right"/>
    </xf>
    <xf numFmtId="9" fontId="6" fillId="0" borderId="0" xfId="73" applyFont="1" applyFill="1" applyBorder="1" applyAlignment="1">
      <alignment horizontal="right"/>
    </xf>
    <xf numFmtId="0" fontId="6" fillId="0" borderId="0" xfId="6" applyFont="1" applyFill="1" applyBorder="1" applyAlignment="1">
      <alignment horizontal="left" vertical="center"/>
    </xf>
    <xf numFmtId="41" fontId="3" fillId="0" borderId="0" xfId="73" applyNumberFormat="1" applyFont="1" applyFill="1" applyBorder="1" applyAlignment="1"/>
    <xf numFmtId="174" fontId="6" fillId="0" borderId="5" xfId="1" applyNumberFormat="1" applyFont="1" applyFill="1" applyBorder="1" applyAlignment="1">
      <alignment horizontal="right"/>
    </xf>
    <xf numFmtId="9" fontId="6" fillId="0" borderId="5" xfId="73" applyFont="1" applyFill="1" applyBorder="1" applyAlignment="1">
      <alignment horizontal="right"/>
    </xf>
    <xf numFmtId="165" fontId="2" fillId="0" borderId="22" xfId="0" applyNumberFormat="1" applyFont="1" applyFill="1" applyBorder="1" applyAlignment="1"/>
    <xf numFmtId="0" fontId="2" fillId="0" borderId="22" xfId="0" applyFont="1" applyFill="1" applyBorder="1" applyAlignment="1"/>
    <xf numFmtId="9" fontId="7" fillId="0" borderId="5" xfId="73" applyFont="1" applyFill="1" applyBorder="1" applyAlignment="1">
      <alignment horizontal="right"/>
    </xf>
    <xf numFmtId="41" fontId="3" fillId="0" borderId="22" xfId="0" applyNumberFormat="1" applyFont="1" applyBorder="1"/>
    <xf numFmtId="0" fontId="2" fillId="0" borderId="22" xfId="0" applyFont="1" applyFill="1" applyBorder="1" applyAlignment="1">
      <alignment horizontal="left"/>
    </xf>
    <xf numFmtId="10" fontId="2" fillId="0" borderId="22" xfId="73" applyNumberFormat="1" applyFont="1" applyFill="1" applyBorder="1"/>
    <xf numFmtId="165" fontId="3" fillId="0" borderId="0" xfId="0" applyNumberFormat="1" applyFont="1" applyFill="1" applyBorder="1"/>
    <xf numFmtId="0" fontId="8" fillId="0" borderId="0" xfId="0" applyFont="1"/>
    <xf numFmtId="0" fontId="6" fillId="0" borderId="0" xfId="0" applyFont="1" applyFill="1"/>
    <xf numFmtId="0" fontId="4" fillId="0" borderId="9" xfId="0" applyFont="1" applyFill="1" applyBorder="1" applyAlignment="1">
      <alignment wrapText="1"/>
    </xf>
    <xf numFmtId="41" fontId="4" fillId="0" borderId="9" xfId="0" applyNumberFormat="1" applyFont="1" applyFill="1" applyBorder="1"/>
    <xf numFmtId="0" fontId="15" fillId="0" borderId="0" xfId="0" applyFont="1" applyFill="1" applyAlignment="1">
      <alignment horizontal="right"/>
    </xf>
    <xf numFmtId="41" fontId="15" fillId="0" borderId="0" xfId="0" applyNumberFormat="1" applyFont="1" applyFill="1"/>
    <xf numFmtId="0" fontId="6" fillId="0" borderId="0" xfId="0" applyNumberFormat="1" applyFont="1" applyBorder="1" applyAlignment="1">
      <alignment horizontal="left" vertical="center"/>
    </xf>
    <xf numFmtId="0" fontId="9" fillId="0" borderId="0" xfId="0" applyFont="1" applyFill="1" applyAlignment="1">
      <alignment horizontal="center"/>
    </xf>
    <xf numFmtId="0" fontId="2" fillId="0" borderId="12" xfId="0" applyFont="1" applyBorder="1" applyAlignment="1">
      <alignment horizontal="center"/>
    </xf>
    <xf numFmtId="175" fontId="3" fillId="0" borderId="12" xfId="0" applyNumberFormat="1" applyFont="1" applyBorder="1" applyAlignment="1">
      <alignment horizontal="center"/>
    </xf>
    <xf numFmtId="41" fontId="3" fillId="0" borderId="12" xfId="1" applyNumberFormat="1" applyFont="1" applyBorder="1"/>
    <xf numFmtId="175" fontId="3" fillId="0" borderId="0" xfId="0" applyNumberFormat="1" applyFont="1" applyBorder="1" applyAlignment="1">
      <alignment horizontal="center"/>
    </xf>
    <xf numFmtId="41" fontId="3" fillId="0" borderId="0" xfId="1" applyNumberFormat="1" applyFont="1" applyBorder="1"/>
    <xf numFmtId="0" fontId="2" fillId="0" borderId="22" xfId="0" applyFont="1" applyBorder="1" applyAlignment="1">
      <alignment horizontal="right"/>
    </xf>
    <xf numFmtId="0" fontId="7" fillId="0" borderId="0" xfId="9" quotePrefix="1" applyNumberFormat="1" applyFont="1" applyFill="1" applyBorder="1" applyAlignment="1" applyProtection="1">
      <alignment horizontal="center"/>
      <protection locked="0"/>
    </xf>
    <xf numFmtId="0" fontId="18" fillId="0" borderId="0" xfId="0" applyFont="1"/>
    <xf numFmtId="0" fontId="12" fillId="0" borderId="0" xfId="0" applyFont="1" applyFill="1" applyAlignment="1">
      <alignment horizontal="right"/>
    </xf>
    <xf numFmtId="0" fontId="12" fillId="0" borderId="0" xfId="6" applyFont="1" applyFill="1" applyBorder="1" applyAlignment="1">
      <alignment horizontal="left" vertical="center"/>
    </xf>
    <xf numFmtId="0" fontId="6" fillId="0" borderId="12" xfId="0" applyFont="1" applyFill="1" applyBorder="1" applyAlignment="1">
      <alignment horizontal="left" vertical="center"/>
    </xf>
    <xf numFmtId="174" fontId="6" fillId="0" borderId="12" xfId="1" applyNumberFormat="1" applyFont="1" applyFill="1" applyBorder="1" applyAlignment="1">
      <alignment horizontal="right"/>
    </xf>
    <xf numFmtId="0" fontId="6" fillId="0" borderId="12" xfId="11" quotePrefix="1" applyFont="1" applyFill="1" applyBorder="1" applyAlignment="1">
      <alignment horizontal="left" vertical="center"/>
    </xf>
    <xf numFmtId="0" fontId="6" fillId="0" borderId="12" xfId="11" quotePrefix="1" applyFont="1" applyFill="1" applyBorder="1">
      <alignment horizontal="left" vertical="center" indent="1"/>
    </xf>
    <xf numFmtId="0" fontId="9" fillId="0" borderId="12" xfId="13" applyNumberFormat="1" applyFont="1" applyFill="1" applyBorder="1">
      <alignment horizontal="right" vertical="center"/>
    </xf>
    <xf numFmtId="9" fontId="7" fillId="0" borderId="12" xfId="0" applyNumberFormat="1" applyFont="1" applyFill="1" applyBorder="1"/>
    <xf numFmtId="41" fontId="21" fillId="0" borderId="5" xfId="12" applyNumberFormat="1" applyFont="1" applyFill="1" applyBorder="1">
      <alignment vertical="center"/>
    </xf>
    <xf numFmtId="41" fontId="21" fillId="0" borderId="9" xfId="12" applyNumberFormat="1" applyFont="1" applyFill="1" applyBorder="1">
      <alignment vertical="center"/>
    </xf>
    <xf numFmtId="41" fontId="14" fillId="0" borderId="0" xfId="13" applyNumberFormat="1" applyFont="1" applyFill="1" applyBorder="1">
      <alignment horizontal="right" vertical="center"/>
    </xf>
    <xf numFmtId="41" fontId="14" fillId="0" borderId="12" xfId="13" applyNumberFormat="1" applyFont="1" applyFill="1" applyBorder="1">
      <alignment horizontal="right" vertical="center"/>
    </xf>
    <xf numFmtId="41" fontId="7" fillId="0" borderId="9" xfId="0" applyNumberFormat="1" applyFont="1" applyFill="1" applyBorder="1"/>
    <xf numFmtId="41" fontId="7" fillId="0" borderId="2" xfId="0" applyNumberFormat="1" applyFont="1" applyFill="1" applyBorder="1"/>
    <xf numFmtId="41" fontId="7" fillId="0" borderId="22" xfId="0" applyNumberFormat="1" applyFont="1" applyFill="1" applyBorder="1"/>
    <xf numFmtId="41" fontId="7" fillId="0" borderId="0" xfId="0" applyNumberFormat="1" applyFont="1" applyFill="1" applyBorder="1"/>
    <xf numFmtId="41" fontId="14" fillId="0" borderId="5" xfId="12" applyNumberFormat="1" applyFont="1" applyFill="1" applyBorder="1">
      <alignment vertical="center"/>
    </xf>
    <xf numFmtId="41" fontId="14" fillId="0" borderId="12" xfId="12" applyNumberFormat="1" applyFont="1" applyFill="1" applyBorder="1">
      <alignment vertical="center"/>
    </xf>
    <xf numFmtId="41" fontId="6" fillId="0" borderId="12" xfId="0" applyNumberFormat="1" applyFont="1" applyFill="1" applyBorder="1"/>
    <xf numFmtId="41" fontId="7" fillId="0" borderId="12" xfId="0" applyNumberFormat="1" applyFont="1" applyFill="1" applyBorder="1"/>
    <xf numFmtId="0" fontId="19" fillId="0" borderId="0" xfId="0" applyFont="1" applyFill="1"/>
    <xf numFmtId="0" fontId="19" fillId="0" borderId="0" xfId="0" applyFont="1"/>
    <xf numFmtId="165" fontId="19" fillId="0" borderId="0" xfId="0" applyNumberFormat="1" applyFont="1"/>
    <xf numFmtId="0" fontId="52" fillId="0" borderId="22" xfId="74" applyFont="1" applyBorder="1" applyAlignment="1">
      <alignment horizontal="right" vertical="center"/>
    </xf>
    <xf numFmtId="3" fontId="3" fillId="0" borderId="0" xfId="0" applyNumberFormat="1" applyFont="1"/>
    <xf numFmtId="0" fontId="8" fillId="0" borderId="0" xfId="0" applyFont="1" applyAlignment="1">
      <alignment horizontal="left"/>
    </xf>
    <xf numFmtId="41" fontId="19" fillId="0" borderId="0" xfId="0" applyNumberFormat="1" applyFont="1" applyBorder="1"/>
    <xf numFmtId="41" fontId="19" fillId="0" borderId="0" xfId="0" applyNumberFormat="1" applyFont="1" applyFill="1"/>
    <xf numFmtId="41" fontId="9" fillId="0" borderId="0" xfId="0" applyNumberFormat="1" applyFont="1" applyFill="1"/>
    <xf numFmtId="0" fontId="8" fillId="0" borderId="0" xfId="0" applyFont="1" applyAlignment="1">
      <alignment horizontal="center"/>
    </xf>
    <xf numFmtId="0" fontId="18" fillId="0" borderId="23" xfId="0" applyFont="1" applyFill="1" applyBorder="1"/>
    <xf numFmtId="41" fontId="3" fillId="0" borderId="0" xfId="0" applyNumberFormat="1" applyFont="1" applyFill="1" applyAlignment="1"/>
    <xf numFmtId="41" fontId="3" fillId="0" borderId="0" xfId="30" applyNumberFormat="1" applyFont="1"/>
    <xf numFmtId="41" fontId="3" fillId="0" borderId="5" xfId="30" applyNumberFormat="1" applyFont="1" applyBorder="1"/>
    <xf numFmtId="41" fontId="2" fillId="0" borderId="0" xfId="0" applyNumberFormat="1" applyFont="1"/>
    <xf numFmtId="41" fontId="15" fillId="0" borderId="0" xfId="1" applyNumberFormat="1" applyFont="1"/>
    <xf numFmtId="0" fontId="18" fillId="0" borderId="0" xfId="0" applyFont="1" applyAlignment="1">
      <alignment horizontal="left"/>
    </xf>
    <xf numFmtId="9" fontId="4" fillId="0" borderId="9" xfId="0" applyNumberFormat="1" applyFont="1" applyFill="1" applyBorder="1"/>
    <xf numFmtId="0" fontId="18" fillId="0" borderId="0" xfId="0" applyFont="1" applyBorder="1" applyAlignment="1">
      <alignment horizontal="center"/>
    </xf>
    <xf numFmtId="0" fontId="11" fillId="0" borderId="0" xfId="15" applyNumberFormat="1" applyFont="1" applyFill="1" applyBorder="1" applyAlignment="1">
      <alignment vertical="center"/>
    </xf>
    <xf numFmtId="0" fontId="6" fillId="0" borderId="12" xfId="15" applyNumberFormat="1" applyFont="1" applyFill="1" applyBorder="1" applyAlignment="1">
      <alignment vertical="center"/>
    </xf>
    <xf numFmtId="0" fontId="3" fillId="0" borderId="12" xfId="0" applyFont="1" applyBorder="1" applyAlignment="1">
      <alignment vertical="center" wrapText="1"/>
    </xf>
    <xf numFmtId="0" fontId="6" fillId="0" borderId="0" xfId="15" applyNumberFormat="1" applyFont="1" applyFill="1" applyBorder="1" applyAlignment="1">
      <alignment vertical="center"/>
    </xf>
    <xf numFmtId="0" fontId="6" fillId="0" borderId="0" xfId="23" applyFont="1" applyFill="1" applyBorder="1" applyAlignment="1">
      <alignment horizontal="left" vertical="center" wrapText="1"/>
    </xf>
    <xf numFmtId="0" fontId="6" fillId="0" borderId="0" xfId="15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vertical="center" wrapText="1"/>
    </xf>
    <xf numFmtId="0" fontId="6" fillId="0" borderId="5" xfId="15" applyNumberFormat="1" applyFont="1" applyFill="1" applyBorder="1" applyAlignment="1">
      <alignment vertical="center"/>
    </xf>
    <xf numFmtId="0" fontId="6" fillId="0" borderId="5" xfId="23" applyFont="1" applyFill="1" applyBorder="1" applyAlignment="1">
      <alignment horizontal="left" vertical="center" wrapText="1"/>
    </xf>
    <xf numFmtId="0" fontId="9" fillId="0" borderId="12" xfId="15" applyFont="1" applyFill="1" applyBorder="1" applyAlignment="1">
      <alignment horizontal="center" vertical="top" wrapText="1"/>
    </xf>
    <xf numFmtId="0" fontId="6" fillId="0" borderId="5" xfId="15" applyFont="1" applyFill="1" applyBorder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15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1" fontId="7" fillId="0" borderId="22" xfId="17" applyNumberFormat="1" applyFont="1" applyFill="1" applyBorder="1" applyAlignment="1">
      <alignment horizontal="left"/>
    </xf>
    <xf numFmtId="4" fontId="7" fillId="0" borderId="22" xfId="17" applyNumberFormat="1" applyFont="1" applyFill="1" applyBorder="1"/>
    <xf numFmtId="0" fontId="18" fillId="0" borderId="22" xfId="0" applyFont="1" applyBorder="1" applyAlignment="1">
      <alignment horizontal="left"/>
    </xf>
    <xf numFmtId="44" fontId="3" fillId="0" borderId="0" xfId="0" applyNumberFormat="1" applyFont="1"/>
    <xf numFmtId="41" fontId="3" fillId="0" borderId="0" xfId="0" applyNumberFormat="1" applyFont="1" applyAlignment="1">
      <alignment horizontal="right"/>
    </xf>
    <xf numFmtId="9" fontId="3" fillId="0" borderId="0" xfId="0" applyNumberFormat="1" applyFont="1" applyAlignment="1">
      <alignment horizontal="right"/>
    </xf>
    <xf numFmtId="9" fontId="2" fillId="0" borderId="22" xfId="0" applyNumberFormat="1" applyFont="1" applyBorder="1"/>
    <xf numFmtId="9" fontId="2" fillId="0" borderId="22" xfId="0" applyNumberFormat="1" applyFont="1" applyBorder="1" applyAlignment="1">
      <alignment horizontal="right"/>
    </xf>
    <xf numFmtId="41" fontId="2" fillId="0" borderId="22" xfId="0" applyNumberFormat="1" applyFont="1" applyBorder="1" applyAlignment="1">
      <alignment horizontal="right"/>
    </xf>
    <xf numFmtId="165" fontId="3" fillId="0" borderId="0" xfId="0" applyNumberFormat="1" applyFont="1" applyAlignment="1"/>
    <xf numFmtId="41" fontId="21" fillId="0" borderId="0" xfId="13" applyNumberFormat="1" applyFont="1" applyFill="1" applyBorder="1" applyAlignment="1"/>
    <xf numFmtId="3" fontId="3" fillId="0" borderId="0" xfId="0" applyNumberFormat="1" applyFont="1" applyBorder="1"/>
    <xf numFmtId="0" fontId="11" fillId="0" borderId="0" xfId="0" applyNumberFormat="1" applyFont="1" applyFill="1" applyBorder="1" applyAlignment="1">
      <alignment horizontal="right" wrapText="1"/>
    </xf>
    <xf numFmtId="0" fontId="25" fillId="0" borderId="0" xfId="0" applyNumberFormat="1" applyFont="1" applyFill="1" applyBorder="1" applyAlignment="1">
      <alignment horizontal="right"/>
    </xf>
    <xf numFmtId="171" fontId="3" fillId="0" borderId="8" xfId="1" applyNumberFormat="1" applyFont="1" applyFill="1" applyBorder="1" applyAlignment="1">
      <alignment horizontal="right"/>
    </xf>
    <xf numFmtId="171" fontId="3" fillId="0" borderId="3" xfId="1" applyNumberFormat="1" applyFont="1" applyFill="1" applyBorder="1" applyAlignment="1"/>
    <xf numFmtId="171" fontId="3" fillId="0" borderId="8" xfId="1" applyNumberFormat="1" applyFont="1" applyFill="1" applyBorder="1" applyAlignment="1"/>
    <xf numFmtId="171" fontId="3" fillId="0" borderId="8" xfId="0" applyNumberFormat="1" applyFont="1" applyBorder="1"/>
    <xf numFmtId="0" fontId="2" fillId="0" borderId="22" xfId="0" applyFont="1" applyBorder="1" applyAlignment="1">
      <alignment horizontal="center" vertical="center"/>
    </xf>
    <xf numFmtId="165" fontId="2" fillId="0" borderId="22" xfId="0" applyNumberFormat="1" applyFont="1" applyBorder="1"/>
    <xf numFmtId="41" fontId="6" fillId="0" borderId="0" xfId="0" applyNumberFormat="1" applyFont="1" applyFill="1" applyAlignment="1"/>
    <xf numFmtId="41" fontId="7" fillId="0" borderId="22" xfId="0" applyNumberFormat="1" applyFont="1" applyFill="1" applyBorder="1" applyAlignment="1"/>
    <xf numFmtId="41" fontId="6" fillId="0" borderId="0" xfId="0" applyNumberFormat="1" applyFont="1" applyFill="1"/>
    <xf numFmtId="41" fontId="3" fillId="0" borderId="22" xfId="0" applyNumberFormat="1" applyFont="1" applyFill="1" applyBorder="1"/>
    <xf numFmtId="0" fontId="8" fillId="0" borderId="0" xfId="0" applyFont="1" applyFill="1" applyAlignment="1">
      <alignment horizontal="center"/>
    </xf>
    <xf numFmtId="41" fontId="6" fillId="0" borderId="22" xfId="20" applyNumberFormat="1" applyFont="1" applyFill="1" applyBorder="1" applyAlignment="1"/>
    <xf numFmtId="168" fontId="3" fillId="0" borderId="22" xfId="0" applyNumberFormat="1" applyFont="1" applyFill="1" applyBorder="1" applyAlignment="1">
      <alignment horizontal="right"/>
    </xf>
    <xf numFmtId="41" fontId="14" fillId="0" borderId="22" xfId="12" applyNumberFormat="1" applyFont="1" applyFill="1" applyBorder="1">
      <alignment vertical="center"/>
    </xf>
    <xf numFmtId="41" fontId="3" fillId="0" borderId="12" xfId="0" applyNumberFormat="1" applyFont="1" applyFill="1" applyBorder="1" applyAlignment="1">
      <alignment horizontal="center"/>
    </xf>
    <xf numFmtId="41" fontId="6" fillId="0" borderId="12" xfId="2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41" fontId="14" fillId="0" borderId="12" xfId="12" applyNumberFormat="1" applyFont="1" applyFill="1" applyBorder="1" applyAlignment="1">
      <alignment horizontal="center" vertical="center"/>
    </xf>
    <xf numFmtId="0" fontId="6" fillId="0" borderId="12" xfId="15" applyFont="1" applyFill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3" fillId="0" borderId="0" xfId="0" applyNumberFormat="1" applyFont="1" applyAlignment="1">
      <alignment horizontal="left" vertical="center"/>
    </xf>
    <xf numFmtId="165" fontId="3" fillId="0" borderId="0" xfId="1" applyNumberFormat="1" applyFont="1" applyFill="1" applyBorder="1" applyAlignment="1">
      <alignment vertical="center"/>
    </xf>
    <xf numFmtId="49" fontId="3" fillId="0" borderId="12" xfId="0" applyNumberFormat="1" applyFont="1" applyBorder="1"/>
    <xf numFmtId="49" fontId="4" fillId="0" borderId="22" xfId="0" applyNumberFormat="1" applyFont="1" applyBorder="1"/>
    <xf numFmtId="3" fontId="3" fillId="0" borderId="12" xfId="0" applyNumberFormat="1" applyFont="1" applyBorder="1"/>
    <xf numFmtId="4" fontId="12" fillId="0" borderId="0" xfId="17" applyNumberFormat="1" applyFont="1" applyFill="1"/>
    <xf numFmtId="0" fontId="18" fillId="0" borderId="23" xfId="0" applyFont="1" applyBorder="1" applyAlignment="1">
      <alignment horizontal="left"/>
    </xf>
    <xf numFmtId="165" fontId="7" fillId="0" borderId="22" xfId="1" applyNumberFormat="1" applyFont="1" applyFill="1" applyBorder="1"/>
    <xf numFmtId="41" fontId="2" fillId="0" borderId="22" xfId="0" applyNumberFormat="1" applyFont="1" applyBorder="1"/>
    <xf numFmtId="41" fontId="18" fillId="0" borderId="0" xfId="0" applyNumberFormat="1" applyFont="1" applyFill="1" applyBorder="1" applyAlignment="1">
      <alignment horizontal="right"/>
    </xf>
    <xf numFmtId="0" fontId="2" fillId="0" borderId="2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5" fillId="0" borderId="0" xfId="1" applyNumberFormat="1" applyFont="1" applyBorder="1" applyAlignment="1">
      <alignment horizontal="left"/>
    </xf>
    <xf numFmtId="0" fontId="2" fillId="0" borderId="22" xfId="0" applyFont="1" applyBorder="1" applyAlignment="1">
      <alignment horizontal="left" vertical="center" wrapText="1"/>
    </xf>
    <xf numFmtId="41" fontId="6" fillId="0" borderId="22" xfId="0" applyNumberFormat="1" applyFont="1" applyFill="1" applyBorder="1"/>
    <xf numFmtId="165" fontId="7" fillId="0" borderId="22" xfId="0" applyNumberFormat="1" applyFont="1" applyFill="1" applyBorder="1"/>
    <xf numFmtId="0" fontId="3" fillId="0" borderId="22" xfId="0" applyFont="1" applyFill="1" applyBorder="1"/>
    <xf numFmtId="0" fontId="2" fillId="0" borderId="22" xfId="20" applyNumberFormat="1" applyFont="1" applyFill="1" applyBorder="1" applyAlignment="1">
      <alignment horizontal="center" vertical="center"/>
    </xf>
    <xf numFmtId="168" fontId="6" fillId="0" borderId="22" xfId="20" applyNumberFormat="1" applyFont="1" applyFill="1" applyBorder="1" applyAlignment="1"/>
    <xf numFmtId="41" fontId="3" fillId="0" borderId="22" xfId="0" applyNumberFormat="1" applyFont="1" applyFill="1" applyBorder="1" applyAlignment="1">
      <alignment horizontal="right"/>
    </xf>
    <xf numFmtId="165" fontId="14" fillId="0" borderId="22" xfId="12" applyNumberFormat="1" applyFont="1" applyFill="1" applyBorder="1">
      <alignment vertical="center"/>
    </xf>
    <xf numFmtId="165" fontId="6" fillId="0" borderId="12" xfId="1" applyNumberFormat="1" applyFont="1" applyFill="1" applyBorder="1"/>
    <xf numFmtId="165" fontId="3" fillId="0" borderId="0" xfId="1" applyNumberFormat="1" applyFont="1" applyBorder="1"/>
    <xf numFmtId="41" fontId="6" fillId="0" borderId="9" xfId="0" applyNumberFormat="1" applyFont="1" applyFill="1" applyBorder="1" applyAlignment="1">
      <alignment horizontal="center"/>
    </xf>
    <xf numFmtId="41" fontId="6" fillId="0" borderId="0" xfId="0" applyNumberFormat="1" applyFont="1" applyFill="1" applyAlignment="1">
      <alignment horizontal="center"/>
    </xf>
    <xf numFmtId="0" fontId="18" fillId="0" borderId="0" xfId="0" applyFont="1" applyFill="1" applyAlignment="1">
      <alignment horizontal="left"/>
    </xf>
    <xf numFmtId="0" fontId="9" fillId="0" borderId="0" xfId="0" applyFont="1" applyFill="1" applyBorder="1" applyAlignment="1">
      <alignment horizontal="right" wrapText="1"/>
    </xf>
    <xf numFmtId="0" fontId="2" fillId="0" borderId="12" xfId="0" applyFont="1" applyBorder="1" applyAlignment="1">
      <alignment vertical="center"/>
    </xf>
    <xf numFmtId="0" fontId="9" fillId="0" borderId="12" xfId="0" applyFont="1" applyFill="1" applyBorder="1" applyAlignment="1">
      <alignment horizontal="right" wrapText="1"/>
    </xf>
    <xf numFmtId="0" fontId="16" fillId="0" borderId="0" xfId="0" applyFont="1"/>
    <xf numFmtId="0" fontId="2" fillId="0" borderId="22" xfId="0" applyFont="1" applyBorder="1"/>
    <xf numFmtId="41" fontId="6" fillId="0" borderId="22" xfId="1" applyNumberFormat="1" applyFont="1" applyFill="1" applyBorder="1" applyAlignment="1">
      <alignment horizontal="right"/>
    </xf>
    <xf numFmtId="3" fontId="7" fillId="0" borderId="22" xfId="19" applyNumberFormat="1" applyFont="1" applyFill="1" applyBorder="1" applyAlignment="1">
      <alignment horizontal="center" vertical="center"/>
    </xf>
    <xf numFmtId="169" fontId="7" fillId="0" borderId="22" xfId="19" applyFont="1" applyFill="1" applyBorder="1" applyAlignment="1">
      <alignment horizontal="center" vertical="center"/>
    </xf>
    <xf numFmtId="41" fontId="2" fillId="0" borderId="5" xfId="0" applyNumberFormat="1" applyFont="1" applyBorder="1"/>
    <xf numFmtId="1" fontId="7" fillId="0" borderId="22" xfId="0" applyNumberFormat="1" applyFont="1" applyFill="1" applyBorder="1" applyAlignment="1">
      <alignment horizontal="center" vertical="center" wrapText="1"/>
    </xf>
    <xf numFmtId="4" fontId="7" fillId="0" borderId="22" xfId="17" applyNumberFormat="1" applyFont="1" applyFill="1" applyBorder="1" applyAlignment="1">
      <alignment horizontal="center" vertical="center" wrapText="1"/>
    </xf>
    <xf numFmtId="3" fontId="7" fillId="0" borderId="22" xfId="0" applyNumberFormat="1" applyFont="1" applyFill="1" applyBorder="1" applyAlignment="1">
      <alignment horizontal="center" vertical="center" wrapText="1"/>
    </xf>
    <xf numFmtId="0" fontId="12" fillId="0" borderId="0" xfId="0" applyFont="1" applyBorder="1"/>
    <xf numFmtId="0" fontId="3" fillId="0" borderId="12" xfId="0" applyFont="1" applyBorder="1" applyAlignment="1">
      <alignment horizontal="left" wrapText="1"/>
    </xf>
    <xf numFmtId="0" fontId="18" fillId="0" borderId="12" xfId="0" applyFont="1" applyBorder="1" applyAlignment="1">
      <alignment horizontal="right"/>
    </xf>
    <xf numFmtId="0" fontId="18" fillId="0" borderId="0" xfId="0" applyFont="1" applyBorder="1" applyAlignment="1">
      <alignment horizontal="right"/>
    </xf>
    <xf numFmtId="165" fontId="3" fillId="0" borderId="12" xfId="1" applyNumberFormat="1" applyFont="1" applyBorder="1"/>
    <xf numFmtId="41" fontId="7" fillId="0" borderId="0" xfId="0" applyNumberFormat="1" applyFont="1" applyFill="1" applyBorder="1" applyAlignment="1">
      <alignment horizontal="right"/>
    </xf>
    <xf numFmtId="0" fontId="53" fillId="0" borderId="0" xfId="0" applyFont="1" applyFill="1" applyAlignment="1">
      <alignment vertical="center"/>
    </xf>
    <xf numFmtId="169" fontId="7" fillId="0" borderId="12" xfId="19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/>
    </xf>
    <xf numFmtId="41" fontId="3" fillId="0" borderId="12" xfId="0" applyNumberFormat="1" applyFont="1" applyFill="1" applyBorder="1"/>
    <xf numFmtId="41" fontId="3" fillId="0" borderId="5" xfId="0" applyNumberFormat="1" applyFont="1" applyFill="1" applyBorder="1"/>
    <xf numFmtId="0" fontId="2" fillId="0" borderId="22" xfId="0" applyFont="1" applyFill="1" applyBorder="1"/>
    <xf numFmtId="41" fontId="2" fillId="0" borderId="22" xfId="0" applyNumberFormat="1" applyFont="1" applyFill="1" applyBorder="1"/>
    <xf numFmtId="0" fontId="53" fillId="0" borderId="0" xfId="0" applyFont="1" applyAlignment="1">
      <alignment vertical="center"/>
    </xf>
    <xf numFmtId="0" fontId="7" fillId="0" borderId="12" xfId="17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/>
    </xf>
    <xf numFmtId="41" fontId="7" fillId="0" borderId="0" xfId="0" applyNumberFormat="1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41" fontId="9" fillId="0" borderId="0" xfId="0" applyNumberFormat="1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7" fillId="0" borderId="22" xfId="22" applyFont="1" applyFill="1" applyBorder="1" applyAlignment="1">
      <alignment horizontal="center"/>
    </xf>
    <xf numFmtId="0" fontId="2" fillId="0" borderId="22" xfId="0" applyFont="1" applyBorder="1" applyAlignment="1">
      <alignment vertical="center"/>
    </xf>
    <xf numFmtId="4" fontId="7" fillId="0" borderId="22" xfId="0" applyNumberFormat="1" applyFont="1" applyFill="1" applyBorder="1" applyAlignment="1">
      <alignment horizontal="center" wrapText="1"/>
    </xf>
    <xf numFmtId="0" fontId="2" fillId="0" borderId="22" xfId="0" applyFont="1" applyBorder="1" applyAlignment="1">
      <alignment horizontal="center" wrapText="1"/>
    </xf>
    <xf numFmtId="0" fontId="53" fillId="0" borderId="0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54" fillId="0" borderId="0" xfId="0" applyFont="1" applyAlignment="1">
      <alignment horizontal="center" vertical="center"/>
    </xf>
    <xf numFmtId="41" fontId="19" fillId="0" borderId="0" xfId="0" applyNumberFormat="1" applyFont="1" applyAlignment="1">
      <alignment horizontal="center" vertical="center"/>
    </xf>
    <xf numFmtId="0" fontId="12" fillId="0" borderId="0" xfId="0" applyFont="1" applyFill="1" applyBorder="1"/>
    <xf numFmtId="165" fontId="3" fillId="0" borderId="0" xfId="1" applyNumberFormat="1" applyFont="1" applyFill="1"/>
    <xf numFmtId="0" fontId="4" fillId="0" borderId="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left" wrapText="1"/>
    </xf>
    <xf numFmtId="0" fontId="18" fillId="0" borderId="12" xfId="0" applyFont="1" applyFill="1" applyBorder="1" applyAlignment="1">
      <alignment horizontal="right"/>
    </xf>
    <xf numFmtId="165" fontId="3" fillId="0" borderId="12" xfId="1" applyNumberFormat="1" applyFont="1" applyFill="1" applyBorder="1"/>
    <xf numFmtId="0" fontId="3" fillId="0" borderId="0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9" fontId="3" fillId="0" borderId="5" xfId="1" applyNumberFormat="1" applyFont="1" applyFill="1" applyBorder="1"/>
    <xf numFmtId="165" fontId="3" fillId="0" borderId="0" xfId="1" applyNumberFormat="1" applyFont="1" applyFill="1" applyBorder="1"/>
    <xf numFmtId="9" fontId="3" fillId="0" borderId="5" xfId="1" applyNumberFormat="1" applyFont="1" applyBorder="1"/>
    <xf numFmtId="0" fontId="3" fillId="0" borderId="0" xfId="0" applyFont="1" applyBorder="1" applyAlignment="1">
      <alignment horizontal="left" wrapText="1"/>
    </xf>
    <xf numFmtId="0" fontId="18" fillId="0" borderId="0" xfId="0" applyFont="1" applyBorder="1"/>
    <xf numFmtId="0" fontId="18" fillId="0" borderId="5" xfId="0" applyFont="1" applyBorder="1"/>
    <xf numFmtId="0" fontId="9" fillId="0" borderId="12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4" fontId="7" fillId="0" borderId="12" xfId="17" applyNumberFormat="1" applyFont="1" applyFill="1" applyBorder="1" applyAlignment="1">
      <alignment horizontal="center" vertical="center"/>
    </xf>
    <xf numFmtId="3" fontId="7" fillId="0" borderId="12" xfId="19" applyNumberFormat="1" applyFont="1" applyFill="1" applyBorder="1" applyAlignment="1">
      <alignment horizontal="center" vertical="center" wrapText="1"/>
    </xf>
    <xf numFmtId="41" fontId="6" fillId="0" borderId="22" xfId="1" applyNumberFormat="1" applyFont="1" applyFill="1" applyBorder="1"/>
    <xf numFmtId="0" fontId="55" fillId="0" borderId="0" xfId="0" applyNumberFormat="1" applyFont="1" applyBorder="1" applyAlignment="1">
      <alignment horizontal="right"/>
    </xf>
    <xf numFmtId="0" fontId="55" fillId="0" borderId="5" xfId="0" applyNumberFormat="1" applyFont="1" applyBorder="1" applyAlignment="1">
      <alignment horizontal="right"/>
    </xf>
    <xf numFmtId="0" fontId="55" fillId="0" borderId="12" xfId="0" applyNumberFormat="1" applyFont="1" applyBorder="1" applyAlignment="1">
      <alignment horizontal="right"/>
    </xf>
    <xf numFmtId="9" fontId="3" fillId="0" borderId="0" xfId="73" applyFont="1"/>
    <xf numFmtId="1" fontId="7" fillId="0" borderId="0" xfId="0" applyNumberFormat="1" applyFont="1" applyFill="1" applyBorder="1" applyAlignment="1">
      <alignment horizontal="left"/>
    </xf>
    <xf numFmtId="9" fontId="2" fillId="0" borderId="0" xfId="0" applyNumberFormat="1" applyFont="1" applyBorder="1"/>
    <xf numFmtId="9" fontId="2" fillId="0" borderId="0" xfId="0" applyNumberFormat="1" applyFont="1" applyFill="1" applyBorder="1" applyAlignment="1">
      <alignment horizontal="right" vertical="center" wrapText="1"/>
    </xf>
    <xf numFmtId="0" fontId="57" fillId="0" borderId="23" xfId="0" applyFont="1" applyFill="1" applyBorder="1"/>
    <xf numFmtId="9" fontId="2" fillId="0" borderId="0" xfId="73" applyFont="1"/>
    <xf numFmtId="9" fontId="2" fillId="0" borderId="5" xfId="0" applyNumberFormat="1" applyFont="1" applyBorder="1"/>
    <xf numFmtId="41" fontId="7" fillId="0" borderId="0" xfId="0" applyNumberFormat="1" applyFont="1" applyFill="1"/>
    <xf numFmtId="41" fontId="22" fillId="0" borderId="0" xfId="0" applyNumberFormat="1" applyFont="1" applyFill="1" applyBorder="1"/>
    <xf numFmtId="41" fontId="56" fillId="0" borderId="0" xfId="0" applyNumberFormat="1" applyFont="1" applyFill="1" applyBorder="1"/>
    <xf numFmtId="43" fontId="6" fillId="0" borderId="0" xfId="0" applyNumberFormat="1" applyFont="1" applyFill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right"/>
    </xf>
    <xf numFmtId="0" fontId="18" fillId="0" borderId="23" xfId="0" applyFont="1" applyFill="1" applyBorder="1" applyAlignment="1">
      <alignment horizontal="left"/>
    </xf>
    <xf numFmtId="0" fontId="2" fillId="39" borderId="0" xfId="0" applyFont="1" applyFill="1" applyAlignment="1"/>
    <xf numFmtId="0" fontId="3" fillId="39" borderId="0" xfId="0" applyNumberFormat="1" applyFont="1" applyFill="1" applyAlignment="1">
      <alignment horizontal="left" vertical="center"/>
    </xf>
    <xf numFmtId="0" fontId="3" fillId="39" borderId="0" xfId="0" applyFont="1" applyFill="1"/>
    <xf numFmtId="0" fontId="3" fillId="39" borderId="0" xfId="0" applyFont="1" applyFill="1" applyBorder="1" applyAlignment="1">
      <alignment vertical="center"/>
    </xf>
    <xf numFmtId="165" fontId="3" fillId="39" borderId="0" xfId="1" applyNumberFormat="1" applyFont="1" applyFill="1" applyBorder="1" applyAlignment="1">
      <alignment vertical="center"/>
    </xf>
    <xf numFmtId="0" fontId="2" fillId="39" borderId="0" xfId="0" applyFont="1" applyFill="1"/>
    <xf numFmtId="41" fontId="3" fillId="0" borderId="6" xfId="0" applyNumberFormat="1" applyFont="1" applyBorder="1"/>
    <xf numFmtId="0" fontId="7" fillId="0" borderId="22" xfId="0" applyFont="1" applyFill="1" applyBorder="1" applyAlignment="1">
      <alignment horizontal="center" wrapText="1"/>
    </xf>
    <xf numFmtId="0" fontId="9" fillId="0" borderId="22" xfId="0" applyFont="1" applyFill="1" applyBorder="1" applyAlignment="1">
      <alignment horizontal="center" vertical="center" wrapText="1"/>
    </xf>
    <xf numFmtId="0" fontId="9" fillId="0" borderId="22" xfId="0" applyFont="1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6" fillId="0" borderId="22" xfId="6" applyFont="1" applyFill="1" applyBorder="1" applyAlignment="1"/>
    <xf numFmtId="41" fontId="3" fillId="0" borderId="0" xfId="0" applyNumberFormat="1" applyFont="1" applyAlignment="1">
      <alignment vertical="center"/>
    </xf>
    <xf numFmtId="41" fontId="3" fillId="0" borderId="5" xfId="0" applyNumberFormat="1" applyFont="1" applyBorder="1" applyAlignment="1">
      <alignment vertical="center"/>
    </xf>
    <xf numFmtId="0" fontId="12" fillId="0" borderId="22" xfId="9" quotePrefix="1" applyNumberFormat="1" applyFont="1" applyFill="1" applyBorder="1" applyAlignment="1" applyProtection="1">
      <alignment horizontal="center"/>
      <protection locked="0"/>
    </xf>
    <xf numFmtId="41" fontId="2" fillId="0" borderId="0" xfId="0" applyNumberFormat="1" applyFont="1" applyAlignment="1">
      <alignment vertical="center"/>
    </xf>
    <xf numFmtId="41" fontId="2" fillId="0" borderId="22" xfId="0" applyNumberFormat="1" applyFont="1" applyBorder="1" applyAlignment="1">
      <alignment vertical="center"/>
    </xf>
    <xf numFmtId="41" fontId="2" fillId="0" borderId="0" xfId="0" applyNumberFormat="1" applyFont="1" applyBorder="1" applyAlignment="1">
      <alignment vertical="center"/>
    </xf>
    <xf numFmtId="41" fontId="3" fillId="0" borderId="0" xfId="0" applyNumberFormat="1" applyFont="1" applyBorder="1" applyAlignment="1">
      <alignment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4" xfId="0" applyNumberFormat="1" applyFont="1" applyFill="1" applyBorder="1" applyAlignment="1">
      <alignment vertical="center"/>
    </xf>
    <xf numFmtId="171" fontId="6" fillId="0" borderId="6" xfId="0" applyNumberFormat="1" applyFont="1" applyFill="1" applyBorder="1"/>
    <xf numFmtId="41" fontId="3" fillId="0" borderId="0" xfId="0" applyNumberFormat="1" applyFont="1" applyFill="1" applyBorder="1" applyAlignment="1">
      <alignment vertical="center"/>
    </xf>
    <xf numFmtId="41" fontId="18" fillId="0" borderId="0" xfId="0" applyNumberFormat="1" applyFont="1" applyFill="1" applyBorder="1" applyAlignment="1">
      <alignment horizontal="center"/>
    </xf>
    <xf numFmtId="41" fontId="2" fillId="0" borderId="12" xfId="0" applyNumberFormat="1" applyFont="1" applyBorder="1" applyAlignment="1">
      <alignment horizontal="center" vertical="center" wrapText="1"/>
    </xf>
    <xf numFmtId="41" fontId="3" fillId="0" borderId="12" xfId="1" applyNumberFormat="1" applyFont="1" applyBorder="1" applyAlignment="1">
      <alignment horizontal="left"/>
    </xf>
    <xf numFmtId="41" fontId="3" fillId="0" borderId="5" xfId="1" applyNumberFormat="1" applyFont="1" applyBorder="1" applyAlignment="1">
      <alignment horizontal="left"/>
    </xf>
    <xf numFmtId="9" fontId="3" fillId="0" borderId="0" xfId="1" applyNumberFormat="1" applyFont="1" applyBorder="1" applyAlignment="1">
      <alignment vertical="center"/>
    </xf>
    <xf numFmtId="9" fontId="2" fillId="0" borderId="22" xfId="1" applyNumberFormat="1" applyFont="1" applyBorder="1" applyAlignment="1">
      <alignment horizontal="right"/>
    </xf>
    <xf numFmtId="41" fontId="2" fillId="0" borderId="5" xfId="1" applyNumberFormat="1" applyFont="1" applyBorder="1" applyAlignment="1">
      <alignment horizontal="left"/>
    </xf>
    <xf numFmtId="9" fontId="3" fillId="0" borderId="0" xfId="1" applyNumberFormat="1" applyFont="1" applyFill="1" applyBorder="1" applyAlignment="1">
      <alignment vertical="center"/>
    </xf>
    <xf numFmtId="0" fontId="3" fillId="0" borderId="12" xfId="0" applyFont="1" applyFill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165" fontId="6" fillId="0" borderId="0" xfId="1" applyNumberFormat="1" applyFont="1" applyBorder="1" applyAlignment="1">
      <alignment horizontal="center"/>
    </xf>
    <xf numFmtId="0" fontId="3" fillId="0" borderId="7" xfId="0" applyFont="1" applyFill="1" applyBorder="1" applyAlignment="1">
      <alignment horizontal="left"/>
    </xf>
    <xf numFmtId="165" fontId="6" fillId="0" borderId="8" xfId="1" applyNumberFormat="1" applyFont="1" applyBorder="1"/>
    <xf numFmtId="165" fontId="3" fillId="0" borderId="8" xfId="0" applyNumberFormat="1" applyFont="1" applyBorder="1"/>
    <xf numFmtId="41" fontId="3" fillId="0" borderId="8" xfId="0" applyNumberFormat="1" applyFont="1" applyBorder="1"/>
    <xf numFmtId="41" fontId="2" fillId="0" borderId="12" xfId="0" applyNumberFormat="1" applyFont="1" applyFill="1" applyBorder="1"/>
    <xf numFmtId="0" fontId="54" fillId="0" borderId="0" xfId="0" applyFont="1" applyFill="1" applyAlignment="1">
      <alignment vertical="center"/>
    </xf>
    <xf numFmtId="0" fontId="6" fillId="0" borderId="2" xfId="17" applyFont="1" applyFill="1" applyBorder="1" applyAlignment="1">
      <alignment horizontal="left"/>
    </xf>
    <xf numFmtId="0" fontId="3" fillId="0" borderId="0" xfId="0" applyFont="1" applyFill="1" applyBorder="1" applyAlignment="1">
      <alignment horizontal="center" vertical="center" wrapText="1"/>
    </xf>
    <xf numFmtId="41" fontId="18" fillId="0" borderId="0" xfId="0" applyNumberFormat="1" applyFont="1" applyFill="1" applyBorder="1" applyAlignment="1">
      <alignment horizontal="center" vertical="center"/>
    </xf>
    <xf numFmtId="0" fontId="6" fillId="0" borderId="5" xfId="11" quotePrefix="1" applyFont="1" applyFill="1" applyBorder="1">
      <alignment horizontal="left" vertical="center" indent="1"/>
    </xf>
    <xf numFmtId="9" fontId="2" fillId="0" borderId="22" xfId="0" applyNumberFormat="1" applyFont="1" applyFill="1" applyBorder="1"/>
    <xf numFmtId="0" fontId="9" fillId="0" borderId="0" xfId="0" applyFont="1" applyFill="1" applyBorder="1" applyAlignment="1"/>
    <xf numFmtId="41" fontId="3" fillId="0" borderId="0" xfId="4" applyNumberFormat="1" applyFont="1" applyFill="1" applyBorder="1" applyAlignment="1"/>
    <xf numFmtId="41" fontId="2" fillId="0" borderId="0" xfId="4" applyNumberFormat="1" applyFont="1" applyFill="1" applyBorder="1" applyAlignment="1">
      <alignment horizontal="center"/>
    </xf>
    <xf numFmtId="41" fontId="10" fillId="0" borderId="0" xfId="0" applyNumberFormat="1" applyFont="1" applyFill="1" applyBorder="1" applyAlignment="1"/>
    <xf numFmtId="41" fontId="8" fillId="0" borderId="0" xfId="0" applyNumberFormat="1" applyFont="1" applyFill="1" applyBorder="1" applyAlignment="1">
      <alignment horizontal="right" vertical="center"/>
    </xf>
    <xf numFmtId="9" fontId="2" fillId="0" borderId="22" xfId="73" applyFont="1" applyBorder="1"/>
    <xf numFmtId="176" fontId="3" fillId="0" borderId="3" xfId="1" applyNumberFormat="1" applyFont="1" applyFill="1" applyBorder="1" applyAlignment="1"/>
    <xf numFmtId="176" fontId="3" fillId="0" borderId="8" xfId="1" applyNumberFormat="1" applyFont="1" applyFill="1" applyBorder="1" applyAlignment="1"/>
    <xf numFmtId="176" fontId="27" fillId="0" borderId="8" xfId="0" applyNumberFormat="1" applyFont="1" applyFill="1" applyBorder="1" applyAlignment="1">
      <alignment horizontal="right" vertical="top"/>
    </xf>
    <xf numFmtId="176" fontId="3" fillId="0" borderId="6" xfId="1" applyNumberFormat="1" applyFont="1" applyFill="1" applyBorder="1" applyAlignment="1">
      <alignment horizontal="right"/>
    </xf>
    <xf numFmtId="176" fontId="6" fillId="0" borderId="6" xfId="0" applyNumberFormat="1" applyFont="1" applyFill="1" applyBorder="1"/>
    <xf numFmtId="0" fontId="53" fillId="0" borderId="22" xfId="0" applyFont="1" applyFill="1" applyBorder="1" applyAlignment="1">
      <alignment vertical="center"/>
    </xf>
    <xf numFmtId="0" fontId="53" fillId="0" borderId="0" xfId="0" applyFont="1" applyFill="1" applyBorder="1" applyAlignment="1">
      <alignment vertical="center"/>
    </xf>
    <xf numFmtId="9" fontId="18" fillId="0" borderId="23" xfId="73" applyFont="1" applyFill="1" applyBorder="1" applyAlignment="1"/>
    <xf numFmtId="41" fontId="22" fillId="0" borderId="0" xfId="0" applyNumberFormat="1" applyFont="1" applyFill="1"/>
    <xf numFmtId="41" fontId="12" fillId="0" borderId="0" xfId="0" applyNumberFormat="1" applyFont="1" applyFill="1"/>
    <xf numFmtId="41" fontId="12" fillId="0" borderId="0" xfId="0" applyNumberFormat="1" applyFont="1" applyFill="1" applyBorder="1" applyAlignment="1">
      <alignment horizontal="center"/>
    </xf>
    <xf numFmtId="41" fontId="19" fillId="0" borderId="9" xfId="0" applyNumberFormat="1" applyFont="1" applyFill="1" applyBorder="1" applyAlignment="1">
      <alignment horizontal="center"/>
    </xf>
    <xf numFmtId="41" fontId="7" fillId="0" borderId="9" xfId="0" applyNumberFormat="1" applyFont="1" applyFill="1" applyBorder="1" applyAlignment="1">
      <alignment horizontal="center"/>
    </xf>
    <xf numFmtId="41" fontId="2" fillId="0" borderId="22" xfId="0" applyNumberFormat="1" applyFont="1" applyFill="1" applyBorder="1" applyAlignment="1">
      <alignment horizontal="center"/>
    </xf>
    <xf numFmtId="41" fontId="6" fillId="0" borderId="2" xfId="11" quotePrefix="1" applyNumberFormat="1" applyFont="1" applyFill="1" applyBorder="1" applyAlignment="1">
      <alignment horizontal="left" vertical="center"/>
    </xf>
    <xf numFmtId="41" fontId="18" fillId="0" borderId="23" xfId="0" applyNumberFormat="1" applyFont="1" applyFill="1" applyBorder="1" applyAlignment="1"/>
    <xf numFmtId="41" fontId="3" fillId="0" borderId="0" xfId="73" applyNumberFormat="1" applyFont="1"/>
    <xf numFmtId="41" fontId="6" fillId="0" borderId="5" xfId="11" quotePrefix="1" applyNumberFormat="1" applyFont="1" applyFill="1" applyBorder="1" applyAlignment="1">
      <alignment horizontal="left" vertical="center"/>
    </xf>
    <xf numFmtId="41" fontId="21" fillId="0" borderId="9" xfId="13" applyNumberFormat="1" applyFont="1" applyFill="1" applyBorder="1">
      <alignment horizontal="right" vertical="center"/>
    </xf>
    <xf numFmtId="41" fontId="7" fillId="0" borderId="9" xfId="11" applyNumberFormat="1" applyFont="1" applyFill="1" applyBorder="1" applyAlignment="1">
      <alignment horizontal="left" vertical="center"/>
    </xf>
    <xf numFmtId="41" fontId="2" fillId="0" borderId="0" xfId="0" applyNumberFormat="1" applyFont="1" applyFill="1" applyAlignment="1">
      <alignment horizontal="center"/>
    </xf>
    <xf numFmtId="43" fontId="22" fillId="0" borderId="0" xfId="0" applyNumberFormat="1" applyFont="1" applyFill="1"/>
    <xf numFmtId="41" fontId="6" fillId="0" borderId="0" xfId="11" quotePrefix="1" applyNumberFormat="1" applyFont="1" applyFill="1" applyBorder="1" applyAlignment="1">
      <alignment horizontal="left" vertical="center"/>
    </xf>
    <xf numFmtId="41" fontId="9" fillId="0" borderId="0" xfId="0" applyNumberFormat="1" applyFont="1" applyFill="1" applyBorder="1" applyAlignment="1">
      <alignment horizontal="left" vertical="center"/>
    </xf>
    <xf numFmtId="41" fontId="22" fillId="0" borderId="22" xfId="0" applyNumberFormat="1" applyFont="1" applyFill="1" applyBorder="1"/>
    <xf numFmtId="41" fontId="2" fillId="0" borderId="12" xfId="0" applyNumberFormat="1" applyFont="1" applyFill="1" applyBorder="1" applyAlignment="1">
      <alignment horizontal="center"/>
    </xf>
    <xf numFmtId="41" fontId="14" fillId="0" borderId="5" xfId="13" applyNumberFormat="1" applyFont="1" applyFill="1" applyBorder="1">
      <alignment horizontal="right" vertical="center"/>
    </xf>
    <xf numFmtId="41" fontId="4" fillId="0" borderId="0" xfId="0" applyNumberFormat="1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41" fontId="18" fillId="0" borderId="0" xfId="0" applyNumberFormat="1" applyFont="1" applyBorder="1" applyAlignment="1">
      <alignment horizontal="left"/>
    </xf>
    <xf numFmtId="41" fontId="18" fillId="0" borderId="0" xfId="0" applyNumberFormat="1" applyFont="1" applyFill="1" applyBorder="1" applyAlignment="1">
      <alignment horizontal="left"/>
    </xf>
    <xf numFmtId="9" fontId="3" fillId="0" borderId="5" xfId="73" applyFont="1" applyFill="1" applyBorder="1"/>
    <xf numFmtId="9" fontId="3" fillId="0" borderId="0" xfId="73" applyFont="1" applyFill="1"/>
    <xf numFmtId="41" fontId="53" fillId="0" borderId="0" xfId="0" applyNumberFormat="1" applyFont="1" applyFill="1" applyBorder="1" applyAlignment="1">
      <alignment vertical="center"/>
    </xf>
    <xf numFmtId="0" fontId="52" fillId="0" borderId="22" xfId="74" applyFont="1" applyFill="1" applyBorder="1" applyAlignment="1">
      <alignment horizontal="right" vertical="center"/>
    </xf>
    <xf numFmtId="0" fontId="3" fillId="0" borderId="1" xfId="4" applyNumberFormat="1" applyFont="1" applyFill="1" applyBorder="1" applyAlignment="1"/>
    <xf numFmtId="0" fontId="3" fillId="0" borderId="7" xfId="4" applyNumberFormat="1" applyFont="1" applyFill="1" applyBorder="1" applyAlignment="1"/>
    <xf numFmtId="0" fontId="6" fillId="0" borderId="7" xfId="2" applyNumberFormat="1" applyFont="1" applyFill="1" applyBorder="1" applyAlignment="1"/>
    <xf numFmtId="0" fontId="14" fillId="0" borderId="7" xfId="1" applyNumberFormat="1" applyFont="1" applyFill="1" applyBorder="1" applyAlignment="1" applyProtection="1">
      <alignment vertical="center"/>
      <protection locked="0"/>
    </xf>
    <xf numFmtId="0" fontId="6" fillId="0" borderId="4" xfId="2" applyNumberFormat="1" applyFont="1" applyFill="1" applyBorder="1"/>
    <xf numFmtId="0" fontId="6" fillId="0" borderId="7" xfId="2" applyNumberFormat="1" applyFont="1" applyFill="1" applyBorder="1"/>
    <xf numFmtId="0" fontId="3" fillId="0" borderId="7" xfId="0" applyNumberFormat="1" applyFont="1" applyBorder="1"/>
    <xf numFmtId="41" fontId="7" fillId="0" borderId="22" xfId="0" applyNumberFormat="1" applyFont="1" applyFill="1" applyBorder="1" applyAlignment="1">
      <alignment horizontal="center"/>
    </xf>
    <xf numFmtId="41" fontId="9" fillId="0" borderId="22" xfId="0" applyNumberFormat="1" applyFont="1" applyFill="1" applyBorder="1" applyAlignment="1">
      <alignment horizontal="center"/>
    </xf>
    <xf numFmtId="43" fontId="3" fillId="0" borderId="0" xfId="0" applyNumberFormat="1" applyFont="1" applyBorder="1"/>
    <xf numFmtId="0" fontId="3" fillId="0" borderId="23" xfId="0" applyFont="1" applyFill="1" applyBorder="1"/>
    <xf numFmtId="41" fontId="3" fillId="0" borderId="12" xfId="0" applyNumberFormat="1" applyFont="1" applyFill="1" applyBorder="1" applyAlignment="1">
      <alignment vertical="center"/>
    </xf>
    <xf numFmtId="0" fontId="7" fillId="0" borderId="0" xfId="22" applyFont="1" applyFill="1" applyBorder="1"/>
    <xf numFmtId="0" fontId="3" fillId="0" borderId="0" xfId="0" applyFont="1" applyFill="1" applyAlignment="1">
      <alignment horizontal="left" vertical="center"/>
    </xf>
    <xf numFmtId="0" fontId="9" fillId="0" borderId="22" xfId="0" applyFont="1" applyFill="1" applyBorder="1"/>
    <xf numFmtId="0" fontId="3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41" fontId="3" fillId="0" borderId="0" xfId="0" applyNumberFormat="1" applyFont="1" applyFill="1" applyAlignment="1">
      <alignment vertical="center"/>
    </xf>
    <xf numFmtId="41" fontId="2" fillId="0" borderId="0" xfId="0" applyNumberFormat="1" applyFont="1" applyFill="1" applyAlignment="1">
      <alignment vertical="center"/>
    </xf>
    <xf numFmtId="43" fontId="7" fillId="0" borderId="22" xfId="0" applyNumberFormat="1" applyFont="1" applyFill="1" applyBorder="1"/>
    <xf numFmtId="0" fontId="9" fillId="0" borderId="0" xfId="0" applyFont="1" applyFill="1" applyAlignment="1">
      <alignment horizontal="right"/>
    </xf>
    <xf numFmtId="0" fontId="16" fillId="0" borderId="0" xfId="0" applyNumberFormat="1" applyFont="1" applyFill="1" applyAlignment="1">
      <alignment horizontal="left"/>
    </xf>
    <xf numFmtId="4" fontId="7" fillId="0" borderId="0" xfId="0" applyNumberFormat="1" applyFont="1" applyFill="1" applyAlignment="1">
      <alignment horizontal="right"/>
    </xf>
    <xf numFmtId="41" fontId="9" fillId="0" borderId="0" xfId="0" applyNumberFormat="1" applyFont="1"/>
    <xf numFmtId="41" fontId="15" fillId="0" borderId="0" xfId="0" applyNumberFormat="1" applyFont="1" applyAlignment="1">
      <alignment horizontal="right"/>
    </xf>
    <xf numFmtId="41" fontId="15" fillId="0" borderId="0" xfId="0" applyNumberFormat="1" applyFont="1"/>
    <xf numFmtId="41" fontId="18" fillId="0" borderId="0" xfId="0" applyNumberFormat="1" applyFont="1"/>
    <xf numFmtId="0" fontId="7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 wrapText="1"/>
    </xf>
    <xf numFmtId="41" fontId="25" fillId="0" borderId="9" xfId="0" applyNumberFormat="1" applyFont="1" applyFill="1" applyBorder="1" applyAlignment="1">
      <alignment horizontal="right"/>
    </xf>
    <xf numFmtId="0" fontId="3" fillId="0" borderId="0" xfId="28" applyFont="1"/>
    <xf numFmtId="0" fontId="4" fillId="0" borderId="0" xfId="0" applyFont="1" applyAlignment="1">
      <alignment horizontal="center"/>
    </xf>
    <xf numFmtId="0" fontId="2" fillId="0" borderId="12" xfId="0" applyFont="1" applyBorder="1"/>
    <xf numFmtId="0" fontId="15" fillId="0" borderId="0" xfId="0" applyFont="1" applyFill="1" applyBorder="1" applyAlignment="1">
      <alignment horizontal="center"/>
    </xf>
    <xf numFmtId="0" fontId="7" fillId="0" borderId="22" xfId="6" applyFont="1" applyFill="1" applyBorder="1" applyAlignment="1">
      <alignment horizontal="left"/>
    </xf>
    <xf numFmtId="173" fontId="16" fillId="0" borderId="22" xfId="29" applyNumberFormat="1" applyFont="1" applyFill="1" applyBorder="1" applyAlignment="1">
      <alignment horizontal="center" vertical="center" wrapText="1"/>
    </xf>
    <xf numFmtId="0" fontId="6" fillId="0" borderId="12" xfId="0" applyFont="1" applyFill="1" applyBorder="1"/>
    <xf numFmtId="0" fontId="6" fillId="0" borderId="0" xfId="6" applyFont="1" applyFill="1" applyBorder="1"/>
    <xf numFmtId="0" fontId="6" fillId="0" borderId="0" xfId="6" applyFont="1" applyFill="1" applyBorder="1" applyAlignment="1">
      <alignment horizontal="left"/>
    </xf>
    <xf numFmtId="0" fontId="7" fillId="0" borderId="22" xfId="6" applyFont="1" applyFill="1" applyBorder="1"/>
    <xf numFmtId="1" fontId="16" fillId="0" borderId="22" xfId="29" applyNumberFormat="1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/>
    </xf>
    <xf numFmtId="0" fontId="15" fillId="0" borderId="22" xfId="0" applyFont="1" applyFill="1" applyBorder="1" applyAlignment="1">
      <alignment horizontal="center"/>
    </xf>
    <xf numFmtId="0" fontId="3" fillId="0" borderId="5" xfId="0" applyFont="1" applyBorder="1" applyAlignment="1">
      <alignment vertical="center"/>
    </xf>
    <xf numFmtId="0" fontId="55" fillId="0" borderId="0" xfId="0" applyNumberFormat="1" applyFont="1" applyAlignment="1">
      <alignment horizontal="right"/>
    </xf>
    <xf numFmtId="0" fontId="55" fillId="0" borderId="0" xfId="0" applyNumberFormat="1" applyFont="1" applyAlignment="1">
      <alignment horizontal="left"/>
    </xf>
    <xf numFmtId="0" fontId="3" fillId="0" borderId="0" xfId="0" applyNumberFormat="1" applyFont="1" applyFill="1" applyBorder="1" applyAlignment="1">
      <alignment vertical="center"/>
    </xf>
    <xf numFmtId="176" fontId="6" fillId="0" borderId="0" xfId="0" applyNumberFormat="1" applyFont="1" applyFill="1" applyBorder="1"/>
    <xf numFmtId="41" fontId="3" fillId="0" borderId="26" xfId="0" applyNumberFormat="1" applyFont="1" applyBorder="1"/>
    <xf numFmtId="0" fontId="3" fillId="0" borderId="7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165" fontId="3" fillId="0" borderId="25" xfId="0" applyNumberFormat="1" applyFont="1" applyBorder="1"/>
    <xf numFmtId="165" fontId="3" fillId="0" borderId="26" xfId="0" applyNumberFormat="1" applyFont="1" applyBorder="1"/>
    <xf numFmtId="0" fontId="6" fillId="0" borderId="24" xfId="2" applyFont="1" applyFill="1" applyBorder="1" applyAlignment="1">
      <alignment horizontal="left"/>
    </xf>
    <xf numFmtId="165" fontId="6" fillId="0" borderId="25" xfId="1" applyNumberFormat="1" applyFont="1" applyFill="1" applyBorder="1" applyAlignment="1">
      <alignment horizontal="center"/>
    </xf>
    <xf numFmtId="165" fontId="6" fillId="0" borderId="26" xfId="1" applyNumberFormat="1" applyFont="1" applyBorder="1"/>
    <xf numFmtId="0" fontId="6" fillId="0" borderId="24" xfId="2" applyFont="1" applyFill="1" applyBorder="1" applyAlignment="1"/>
    <xf numFmtId="0" fontId="3" fillId="0" borderId="7" xfId="0" applyFont="1" applyFill="1" applyBorder="1" applyAlignment="1"/>
    <xf numFmtId="41" fontId="3" fillId="0" borderId="6" xfId="0" applyNumberFormat="1" applyFont="1" applyFill="1" applyBorder="1"/>
    <xf numFmtId="43" fontId="3" fillId="0" borderId="8" xfId="0" applyNumberFormat="1" applyFont="1" applyBorder="1"/>
    <xf numFmtId="0" fontId="3" fillId="0" borderId="7" xfId="0" applyFont="1" applyFill="1" applyBorder="1"/>
    <xf numFmtId="165" fontId="3" fillId="0" borderId="8" xfId="0" applyNumberFormat="1" applyFont="1" applyFill="1" applyBorder="1"/>
    <xf numFmtId="0" fontId="9" fillId="0" borderId="0" xfId="0" applyFont="1" applyFill="1" applyBorder="1"/>
    <xf numFmtId="171" fontId="6" fillId="0" borderId="8" xfId="0" applyNumberFormat="1" applyFont="1" applyFill="1" applyBorder="1"/>
    <xf numFmtId="177" fontId="3" fillId="0" borderId="6" xfId="0" applyNumberFormat="1" applyFont="1" applyBorder="1"/>
    <xf numFmtId="3" fontId="12" fillId="0" borderId="0" xfId="0" applyNumberFormat="1" applyFont="1" applyFill="1" applyBorder="1" applyAlignment="1">
      <alignment horizontal="center"/>
    </xf>
    <xf numFmtId="41" fontId="19" fillId="0" borderId="0" xfId="0" applyNumberFormat="1" applyFont="1"/>
    <xf numFmtId="41" fontId="15" fillId="0" borderId="0" xfId="0" applyNumberFormat="1" applyFont="1" applyBorder="1" applyAlignment="1">
      <alignment horizontal="left"/>
    </xf>
    <xf numFmtId="0" fontId="7" fillId="0" borderId="27" xfId="0" applyFont="1" applyFill="1" applyBorder="1" applyAlignment="1">
      <alignment horizontal="center"/>
    </xf>
    <xf numFmtId="165" fontId="3" fillId="0" borderId="26" xfId="1" applyNumberFormat="1" applyFont="1" applyBorder="1" applyAlignment="1">
      <alignment horizontal="right"/>
    </xf>
    <xf numFmtId="165" fontId="3" fillId="0" borderId="8" xfId="1" applyNumberFormat="1" applyFont="1" applyBorder="1" applyAlignment="1">
      <alignment horizontal="right"/>
    </xf>
    <xf numFmtId="165" fontId="3" fillId="0" borderId="6" xfId="1" applyNumberFormat="1" applyFont="1" applyBorder="1" applyAlignment="1">
      <alignment horizontal="right"/>
    </xf>
    <xf numFmtId="0" fontId="3" fillId="0" borderId="0" xfId="28" applyFont="1" applyFill="1"/>
    <xf numFmtId="9" fontId="3" fillId="0" borderId="0" xfId="1" applyNumberFormat="1" applyFont="1" applyFill="1" applyBorder="1"/>
    <xf numFmtId="3" fontId="53" fillId="0" borderId="0" xfId="0" applyNumberFormat="1" applyFont="1" applyFill="1" applyAlignment="1">
      <alignment vertical="center"/>
    </xf>
    <xf numFmtId="0" fontId="3" fillId="0" borderId="25" xfId="0" applyFont="1" applyBorder="1" applyAlignment="1">
      <alignment horizontal="left" wrapText="1"/>
    </xf>
    <xf numFmtId="0" fontId="55" fillId="0" borderId="25" xfId="0" applyNumberFormat="1" applyFont="1" applyBorder="1" applyAlignment="1">
      <alignment horizontal="right"/>
    </xf>
    <xf numFmtId="41" fontId="3" fillId="0" borderId="25" xfId="0" applyNumberFormat="1" applyFont="1" applyBorder="1"/>
    <xf numFmtId="0" fontId="3" fillId="0" borderId="25" xfId="0" applyFont="1" applyBorder="1" applyAlignment="1">
      <alignment horizontal="left"/>
    </xf>
    <xf numFmtId="165" fontId="6" fillId="0" borderId="12" xfId="0" applyNumberFormat="1" applyFont="1" applyFill="1" applyBorder="1"/>
    <xf numFmtId="0" fontId="16" fillId="0" borderId="25" xfId="0" applyFont="1" applyBorder="1"/>
    <xf numFmtId="0" fontId="18" fillId="0" borderId="25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41" fontId="6" fillId="0" borderId="25" xfId="1" applyNumberFormat="1" applyFont="1" applyFill="1" applyBorder="1" applyAlignment="1">
      <alignment horizontal="right"/>
    </xf>
    <xf numFmtId="0" fontId="50" fillId="0" borderId="25" xfId="26" applyNumberFormat="1" applyFont="1" applyFill="1" applyBorder="1" applyAlignment="1">
      <alignment horizontal="center"/>
    </xf>
    <xf numFmtId="0" fontId="50" fillId="0" borderId="5" xfId="26" applyNumberFormat="1" applyFont="1" applyFill="1" applyBorder="1" applyAlignment="1">
      <alignment horizontal="center"/>
    </xf>
    <xf numFmtId="0" fontId="3" fillId="0" borderId="25" xfId="0" applyFont="1" applyBorder="1"/>
    <xf numFmtId="0" fontId="8" fillId="0" borderId="5" xfId="0" applyFont="1" applyFill="1" applyBorder="1" applyAlignment="1">
      <alignment horizontal="center"/>
    </xf>
  </cellXfs>
  <cellStyles count="75">
    <cellStyle name="20% - Accent1 2" xfId="49" xr:uid="{00000000-0005-0000-0000-000000000000}"/>
    <cellStyle name="20% - Accent2 2" xfId="53" xr:uid="{00000000-0005-0000-0000-000001000000}"/>
    <cellStyle name="20% - Accent3 2" xfId="57" xr:uid="{00000000-0005-0000-0000-000002000000}"/>
    <cellStyle name="20% - Accent4 2" xfId="61" xr:uid="{00000000-0005-0000-0000-000003000000}"/>
    <cellStyle name="20% - Accent5 2" xfId="65" xr:uid="{00000000-0005-0000-0000-000004000000}"/>
    <cellStyle name="20% - Accent6 2" xfId="69" xr:uid="{00000000-0005-0000-0000-000005000000}"/>
    <cellStyle name="40% - Accent1 2" xfId="50" xr:uid="{00000000-0005-0000-0000-000006000000}"/>
    <cellStyle name="40% - Accent2 2" xfId="54" xr:uid="{00000000-0005-0000-0000-000007000000}"/>
    <cellStyle name="40% - Accent3 2" xfId="58" xr:uid="{00000000-0005-0000-0000-000008000000}"/>
    <cellStyle name="40% - Accent4 2" xfId="62" xr:uid="{00000000-0005-0000-0000-000009000000}"/>
    <cellStyle name="40% - Accent5 2" xfId="66" xr:uid="{00000000-0005-0000-0000-00000A000000}"/>
    <cellStyle name="40% - Accent6 2" xfId="70" xr:uid="{00000000-0005-0000-0000-00000B000000}"/>
    <cellStyle name="60% - Accent1 2" xfId="51" xr:uid="{00000000-0005-0000-0000-00000C000000}"/>
    <cellStyle name="60% - Accent2 2" xfId="55" xr:uid="{00000000-0005-0000-0000-00000D000000}"/>
    <cellStyle name="60% - Accent3 2" xfId="59" xr:uid="{00000000-0005-0000-0000-00000E000000}"/>
    <cellStyle name="60% - Accent4 2" xfId="63" xr:uid="{00000000-0005-0000-0000-00000F000000}"/>
    <cellStyle name="60% - Accent5 2" xfId="67" xr:uid="{00000000-0005-0000-0000-000010000000}"/>
    <cellStyle name="60% - Accent6 2" xfId="71" xr:uid="{00000000-0005-0000-0000-000011000000}"/>
    <cellStyle name="Accent1 2" xfId="48" xr:uid="{00000000-0005-0000-0000-000012000000}"/>
    <cellStyle name="Accent2 2" xfId="52" xr:uid="{00000000-0005-0000-0000-000013000000}"/>
    <cellStyle name="Accent3 2" xfId="56" xr:uid="{00000000-0005-0000-0000-000014000000}"/>
    <cellStyle name="Accent4 2" xfId="60" xr:uid="{00000000-0005-0000-0000-000015000000}"/>
    <cellStyle name="Accent5 2" xfId="64" xr:uid="{00000000-0005-0000-0000-000016000000}"/>
    <cellStyle name="Accent6 2" xfId="68" xr:uid="{00000000-0005-0000-0000-000017000000}"/>
    <cellStyle name="Bad 2" xfId="37" xr:uid="{00000000-0005-0000-0000-000018000000}"/>
    <cellStyle name="Calculation 2" xfId="41" xr:uid="{00000000-0005-0000-0000-000019000000}"/>
    <cellStyle name="CellStyle" xfId="15" xr:uid="{00000000-0005-0000-0000-00001A000000}"/>
    <cellStyle name="Check Cell 2" xfId="43" xr:uid="{00000000-0005-0000-0000-00001B000000}"/>
    <cellStyle name="ColumnHeaderFillStyle" xfId="23" xr:uid="{00000000-0005-0000-0000-00001C000000}"/>
    <cellStyle name="Comma" xfId="1" builtinId="3"/>
    <cellStyle name="Comma 10 4" xfId="21" xr:uid="{00000000-0005-0000-0000-00001E000000}"/>
    <cellStyle name="Comma 16" xfId="19" xr:uid="{00000000-0005-0000-0000-00001F000000}"/>
    <cellStyle name="Comma 17" xfId="29" xr:uid="{00000000-0005-0000-0000-000020000000}"/>
    <cellStyle name="Comma 18" xfId="4" xr:uid="{00000000-0005-0000-0000-000021000000}"/>
    <cellStyle name="Comma 2" xfId="30" xr:uid="{00000000-0005-0000-0000-000022000000}"/>
    <cellStyle name="Explanatory Text 2" xfId="46" xr:uid="{00000000-0005-0000-0000-000023000000}"/>
    <cellStyle name="Good 2" xfId="36" xr:uid="{00000000-0005-0000-0000-000024000000}"/>
    <cellStyle name="Heading 1 2" xfId="32" xr:uid="{00000000-0005-0000-0000-000025000000}"/>
    <cellStyle name="Heading 2 2" xfId="33" xr:uid="{00000000-0005-0000-0000-000026000000}"/>
    <cellStyle name="Heading 3 2" xfId="34" xr:uid="{00000000-0005-0000-0000-000027000000}"/>
    <cellStyle name="Heading 4 2" xfId="35" xr:uid="{00000000-0005-0000-0000-000028000000}"/>
    <cellStyle name="Hyperlink" xfId="74" builtinId="8"/>
    <cellStyle name="Input 2" xfId="39" xr:uid="{00000000-0005-0000-0000-00002A000000}"/>
    <cellStyle name="Linked Cell 2" xfId="42" xr:uid="{00000000-0005-0000-0000-00002B000000}"/>
    <cellStyle name="Neutral 2" xfId="38" xr:uid="{00000000-0005-0000-0000-00002C000000}"/>
    <cellStyle name="Normal" xfId="0" builtinId="0"/>
    <cellStyle name="Normal 10 2 2" xfId="28" xr:uid="{00000000-0005-0000-0000-00002E000000}"/>
    <cellStyle name="Normal 17" xfId="3" xr:uid="{00000000-0005-0000-0000-00002F000000}"/>
    <cellStyle name="Normal 2" xfId="5" xr:uid="{00000000-0005-0000-0000-000030000000}"/>
    <cellStyle name="Normal 4" xfId="72" xr:uid="{00000000-0005-0000-0000-000031000000}"/>
    <cellStyle name="Normal 6 2" xfId="2" xr:uid="{00000000-0005-0000-0000-000032000000}"/>
    <cellStyle name="Note 2" xfId="45" xr:uid="{00000000-0005-0000-0000-000033000000}"/>
    <cellStyle name="Output 2" xfId="40" xr:uid="{00000000-0005-0000-0000-000034000000}"/>
    <cellStyle name="Percent" xfId="73" builtinId="5"/>
    <cellStyle name="SAPBEXaggData" xfId="12" xr:uid="{00000000-0005-0000-0000-000036000000}"/>
    <cellStyle name="SAPBEXaggItem" xfId="14" xr:uid="{00000000-0005-0000-0000-000037000000}"/>
    <cellStyle name="SAPBEXchaText" xfId="8" xr:uid="{00000000-0005-0000-0000-000038000000}"/>
    <cellStyle name="SAPBEXHLevel0X" xfId="27" xr:uid="{00000000-0005-0000-0000-000039000000}"/>
    <cellStyle name="SAPBEXHLevel3" xfId="11" xr:uid="{00000000-0005-0000-0000-00003A000000}"/>
    <cellStyle name="SAPBEXstdData" xfId="13" xr:uid="{00000000-0005-0000-0000-00003B000000}"/>
    <cellStyle name="SAPBEXstdItem" xfId="10" xr:uid="{00000000-0005-0000-0000-00003C000000}"/>
    <cellStyle name="SAPBEXstdItemX" xfId="9" xr:uid="{00000000-0005-0000-0000-00003D000000}"/>
    <cellStyle name="Title 2" xfId="31" xr:uid="{00000000-0005-0000-0000-00003E000000}"/>
    <cellStyle name="Total 2" xfId="47" xr:uid="{00000000-0005-0000-0000-00003F000000}"/>
    <cellStyle name="Warning Text 2" xfId="44" xr:uid="{00000000-0005-0000-0000-000040000000}"/>
    <cellStyle name="Обычный 10" xfId="22" xr:uid="{00000000-0005-0000-0000-000041000000}"/>
    <cellStyle name="Обычный 10 5 2" xfId="20" xr:uid="{00000000-0005-0000-0000-000042000000}"/>
    <cellStyle name="Обычный 10 6 3" xfId="24" xr:uid="{00000000-0005-0000-0000-000043000000}"/>
    <cellStyle name="Обычный 10 7" xfId="25" xr:uid="{00000000-0005-0000-0000-000044000000}"/>
    <cellStyle name="Обычный 12" xfId="16" xr:uid="{00000000-0005-0000-0000-000045000000}"/>
    <cellStyle name="Обычный 2" xfId="18" xr:uid="{00000000-0005-0000-0000-000046000000}"/>
    <cellStyle name="Обычный 56" xfId="26" xr:uid="{00000000-0005-0000-0000-000047000000}"/>
    <cellStyle name="Обычный_Лист1" xfId="17" xr:uid="{00000000-0005-0000-0000-000048000000}"/>
    <cellStyle name="Стиль 1 2" xfId="6" xr:uid="{00000000-0005-0000-0000-000049000000}"/>
    <cellStyle name="Финансовый 2 2 2 2 2" xfId="7" xr:uid="{00000000-0005-0000-0000-00004A000000}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26</xdr:row>
      <xdr:rowOff>-1</xdr:rowOff>
    </xdr:from>
    <xdr:to>
      <xdr:col>3</xdr:col>
      <xdr:colOff>47625</xdr:colOff>
      <xdr:row>29</xdr:row>
      <xdr:rowOff>157162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>
          <a:off x="4226719" y="4167187"/>
          <a:ext cx="0" cy="6572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36</xdr:row>
      <xdr:rowOff>123825</xdr:rowOff>
    </xdr:from>
    <xdr:to>
      <xdr:col>3</xdr:col>
      <xdr:colOff>85725</xdr:colOff>
      <xdr:row>44</xdr:row>
      <xdr:rowOff>142875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>
          <a:off x="4762500" y="5791200"/>
          <a:ext cx="0" cy="13144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714375</xdr:colOff>
      <xdr:row>36</xdr:row>
      <xdr:rowOff>119063</xdr:rowOff>
    </xdr:from>
    <xdr:to>
      <xdr:col>4</xdr:col>
      <xdr:colOff>714375</xdr:colOff>
      <xdr:row>44</xdr:row>
      <xdr:rowOff>138113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6107906" y="5953126"/>
          <a:ext cx="0" cy="13525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702469</xdr:colOff>
      <xdr:row>26</xdr:row>
      <xdr:rowOff>11906</xdr:rowOff>
    </xdr:from>
    <xdr:to>
      <xdr:col>4</xdr:col>
      <xdr:colOff>702469</xdr:colOff>
      <xdr:row>30</xdr:row>
      <xdr:rowOff>2381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6096000" y="4179094"/>
          <a:ext cx="0" cy="6572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59531</xdr:colOff>
      <xdr:row>51</xdr:row>
      <xdr:rowOff>23812</xdr:rowOff>
    </xdr:from>
    <xdr:to>
      <xdr:col>3</xdr:col>
      <xdr:colOff>59532</xdr:colOff>
      <xdr:row>57</xdr:row>
      <xdr:rowOff>138112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4238625" y="8358187"/>
          <a:ext cx="1" cy="11144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71437</xdr:colOff>
      <xdr:row>51</xdr:row>
      <xdr:rowOff>35719</xdr:rowOff>
    </xdr:from>
    <xdr:to>
      <xdr:col>8</xdr:col>
      <xdr:colOff>71438</xdr:colOff>
      <xdr:row>57</xdr:row>
      <xdr:rowOff>138114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8477250" y="8370094"/>
          <a:ext cx="1" cy="1102520"/>
        </a:xfrm>
        <a:prstGeom prst="straightConnector1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59531</xdr:colOff>
      <xdr:row>37</xdr:row>
      <xdr:rowOff>23812</xdr:rowOff>
    </xdr:from>
    <xdr:to>
      <xdr:col>8</xdr:col>
      <xdr:colOff>59532</xdr:colOff>
      <xdr:row>43</xdr:row>
      <xdr:rowOff>126207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>
          <a:off x="8465344" y="6024562"/>
          <a:ext cx="1" cy="1102520"/>
        </a:xfrm>
        <a:prstGeom prst="straightConnector1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27</xdr:row>
      <xdr:rowOff>0</xdr:rowOff>
    </xdr:from>
    <xdr:to>
      <xdr:col>8</xdr:col>
      <xdr:colOff>11906</xdr:colOff>
      <xdr:row>30</xdr:row>
      <xdr:rowOff>35719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>
          <a:off x="9167814" y="4833938"/>
          <a:ext cx="11905" cy="535781"/>
        </a:xfrm>
        <a:prstGeom prst="straightConnector1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35720</xdr:colOff>
      <xdr:row>152</xdr:row>
      <xdr:rowOff>35719</xdr:rowOff>
    </xdr:from>
    <xdr:to>
      <xdr:col>4</xdr:col>
      <xdr:colOff>827330</xdr:colOff>
      <xdr:row>168</xdr:row>
      <xdr:rowOff>121444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1533" y="25705594"/>
          <a:ext cx="7125735" cy="27527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42</xdr:row>
      <xdr:rowOff>104775</xdr:rowOff>
    </xdr:from>
    <xdr:to>
      <xdr:col>12</xdr:col>
      <xdr:colOff>28575</xdr:colOff>
      <xdr:row>42</xdr:row>
      <xdr:rowOff>104775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752475" y="5934075"/>
          <a:ext cx="13515975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855889</xdr:colOff>
      <xdr:row>42</xdr:row>
      <xdr:rowOff>136072</xdr:rowOff>
    </xdr:from>
    <xdr:to>
      <xdr:col>1</xdr:col>
      <xdr:colOff>1</xdr:colOff>
      <xdr:row>76</xdr:row>
      <xdr:rowOff>13608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CxnSpPr/>
      </xdr:nvCxnSpPr>
      <xdr:spPr>
        <a:xfrm flipH="1">
          <a:off x="855889" y="6946447"/>
          <a:ext cx="1362" cy="569969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1071563</xdr:colOff>
      <xdr:row>42</xdr:row>
      <xdr:rowOff>107156</xdr:rowOff>
    </xdr:from>
    <xdr:to>
      <xdr:col>23</xdr:col>
      <xdr:colOff>1071562</xdr:colOff>
      <xdr:row>42</xdr:row>
      <xdr:rowOff>107157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flipV="1">
          <a:off x="20419219" y="6917531"/>
          <a:ext cx="3250406" cy="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1012031</xdr:colOff>
      <xdr:row>43</xdr:row>
      <xdr:rowOff>23813</xdr:rowOff>
    </xdr:from>
    <xdr:to>
      <xdr:col>20</xdr:col>
      <xdr:colOff>1012031</xdr:colOff>
      <xdr:row>76</xdr:row>
      <xdr:rowOff>68037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 flipH="1">
          <a:off x="20359687" y="7000876"/>
          <a:ext cx="0" cy="569969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44</xdr:row>
      <xdr:rowOff>0</xdr:rowOff>
    </xdr:from>
    <xdr:to>
      <xdr:col>15</xdr:col>
      <xdr:colOff>1362</xdr:colOff>
      <xdr:row>78</xdr:row>
      <xdr:rowOff>8504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 flipH="1">
          <a:off x="19347656" y="7298531"/>
          <a:ext cx="1362" cy="569969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85</xdr:row>
      <xdr:rowOff>85725</xdr:rowOff>
    </xdr:from>
    <xdr:to>
      <xdr:col>13</xdr:col>
      <xdr:colOff>66675</xdr:colOff>
      <xdr:row>85</xdr:row>
      <xdr:rowOff>85725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>
          <a:off x="771525" y="16440150"/>
          <a:ext cx="19173825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1071563</xdr:colOff>
      <xdr:row>85</xdr:row>
      <xdr:rowOff>107156</xdr:rowOff>
    </xdr:from>
    <xdr:to>
      <xdr:col>24</xdr:col>
      <xdr:colOff>1071562</xdr:colOff>
      <xdr:row>85</xdr:row>
      <xdr:rowOff>107157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20426363" y="6746081"/>
          <a:ext cx="3257549" cy="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35</xdr:row>
      <xdr:rowOff>85725</xdr:rowOff>
    </xdr:from>
    <xdr:to>
      <xdr:col>12</xdr:col>
      <xdr:colOff>171450</xdr:colOff>
      <xdr:row>35</xdr:row>
      <xdr:rowOff>85725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809625" y="6086475"/>
          <a:ext cx="12468225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921544</xdr:colOff>
      <xdr:row>36</xdr:row>
      <xdr:rowOff>26194</xdr:rowOff>
    </xdr:from>
    <xdr:to>
      <xdr:col>0</xdr:col>
      <xdr:colOff>921544</xdr:colOff>
      <xdr:row>39</xdr:row>
      <xdr:rowOff>16669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>
          <a:off x="921544" y="7539038"/>
          <a:ext cx="0" cy="85963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1071563</xdr:colOff>
      <xdr:row>35</xdr:row>
      <xdr:rowOff>107156</xdr:rowOff>
    </xdr:from>
    <xdr:to>
      <xdr:col>17</xdr:col>
      <xdr:colOff>1071562</xdr:colOff>
      <xdr:row>35</xdr:row>
      <xdr:rowOff>107157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27265313" y="5793581"/>
          <a:ext cx="3428999" cy="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559594</xdr:colOff>
      <xdr:row>36</xdr:row>
      <xdr:rowOff>23813</xdr:rowOff>
    </xdr:from>
    <xdr:to>
      <xdr:col>14</xdr:col>
      <xdr:colOff>559594</xdr:colOff>
      <xdr:row>39</xdr:row>
      <xdr:rowOff>14288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>
          <a:off x="18764250" y="6179344"/>
          <a:ext cx="0" cy="49053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35</xdr:row>
      <xdr:rowOff>95250</xdr:rowOff>
    </xdr:from>
    <xdr:to>
      <xdr:col>13</xdr:col>
      <xdr:colOff>57150</xdr:colOff>
      <xdr:row>35</xdr:row>
      <xdr:rowOff>95250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>
          <a:off x="800100" y="6410325"/>
          <a:ext cx="1512570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384743</xdr:colOff>
      <xdr:row>37</xdr:row>
      <xdr:rowOff>57150</xdr:rowOff>
    </xdr:from>
    <xdr:to>
      <xdr:col>0</xdr:col>
      <xdr:colOff>384743</xdr:colOff>
      <xdr:row>70</xdr:row>
      <xdr:rowOff>136071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>
          <a:off x="384743" y="6379369"/>
          <a:ext cx="0" cy="557960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1071563</xdr:colOff>
      <xdr:row>35</xdr:row>
      <xdr:rowOff>107156</xdr:rowOff>
    </xdr:from>
    <xdr:to>
      <xdr:col>23</xdr:col>
      <xdr:colOff>1071562</xdr:colOff>
      <xdr:row>35</xdr:row>
      <xdr:rowOff>107157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/>
      </xdr:nvCxnSpPr>
      <xdr:spPr>
        <a:xfrm flipV="1">
          <a:off x="32323088" y="15813881"/>
          <a:ext cx="3343274" cy="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1095375</xdr:colOff>
      <xdr:row>37</xdr:row>
      <xdr:rowOff>47625</xdr:rowOff>
    </xdr:from>
    <xdr:to>
      <xdr:col>20</xdr:col>
      <xdr:colOff>1095375</xdr:colOff>
      <xdr:row>70</xdr:row>
      <xdr:rowOff>126546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CxnSpPr/>
      </xdr:nvCxnSpPr>
      <xdr:spPr>
        <a:xfrm>
          <a:off x="27289125" y="6369844"/>
          <a:ext cx="0" cy="557960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8504</xdr:colOff>
      <xdr:row>298</xdr:row>
      <xdr:rowOff>54915</xdr:rowOff>
    </xdr:from>
    <xdr:to>
      <xdr:col>6</xdr:col>
      <xdr:colOff>717065</xdr:colOff>
      <xdr:row>325</xdr:row>
      <xdr:rowOff>91849</xdr:rowOff>
    </xdr:to>
    <xdr:pic>
      <xdr:nvPicPr>
        <xdr:cNvPr id="4" name="Рисунок 5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879" y="42881696"/>
          <a:ext cx="8328561" cy="4537497"/>
        </a:xfrm>
        <a:prstGeom prst="rect">
          <a:avLst/>
        </a:prstGeom>
      </xdr:spPr>
    </xdr:pic>
    <xdr:clientData/>
  </xdr:twoCellAnchor>
  <xdr:twoCellAnchor>
    <xdr:from>
      <xdr:col>1</xdr:col>
      <xdr:colOff>35718</xdr:colOff>
      <xdr:row>336</xdr:row>
      <xdr:rowOff>71437</xdr:rowOff>
    </xdr:from>
    <xdr:to>
      <xdr:col>8</xdr:col>
      <xdr:colOff>226218</xdr:colOff>
      <xdr:row>363</xdr:row>
      <xdr:rowOff>96830</xdr:rowOff>
    </xdr:to>
    <xdr:pic>
      <xdr:nvPicPr>
        <xdr:cNvPr id="6" name="Рисунок 1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36442"/>
        <a:stretch/>
      </xdr:blipFill>
      <xdr:spPr>
        <a:xfrm>
          <a:off x="750093" y="49065656"/>
          <a:ext cx="10144125" cy="4525955"/>
        </a:xfrm>
        <a:prstGeom prst="rect">
          <a:avLst/>
        </a:prstGeom>
      </xdr:spPr>
    </xdr:pic>
    <xdr:clientData/>
  </xdr:twoCellAnchor>
  <xdr:twoCellAnchor>
    <xdr:from>
      <xdr:col>9</xdr:col>
      <xdr:colOff>35719</xdr:colOff>
      <xdr:row>298</xdr:row>
      <xdr:rowOff>11927</xdr:rowOff>
    </xdr:from>
    <xdr:to>
      <xdr:col>15</xdr:col>
      <xdr:colOff>108620</xdr:colOff>
      <xdr:row>325</xdr:row>
      <xdr:rowOff>108669</xdr:rowOff>
    </xdr:to>
    <xdr:pic>
      <xdr:nvPicPr>
        <xdr:cNvPr id="9" name="Рисунок 1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-1" r="33809" b="28037"/>
        <a:stretch/>
      </xdr:blipFill>
      <xdr:spPr>
        <a:xfrm>
          <a:off x="13668375" y="21157427"/>
          <a:ext cx="9252620" cy="4597305"/>
        </a:xfrm>
        <a:prstGeom prst="rect">
          <a:avLst/>
        </a:prstGeom>
      </xdr:spPr>
    </xdr:pic>
    <xdr:clientData/>
  </xdr:twoCellAnchor>
  <xdr:twoCellAnchor>
    <xdr:from>
      <xdr:col>9</xdr:col>
      <xdr:colOff>35719</xdr:colOff>
      <xdr:row>336</xdr:row>
      <xdr:rowOff>107157</xdr:rowOff>
    </xdr:from>
    <xdr:to>
      <xdr:col>16</xdr:col>
      <xdr:colOff>83343</xdr:colOff>
      <xdr:row>363</xdr:row>
      <xdr:rowOff>95249</xdr:rowOff>
    </xdr:to>
    <xdr:pic>
      <xdr:nvPicPr>
        <xdr:cNvPr id="11" name="Рисунок 1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34847" b="10962"/>
        <a:stretch/>
      </xdr:blipFill>
      <xdr:spPr>
        <a:xfrm>
          <a:off x="13668375" y="60924282"/>
          <a:ext cx="10394156" cy="4488655"/>
        </a:xfrm>
        <a:prstGeom prst="rect">
          <a:avLst/>
        </a:prstGeom>
      </xdr:spPr>
    </xdr:pic>
    <xdr:clientData/>
  </xdr:twoCellAnchor>
  <xdr:twoCellAnchor>
    <xdr:from>
      <xdr:col>5</xdr:col>
      <xdr:colOff>35719</xdr:colOff>
      <xdr:row>281</xdr:row>
      <xdr:rowOff>83344</xdr:rowOff>
    </xdr:from>
    <xdr:to>
      <xdr:col>5</xdr:col>
      <xdr:colOff>35719</xdr:colOff>
      <xdr:row>288</xdr:row>
      <xdr:rowOff>18256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CxnSpPr/>
      </xdr:nvCxnSpPr>
      <xdr:spPr>
        <a:xfrm>
          <a:off x="8417719" y="18371344"/>
          <a:ext cx="0" cy="11017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</xdr:colOff>
      <xdr:row>273</xdr:row>
      <xdr:rowOff>47626</xdr:rowOff>
    </xdr:from>
    <xdr:to>
      <xdr:col>5</xdr:col>
      <xdr:colOff>47625</xdr:colOff>
      <xdr:row>277</xdr:row>
      <xdr:rowOff>47626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CxnSpPr/>
      </xdr:nvCxnSpPr>
      <xdr:spPr>
        <a:xfrm>
          <a:off x="8429625" y="17002126"/>
          <a:ext cx="0" cy="6667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ktiva%20a%20pasiva%20200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omutskaya_lv/Local%20Settings/Temporary%20Internet%20Files/Content.Outlook/G0EG5C78/2011_&#1085;/DISK_K/PLAN/&#1041;&#1102;&#1076;&#1078;&#1077;&#1090;%202010/DOCUME~1/JULIAM~1/LOCALS~1/Temp/c.program%20files.notes.data/aapriceq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IAS%20&amp;%20GAAP%20%20Reports\IAS%20&amp;%20GAAP%20YEAR%202002\2002%20Q3%20Consolidation%20Model\A%20Consolidation%20&amp;%20Reporting\GAAP%20&amp;%20IAS%20Group%20TB%20&amp;%20Reports%20Q3%2020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reuters\&#1056;&#1072;&#1073;&#1086;&#1095;&#1080;&#1081;%20&#1089;&#1090;&#1086;&#1083;\Artem's\Fixed%20Income\&#1072;&#1096;&#1095;&#1091;&#1074;%20&#1096;&#1090;&#1089;&#1097;&#1100;&#1091;\PUBLIC\BLOOMBERG\gazpru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fo.evraz.com/IFRS/Evraz_ifrs/PBC/RUSSIA/&#1047;&#1057;&#1052;&#1050;/0-2016%2012m/13%20&#1044;&#1086;&#1093;&#1086;&#1076;&#1099;%20&#1080;%20&#1088;&#1072;&#1089;&#1093;&#1086;&#1076;&#1099;/&#1045;&#1042;&#1056;&#1040;&#1047;%20&#1047;&#1057;&#1052;&#1050;_13.8.1_&#1055;&#1088;&#1086;&#1095;&#1080;&#1077;%20&#1076;&#1086;&#1093;%20&#1080;%20&#1088;&#1072;&#1089;&#1093;_12m_2016_07.01.17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SidorovaAV\Local%20Settings\Temporary%20Internet%20Files\Content.Outlook\S75M0NJE\&#1055;&#1088;&#8470;%20&#8470;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ensions\IAS%20Valuations\TKZ\2012\frLisa\&#1060;&#1086;&#1088;&#1084;&#1099;%20&#1087;&#1086;%20&#1072;&#1082;&#1090;&#1091;&#1072;&#1088;&#1085;&#1099;&#1084;%20&#1088;&#1072;&#1089;&#1095;&#1077;&#1090;&#1072;&#1084;%20&#1085;&#1072;%2031.12.201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Domnyshev_MV\&#1052;&#1086;&#1080;%20&#1076;&#1086;&#1082;&#1091;&#1084;&#1077;&#1085;&#1090;&#1099;\MEF\6m06\IFRS%20Transformation\IFRS%20FS\MEF%20conversion%2020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ktiva-skutečnost"/>
      <sheetName val="pasiva-skutečnost"/>
      <sheetName val="VZZ - skutečnost"/>
      <sheetName val="aktiva-plán"/>
      <sheetName val="pasiva-plán"/>
      <sheetName val="VZZ - plán"/>
      <sheetName val="pasiva_skutečnost"/>
      <sheetName val="СводЕАХ"/>
      <sheetName val="Balance Sheet"/>
      <sheetName val="Лист1 (2)"/>
      <sheetName val="полугодие"/>
      <sheetName val="Справочники"/>
      <sheetName val="Languages"/>
      <sheetName val="pasiva-skute?nost"/>
      <sheetName val="MCS"/>
      <sheetName val="Фин план"/>
      <sheetName val="КлассНТМК"/>
      <sheetName val="КлассЗСМК"/>
      <sheetName val="CurRates"/>
      <sheetName val="FX rates"/>
      <sheetName val="план"/>
      <sheetName val="факт"/>
      <sheetName val="Aktiva a pasiva 2006"/>
      <sheetName val="Откл_ по фин_ рез"/>
      <sheetName val="сводная"/>
      <sheetName val="3-01"/>
      <sheetName val="rem"/>
      <sheetName val="ТАБЛИЦЫ"/>
      <sheetName val="9м"/>
      <sheetName val="Sheet Index"/>
      <sheetName val="Variables"/>
      <sheetName val="ЗСМК"/>
      <sheetName val="пр-во_июль"/>
      <sheetName val="Настройки"/>
      <sheetName val="ДИТ"/>
      <sheetName val="сортамент"/>
      <sheetName val="1997 fin. res."/>
      <sheetName val="exch. rates"/>
      <sheetName val="Мероприятия"/>
      <sheetName val="MODEL"/>
      <sheetName val="ВГОК 2011"/>
      <sheetName val="EC552378 Corp Cusip8"/>
      <sheetName val="TT333718 Govt"/>
      <sheetName val="Цеховые"/>
      <sheetName val="Центральные"/>
      <sheetName val="карта метрик"/>
      <sheetName val="пл_выруч_В-Р"/>
      <sheetName val="Лист27"/>
      <sheetName val="Лист28"/>
      <sheetName val="Лист29"/>
      <sheetName val="Imp. Sensitivity"/>
      <sheetName val="Streamcore"/>
      <sheetName val="ER"/>
      <sheetName val="ФИНПЛАН"/>
      <sheetName val="Assumptions"/>
      <sheetName val="PL"/>
      <sheetName val="нормы 5 лет"/>
      <sheetName val="Sales_prices"/>
      <sheetName val="Inputs"/>
      <sheetName val="SETKI"/>
      <sheetName val="Рабочий"/>
      <sheetName val="ост ТМЦ"/>
      <sheetName val="Приложение 4"/>
      <sheetName val="Телефоны"/>
      <sheetName val="f_1"/>
      <sheetName val="Справ"/>
      <sheetName val="COMPS"/>
      <sheetName val="2012г."/>
      <sheetName val="Контрагенты"/>
      <sheetName val="DATA"/>
      <sheetName val="9 мес12"/>
      <sheetName val="окт12"/>
      <sheetName val="ноя12"/>
      <sheetName val="дек12"/>
      <sheetName val="1 пол12"/>
      <sheetName val="4. Ratios"/>
      <sheetName val="Виды затрат"/>
      <sheetName val="Единицы консолидации"/>
      <sheetName val="Счета"/>
      <sheetName val="Виды движения"/>
      <sheetName val="setup"/>
      <sheetName val="Otchet"/>
      <sheetName val="EBITDA Bridges v Budget"/>
      <sheetName val="2001"/>
      <sheetName val="Контроль"/>
      <sheetName val="Реестр 26.11.08"/>
      <sheetName val="форма 6.1"/>
      <sheetName val="Y96LTEBHTMP2"/>
      <sheetName val="дек.разв.2011"/>
      <sheetName val="ОВИ_Группы"/>
      <sheetName val=" Форма П6.1 "/>
      <sheetName val="СВОД Ф15"/>
      <sheetName val="Движение по месяцам"/>
      <sheetName val="Взз"/>
      <sheetName val="производство"/>
      <sheetName val="Январь"/>
      <sheetName val="Лист1"/>
      <sheetName val="июнь пл-факт _изм"/>
      <sheetName val="19 CAPEX"/>
      <sheetName val="П ПП_МП"/>
      <sheetName val="Configuration"/>
      <sheetName val="ф.2.3"/>
      <sheetName val="Отгрузка"/>
      <sheetName val="Поставка"/>
      <sheetName val="Сталь"/>
      <sheetName val="Title"/>
      <sheetName val="KPI 2014_дробление"/>
      <sheetName val="Данные для расчета"/>
      <sheetName val="BEX_AR"/>
      <sheetName val="BEX_Associates"/>
      <sheetName val="BEX_BSRP_OLD"/>
      <sheetName val="BEX_Eq"/>
      <sheetName val="BEX_Expenses_CY"/>
      <sheetName val="BEX_Expenses_PY"/>
      <sheetName val="BEX_Expenses1"/>
      <sheetName val="BEX_Income_Tax"/>
      <sheetName val="BEX_Intangibles"/>
      <sheetName val="BEX_Inventory"/>
      <sheetName val="BEX_invest_unit"/>
      <sheetName val="BEX_invest_unit_OLD"/>
      <sheetName val="BEX_MAIN"/>
      <sheetName val="BEX_MAIN_BS_RP"/>
      <sheetName val="BEX_MAIN_PL"/>
      <sheetName val="BEX_partner"/>
      <sheetName val="BEX_partner_CAD"/>
      <sheetName val="BEX_partner_CZK"/>
      <sheetName val="BEX_partner_EUR"/>
      <sheetName val="BEX_partner_OLD"/>
      <sheetName val="BEX_partner_OTH"/>
      <sheetName val="BEX_partner_RUB"/>
      <sheetName val="BEX_partner_UAH"/>
      <sheetName val="BEX_partner_USD"/>
      <sheetName val="BEX_partner_ZAR"/>
      <sheetName val="BEX_PP_E"/>
      <sheetName val="BEX_Provisions"/>
      <sheetName val="Content"/>
      <sheetName val="3. CFS"/>
      <sheetName val="9a. PP&amp;E"/>
      <sheetName val="10. Intangibles"/>
      <sheetName val="14.2 NRV allowance"/>
      <sheetName val="8. Income tax"/>
      <sheetName val="14.1 Inventory"/>
      <sheetName val="6.2 COS"/>
      <sheetName val="1.2  BS-IS 2009"/>
      <sheetName val="GAP для проработки"/>
      <sheetName val="4."/>
      <sheetName val="2.2 HSVC slag unprep"/>
      <sheetName val="2.1  HSVC slag prepared"/>
      <sheetName val="2.3  NTMK Slag"/>
      <sheetName val="5. Changes in WIP_FG (SAP)"/>
      <sheetName val="5. Changes in WIP_FG (SAP) (2)"/>
      <sheetName val="Production data"/>
      <sheetName val="3.2 Sales to Vanchem"/>
      <sheetName val="1. Production"/>
      <sheetName val="3.1 Sales"/>
      <sheetName val="26.11"/>
      <sheetName val="НТМК Сталь"/>
      <sheetName val="посты"/>
      <sheetName val="Ф15 (Секвестр)1"/>
      <sheetName val="на 12.09.14"/>
      <sheetName val="Общий 1"/>
      <sheetName val="Формат 2"/>
      <sheetName val="06.11"/>
      <sheetName val="дсп"/>
      <sheetName val=""/>
      <sheetName val="База"/>
      <sheetName val="Таштагол_т.т"/>
      <sheetName val="Megamind"/>
      <sheetName val="UFOP (factor)"/>
      <sheetName val="UFOP (data)"/>
      <sheetName val="Ф11"/>
      <sheetName val="Ф7"/>
      <sheetName val="Ф20"/>
      <sheetName val="Ф6"/>
      <sheetName val="ПП"/>
      <sheetName val="Ф2.3"/>
      <sheetName val="1 Общая информация"/>
      <sheetName val="Параметры"/>
      <sheetName val="Shadow"/>
      <sheetName val="Библиотека"/>
      <sheetName val="Доход_расход"/>
      <sheetName val="КОП"/>
      <sheetName val="Леневка"/>
      <sheetName val="МВЦ"/>
      <sheetName val="Никомед"/>
      <sheetName val="Охотник"/>
      <sheetName val="РЭУ"/>
      <sheetName val="УДУ"/>
      <sheetName val="Уралец"/>
      <sheetName val="ЦКиИ"/>
      <sheetName val="Финансы"/>
      <sheetName val="VZZ_-_skutečnost"/>
      <sheetName val="VZZ_-_plán"/>
      <sheetName val="Лист1_(2)"/>
      <sheetName val="Balance_Sheet"/>
      <sheetName val="Фин_план"/>
      <sheetName val="FX_rates"/>
      <sheetName val="Aktiva_a_pasiva_2006"/>
      <sheetName val="Откл__по_фин__рез"/>
      <sheetName val="Sheet_Index"/>
      <sheetName val="1997_fin__res_"/>
      <sheetName val="exch__rates"/>
      <sheetName val="ВГОК_2011"/>
      <sheetName val="EC552378_Corp_Cusip8"/>
      <sheetName val="TT333718_Govt"/>
      <sheetName val="карта_метрик"/>
      <sheetName val="Imp__Sensitivity"/>
      <sheetName val="ост_ТМЦ"/>
      <sheetName val="Приложение_4"/>
      <sheetName val="нормы_5_лет"/>
      <sheetName val="2012г_"/>
      <sheetName val="EBITDA_Bridges_v_Budget"/>
      <sheetName val="Реестр_26_11_08"/>
      <sheetName val="9_мес12"/>
      <sheetName val="1_пол12"/>
      <sheetName val="4__Ratios"/>
      <sheetName val="Виды_затрат"/>
      <sheetName val="Единицы_консолидации"/>
      <sheetName val="Виды_движения"/>
      <sheetName val="Движение_по_месяцам"/>
      <sheetName val="форма_6_1"/>
      <sheetName val="дек_разв_2011"/>
      <sheetName val="_Форма_П6_1_"/>
      <sheetName val="СВОД_Ф15"/>
      <sheetName val="2 Параметры"/>
      <sheetName val="9.1"/>
      <sheetName val="10"/>
      <sheetName val="FCF"/>
      <sheetName val="станции дороги"/>
      <sheetName val="ПЛАН ПЛАТЕЖЕЙ НА"/>
      <sheetName val="СЕНТЯБРЬ++"/>
      <sheetName val="СЕНТЯБРЬ--"/>
      <sheetName val="Оглавление"/>
      <sheetName val="7_Простои"/>
      <sheetName val="Узкие места"/>
      <sheetName val="Выручка"/>
      <sheetName val="Смета"/>
      <sheetName val="Цены реализации"/>
      <sheetName val="Продажи_план_ММД"/>
      <sheetName val="1_Summary"/>
      <sheetName val="Цены входящие_1"/>
      <sheetName val="Цены входящие_2"/>
      <sheetName val="_Запасы"/>
      <sheetName val="13_ Вспом_ и энергетика _2_"/>
      <sheetName val="Ремонты и ОВИ"/>
      <sheetName val="15_ Инвестпрогр_"/>
      <sheetName val="5_ Цены вх_ сырья"/>
      <sheetName val="5_ Влияние цен на сырье"/>
      <sheetName val="6_ Расход"/>
      <sheetName val="7_ Ремонты _ ОВИ"/>
      <sheetName val="7_ Пример графика"/>
      <sheetName val="7_ вариант 2"/>
      <sheetName val="7_ прил_ прод_ть рем_"/>
      <sheetName val="Вспом_ материалы"/>
      <sheetName val="8_ PL"/>
      <sheetName val="Слайд vc_fc_cc"/>
      <sheetName val="9_ Сарех Свод"/>
      <sheetName val="4_ KPI"/>
      <sheetName val="6_ Исходная инф_"/>
      <sheetName val="Мощности"/>
      <sheetName val="6_ Мощности ГОКи"/>
      <sheetName val="Материалы СЦ"/>
      <sheetName val="Грузополучатели - список"/>
      <sheetName val="Справочник"/>
      <sheetName val="ф.14"/>
      <sheetName val="4_ГОКи"/>
      <sheetName val="pasiva-skute_nost"/>
      <sheetName val="статьи ЕФО"/>
      <sheetName val="Смета  январь"/>
      <sheetName val="исх"/>
      <sheetName val="Ф14"/>
      <sheetName val="20 Коммерческие расходы"/>
      <sheetName val="декабрь факт"/>
      <sheetName val="Plan_acc"/>
      <sheetName val="ENA 9.30.14"/>
      <sheetName val="3.2.1. Report"/>
      <sheetName val="3.2 P&amp;L"/>
      <sheetName val="бюджет"/>
      <sheetName val="отчет"/>
      <sheetName val="MAIN_page"/>
      <sheetName val="4 Программа повышения эфф-сти"/>
      <sheetName val="4 ППЭ кратко (2)"/>
      <sheetName val="SALES CZK"/>
    </sheetNames>
    <sheetDataSet>
      <sheetData sheetId="0" refreshError="1"/>
      <sheetData sheetId="1" refreshError="1">
        <row r="1">
          <cell r="A1" t="str">
            <v xml:space="preserve">VÍTKOVICE STEEL, a.s. </v>
          </cell>
        </row>
        <row r="35">
          <cell r="A35" t="str">
            <v xml:space="preserve">    Vydané dluhopisy</v>
          </cell>
          <cell r="C35">
            <v>0</v>
          </cell>
        </row>
        <row r="36">
          <cell r="A36" t="str">
            <v xml:space="preserve">    Dlouhodobé směnky k úhradě</v>
          </cell>
          <cell r="C36">
            <v>0</v>
          </cell>
        </row>
        <row r="37">
          <cell r="A37" t="str">
            <v xml:space="preserve">    Dohadné účty pasivní</v>
          </cell>
          <cell r="C37">
            <v>0</v>
          </cell>
        </row>
        <row r="38">
          <cell r="A38" t="str">
            <v xml:space="preserve">    Jiné závazky</v>
          </cell>
          <cell r="C38">
            <v>0</v>
          </cell>
        </row>
        <row r="39">
          <cell r="A39" t="str">
            <v xml:space="preserve">    Odložený daňový závazek</v>
          </cell>
          <cell r="C39">
            <v>0</v>
          </cell>
        </row>
        <row r="40">
          <cell r="A40" t="str">
            <v xml:space="preserve">  Krátkodobé závazky</v>
          </cell>
          <cell r="C40">
            <v>1746135</v>
          </cell>
        </row>
        <row r="41">
          <cell r="A41" t="str">
            <v xml:space="preserve">    Závazky z obchodních vztahů</v>
          </cell>
          <cell r="C41">
            <v>1545243</v>
          </cell>
        </row>
        <row r="42">
          <cell r="A42" t="str">
            <v xml:space="preserve">    Závazky k ovládaným a řízeným osobám</v>
          </cell>
          <cell r="C42">
            <v>0</v>
          </cell>
        </row>
        <row r="43">
          <cell r="A43" t="str">
            <v xml:space="preserve">    Závazky k účetním jednotkám pod podst.vlivem</v>
          </cell>
          <cell r="C43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Table"/>
      <sheetName val="New Contracts"/>
      <sheetName val="Economics"/>
      <sheetName val="Bauxite"/>
      <sheetName val="Materials"/>
      <sheetName val="Regression"/>
      <sheetName val="ДИТ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 Comparative GAAP"/>
      <sheetName val="Group Comparative IAS"/>
      <sheetName val="R-U IAS History"/>
      <sheetName val="Cash Flow Working"/>
      <sheetName val="REPO"/>
      <sheetName val="TB GAAP"/>
      <sheetName val="TB IAS"/>
      <sheetName val="Income Statement"/>
      <sheetName val="Balance Sheet"/>
      <sheetName val="Cash Flow"/>
      <sheetName val="G-I-F Total"/>
      <sheetName val="G-I-F (RU)"/>
      <sheetName val="G-I-F (UA)"/>
      <sheetName val="FLash IAS"/>
      <sheetName val="Loans"/>
      <sheetName val="Cash Flow support"/>
      <sheetName val="Income Statement Russia and Ukr"/>
      <sheetName val="Class A Shares Outstanding"/>
      <sheetName val="Class B Shares Outstanding"/>
      <sheetName val="Dilutive Shares Outstanding"/>
      <sheetName val="EPS Working"/>
      <sheetName val="Share Price 2002"/>
      <sheetName val="RE Working"/>
      <sheetName val="Change of Equity"/>
      <sheetName val="Sheet1"/>
      <sheetName val="Sheet2"/>
      <sheetName val="Sheet3"/>
      <sheetName val="1-ЭСПЦ"/>
      <sheetName val="COMPS"/>
      <sheetName val="BEX_Expenses_CY"/>
      <sheetName val="BEX_Expenses_PY"/>
      <sheetName val="BEX_MAIN_PL"/>
      <sheetName val="0_33"/>
      <sheetName val="БДДС month (ф)"/>
      <sheetName val="БДДС month (п)"/>
      <sheetName val="Параметры"/>
      <sheetName val="КВ 2008"/>
      <sheetName val="XLR_NoRangeSheet"/>
      <sheetName val="июль"/>
      <sheetName val="база"/>
      <sheetName val="июнь"/>
      <sheetName val="январь"/>
      <sheetName val="февраль"/>
      <sheetName val="март"/>
      <sheetName val="апрель"/>
      <sheetName val="май"/>
      <sheetName val="август"/>
      <sheetName val="сентябрь"/>
      <sheetName val="октябрь"/>
      <sheetName val="ноябрь"/>
      <sheetName val="декабрь"/>
      <sheetName val="infl_rates"/>
      <sheetName val="PL"/>
      <sheetName val="ф 12"/>
      <sheetName val="Data"/>
      <sheetName val="Лист1"/>
      <sheetName val="коэф."/>
      <sheetName val="GAAP &amp; IAS Group TB &amp; Reports Q"/>
      <sheetName val="Info"/>
      <sheetName val="ИТР_РАБ_2010"/>
      <sheetName val="assumptions"/>
      <sheetName val="RUS"/>
      <sheetName val="2 Параметры"/>
      <sheetName val="BEX_AR"/>
      <sheetName val="BEX_Associates"/>
      <sheetName val="BEX_BSRP_OLD"/>
      <sheetName val="BEX_Eq"/>
      <sheetName val="BEX_Expenses1"/>
      <sheetName val="BEX_Income_Tax"/>
      <sheetName val="BEX_Intangibles"/>
      <sheetName val="BEX_Inventory"/>
      <sheetName val="BEX_invest_unit"/>
      <sheetName val="BEX_invest_unit_OLD"/>
      <sheetName val="BEX_MAIN_BS_RP"/>
      <sheetName val="BEX_partner_CAD"/>
      <sheetName val="BEX_partner_CZK"/>
      <sheetName val="BEX_partner_EUR"/>
      <sheetName val="BEX_partner_OLD"/>
      <sheetName val="BEX_partner_OTH"/>
      <sheetName val="BEX_partner_RUB"/>
      <sheetName val="BEX_partner_UAH"/>
      <sheetName val="BEX_partner_USD"/>
      <sheetName val="BEX_partner_ZAR"/>
      <sheetName val="BEX_PP_E"/>
      <sheetName val="BEX_Provisions"/>
      <sheetName val="rem"/>
      <sheetName val="Справочники"/>
      <sheetName val="Справочник предприятий"/>
      <sheetName val="Справочник статей бюджета"/>
      <sheetName val="ListOfSheets"/>
      <sheetName val="автоприцепы"/>
      <sheetName val="предприятия"/>
      <sheetName val="спр"/>
      <sheetName val="Проверочная вкладка"/>
      <sheetName val="Проверочная вкладка для PL"/>
      <sheetName val="Group_Comparative_GAAP"/>
      <sheetName val="Group_Comparative_IAS"/>
      <sheetName val="R-U_IAS_History"/>
      <sheetName val="Cash_Flow_Working"/>
      <sheetName val="TB_GAAP"/>
      <sheetName val="TB_IAS"/>
      <sheetName val="Income_Statement"/>
      <sheetName val="Balance_Sheet"/>
      <sheetName val="Cash_Flow"/>
      <sheetName val="G-I-F_Total"/>
      <sheetName val="G-I-F_(RU)"/>
      <sheetName val="G-I-F_(UA)"/>
      <sheetName val="FLash_IAS"/>
      <sheetName val="Cash_Flow_support"/>
      <sheetName val="Income_Statement_Russia_and_Ukr"/>
      <sheetName val="Class_A_Shares_Outstanding"/>
      <sheetName val="Class_B_Shares_Outstanding"/>
      <sheetName val="Dilutive_Shares_Outstanding"/>
      <sheetName val="EPS_Working"/>
      <sheetName val="Share_Price_2002"/>
      <sheetName val="RE_Working"/>
      <sheetName val="Change_of_Equity"/>
      <sheetName val="Свод"/>
      <sheetName val="LDE"/>
      <sheetName val="In2"/>
      <sheetName val="Дивизион"/>
      <sheetName val="Списки"/>
      <sheetName val="HR"/>
      <sheetName val="1"/>
      <sheetName val="С"/>
      <sheetName val="Group_Comparative_GAAP1"/>
      <sheetName val="Group_Comparative_IAS1"/>
      <sheetName val="R-U_IAS_History1"/>
      <sheetName val="Cash_Flow_Working1"/>
      <sheetName val="TB_GAAP1"/>
      <sheetName val="TB_IAS1"/>
      <sheetName val="Income_Statement1"/>
      <sheetName val="Balance_Sheet1"/>
      <sheetName val="Cash_Flow1"/>
      <sheetName val="G-I-F_Total1"/>
      <sheetName val="G-I-F_(RU)1"/>
      <sheetName val="G-I-F_(UA)1"/>
      <sheetName val="FLash_IAS1"/>
      <sheetName val="Cash_Flow_support1"/>
      <sheetName val="Income_Statement_Russia_and_Uk1"/>
      <sheetName val="Class_A_Shares_Outstanding1"/>
      <sheetName val="Class_B_Shares_Outstanding1"/>
      <sheetName val="Dilutive_Shares_Outstanding1"/>
      <sheetName val="EPS_Working1"/>
      <sheetName val="Share_Price_20021"/>
      <sheetName val="RE_Working1"/>
      <sheetName val="Change_of_Equity1"/>
      <sheetName val="БДДС_month_(ф)"/>
      <sheetName val="БДДС_month_(п)"/>
      <sheetName val="КВ_2008"/>
      <sheetName val="ф_12"/>
      <sheetName val="коэф_"/>
      <sheetName val="GAAP_&amp;_IAS_Group_TB_&amp;_Reports_Q"/>
      <sheetName val="2_Параметры"/>
      <sheetName val="Справочник_предприятий"/>
      <sheetName val="Справочник_статей_бюджета"/>
      <sheetName val="Проверочная_вкладка"/>
      <sheetName val="Проверочная_вкладка_для_PL"/>
      <sheetName val="1530"/>
      <sheetName val="Справочник"/>
      <sheetName val="Статьи пост затрат"/>
      <sheetName val="Статьи-ОД"/>
      <sheetName val="Статьи"/>
      <sheetName val="Лист3"/>
      <sheetName val="Содержание"/>
      <sheetName val="BS"/>
      <sheetName val="1240"/>
      <sheetName val="TB"/>
      <sheetName val="Движение РСД"/>
      <sheetName val="Лист2"/>
      <sheetName val="Справочник видов затрат "/>
      <sheetName val="Список ЕАХ"/>
      <sheetName val="Справочник 2013"/>
      <sheetName val="new Справочник 2014"/>
      <sheetName val="Справочник 2014"/>
      <sheetName val="Справочник с 01.05.2015"/>
      <sheetName val="Справочник 2015"/>
      <sheetName val="Reimb cost-support docs mat"/>
      <sheetName val="Contracts add.attributes"/>
      <sheetName val="Currency"/>
      <sheetName val="s"/>
      <sheetName val="Банки"/>
      <sheetName val="Сценарные условия"/>
      <sheetName val="АПК(2012)"/>
      <sheetName val="Rates"/>
      <sheetName val="2013"/>
      <sheetName val="База1"/>
      <sheetName val="Costs"/>
      <sheetName val="Cover &amp; Parameters"/>
      <sheetName val="ВН_НДЗ_график"/>
      <sheetName val="пр-во"/>
      <sheetName val="Returns"/>
      <sheetName val="Продажи реальные и прогноз 20 л"/>
      <sheetName val="исход. дан."/>
      <sheetName val="Inputs Sheet"/>
      <sheetName val="TOC"/>
      <sheetName val="Динамика"/>
      <sheetName val="Справочник с 01 02 201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552378 Corp Cusip8"/>
      <sheetName val="TT333718 Govt"/>
      <sheetName val="Sheet2"/>
      <sheetName val="Sheet3"/>
      <sheetName val="BlooData"/>
      <sheetName val="Values"/>
      <sheetName val="BEX_MAIN"/>
      <sheetName val="BEX_TAX"/>
      <sheetName val="BEX_TAX_1"/>
      <sheetName val="BEX_BSRP_OLD"/>
      <sheetName val="BEX_Expenses_CY"/>
      <sheetName val="BEX_Expenses_PY"/>
      <sheetName val="BEX_MAIN_BS_RP"/>
      <sheetName val="BEX_MAIN_PL"/>
      <sheetName val="Terms"/>
      <sheetName val="COMPS"/>
      <sheetName val="1-ЭСПЦ"/>
      <sheetName val="Share Price 2002"/>
      <sheetName val="Восстановление обесценения ОС"/>
      <sheetName val="BEX_IU"/>
      <sheetName val="assumptions"/>
      <sheetName val="Settings"/>
      <sheetName val="Цеховые"/>
      <sheetName val="Центральные"/>
      <sheetName val="план"/>
      <sheetName val="BEX_PP_E"/>
    </sheetNames>
    <sheetDataSet>
      <sheetData sheetId="0" refreshError="1">
        <row r="3">
          <cell r="A3">
            <v>37365</v>
          </cell>
        </row>
      </sheetData>
      <sheetData sheetId="1" refreshError="1">
        <row r="3">
          <cell r="A3">
            <v>37348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чие доходы и расходы"/>
      <sheetName val="Единица консолидации"/>
      <sheetName val="Тип вида затрат"/>
      <sheetName val="Вид затрат"/>
      <sheetName val="Вид валюты"/>
      <sheetName val="St"/>
    </sheetNames>
    <sheetDataSet>
      <sheetData sheetId="0" refreshError="1"/>
      <sheetData sheetId="1" refreshError="1">
        <row r="3">
          <cell r="F3" t="str">
            <v>"OOO "ДОЦ АРУ"</v>
          </cell>
        </row>
        <row r="4">
          <cell r="F4" t="str">
            <v>"Газета "Кузнецкий край" ЗАО "</v>
          </cell>
        </row>
        <row r="5">
          <cell r="F5" t="str">
            <v>"Газета "Металлург" ООО "</v>
          </cell>
        </row>
        <row r="6">
          <cell r="F6" t="str">
            <v>"Издательский дом "Кузбасская книга" ООО"</v>
          </cell>
        </row>
        <row r="7">
          <cell r="F7" t="str">
            <v>"Издательский дом "Центр -Полиграф" ООО "</v>
          </cell>
        </row>
        <row r="8">
          <cell r="F8" t="str">
            <v>"Информационное агенство "Кузбасс -информ", ООО "</v>
          </cell>
        </row>
        <row r="9">
          <cell r="F9" t="str">
            <v>"ОАО ЦОФ "АБАШЕВСКАЯ"</v>
          </cell>
          <cell r="J9" t="str">
            <v>"ОАО ЦОФ "АБАШЕВСКАЯ"</v>
          </cell>
          <cell r="N9" t="str">
            <v>"ОАО ЦОФ "АБАШЕВСКАЯ"</v>
          </cell>
        </row>
        <row r="10">
          <cell r="F10" t="str">
            <v>"ООО Механический завод "Уралец"</v>
          </cell>
        </row>
        <row r="11">
          <cell r="F11" t="str">
            <v>"ООО"РЕМОНТНО-СТРОИТЕЛЬНЫЙ КОМПЛЕКС"</v>
          </cell>
        </row>
        <row r="12">
          <cell r="F12" t="str">
            <v>"ООО"Соцкультбыт"</v>
          </cell>
        </row>
        <row r="13">
          <cell r="F13" t="str">
            <v>"Продюсерский центр "Новый век" ООО "</v>
          </cell>
        </row>
        <row r="14">
          <cell r="F14" t="str">
            <v>"Редакция телестудии "Центр" ООО "</v>
          </cell>
        </row>
        <row r="15">
          <cell r="F15" t="str">
            <v>"Телерадиокомпания "Телекон -плюс" ООО "</v>
          </cell>
        </row>
        <row r="16">
          <cell r="F16" t="str">
            <v>"Футбольный клуб "Металлург-Кузбасс" ОАО"</v>
          </cell>
        </row>
        <row r="17">
          <cell r="F17" t="str">
            <v>"Шория-Тур" ЗАО"</v>
          </cell>
        </row>
        <row r="18">
          <cell r="F18" t="str">
            <v>AA Finance Management Limited (BVI)</v>
          </cell>
        </row>
        <row r="19">
          <cell r="F19" t="str">
            <v>AA Group Limited</v>
          </cell>
          <cell r="J19" t="str">
            <v>AA Group Limited</v>
          </cell>
          <cell r="R19" t="str">
            <v>AA Group Limited</v>
          </cell>
        </row>
        <row r="20">
          <cell r="F20" t="str">
            <v>AA RE Group Ltd</v>
          </cell>
          <cell r="J20" t="str">
            <v>AA RE Group Ltd</v>
          </cell>
          <cell r="R20" t="str">
            <v>AA RE Group Ltd</v>
          </cell>
        </row>
        <row r="21">
          <cell r="F21" t="str">
            <v>ABA-Assets</v>
          </cell>
        </row>
        <row r="22">
          <cell r="F22" t="str">
            <v>Abalink (Overseas) Limited (СYP)</v>
          </cell>
        </row>
        <row r="23">
          <cell r="F23" t="str">
            <v>Abiglaze Limited</v>
          </cell>
          <cell r="J23" t="str">
            <v>Abiglaze Limited</v>
          </cell>
          <cell r="R23" t="str">
            <v>Abiglaze Limited</v>
          </cell>
        </row>
        <row r="24">
          <cell r="F24" t="str">
            <v>Abrazen Investments Ltd</v>
          </cell>
          <cell r="J24" t="str">
            <v>Abrazen Investments Ltd</v>
          </cell>
          <cell r="R24" t="str">
            <v>Abrazen Investments Ltd</v>
          </cell>
        </row>
        <row r="25">
          <cell r="F25" t="str">
            <v>Actionfield Limited</v>
          </cell>
          <cell r="J25" t="str">
            <v>Actionfield Limited</v>
          </cell>
          <cell r="N25" t="str">
            <v>Actionfield Limited</v>
          </cell>
        </row>
        <row r="26">
          <cell r="F26" t="str">
            <v>Afius Investments Limited</v>
          </cell>
          <cell r="J26" t="str">
            <v>Afius Investments Limited</v>
          </cell>
          <cell r="R26" t="str">
            <v>Afius Investments Limited</v>
          </cell>
        </row>
        <row r="27">
          <cell r="F27" t="str">
            <v>Aino Dake Maritime</v>
          </cell>
        </row>
        <row r="28">
          <cell r="F28" t="str">
            <v>Alamin Trade and Invest Ltd</v>
          </cell>
          <cell r="J28" t="str">
            <v>Alamin Trade and Invest Ltd</v>
          </cell>
          <cell r="R28" t="str">
            <v>Alamin Trade and Invest Ltd</v>
          </cell>
        </row>
        <row r="30">
          <cell r="F30" t="str">
            <v>Annia</v>
          </cell>
        </row>
        <row r="31">
          <cell r="F31" t="str">
            <v>Anozira Holdings Ltd</v>
          </cell>
          <cell r="J31" t="str">
            <v>Anozira Holdings Ltd</v>
          </cell>
          <cell r="R31" t="str">
            <v>Anozira Holdings Ltd</v>
          </cell>
        </row>
        <row r="32">
          <cell r="F32" t="str">
            <v>Ardilan</v>
          </cell>
        </row>
        <row r="33">
          <cell r="F33" t="str">
            <v>Arvensis Ventures Limited</v>
          </cell>
          <cell r="J33" t="str">
            <v>Arvensis Ventures Limited</v>
          </cell>
          <cell r="R33" t="str">
            <v>Arvensis Ventures Limited</v>
          </cell>
        </row>
        <row r="34">
          <cell r="F34" t="str">
            <v>Aselan Ventures Limited</v>
          </cell>
          <cell r="J34" t="str">
            <v>Aselan Ventures Limited</v>
          </cell>
          <cell r="R34" t="str">
            <v>Aselan Ventures Limited</v>
          </cell>
        </row>
        <row r="35">
          <cell r="F35" t="str">
            <v>Athenian Dawn Limited (Британские Виргинские острова)</v>
          </cell>
        </row>
        <row r="36">
          <cell r="F36" t="str">
            <v>Batherm Ventures Limited (BVI)</v>
          </cell>
          <cell r="J36" t="str">
            <v>Batherm Ventures Limited (BVI)</v>
          </cell>
          <cell r="R36" t="str">
            <v>Batherm Ventures Limited (BVI)</v>
          </cell>
        </row>
        <row r="37">
          <cell r="F37" t="str">
            <v>Beagles Global Ltd</v>
          </cell>
          <cell r="J37" t="str">
            <v>Beagles Global Ltd</v>
          </cell>
          <cell r="R37" t="str">
            <v>Beagles Global Ltd</v>
          </cell>
        </row>
        <row r="38">
          <cell r="F38" t="str">
            <v>Belugas Networks OOO</v>
          </cell>
          <cell r="J38" t="str">
            <v>Belugas Networks OOO</v>
          </cell>
          <cell r="R38" t="str">
            <v>Belugas Networks OOO</v>
          </cell>
        </row>
        <row r="39">
          <cell r="F39" t="str">
            <v>Bonavi Properties Limited</v>
          </cell>
          <cell r="J39" t="str">
            <v>Bonavi Properties Limited</v>
          </cell>
          <cell r="R39" t="str">
            <v>Bonavi Properties Limited</v>
          </cell>
        </row>
        <row r="40">
          <cell r="F40" t="str">
            <v>Bonest Investments Ltd</v>
          </cell>
          <cell r="J40" t="str">
            <v>Bonest Investments Ltd</v>
          </cell>
          <cell r="R40" t="str">
            <v>Bonest Investments Ltd</v>
          </cell>
        </row>
        <row r="41">
          <cell r="F41" t="str">
            <v>Braamcor Co Ltd</v>
          </cell>
          <cell r="J41" t="str">
            <v>Braamcor Co Ltd</v>
          </cell>
          <cell r="R41" t="str">
            <v>Braamcor Co Ltd</v>
          </cell>
        </row>
        <row r="42">
          <cell r="F42" t="str">
            <v>Brakpan Investments Ltd</v>
          </cell>
          <cell r="J42" t="str">
            <v>Brakpan Investments Ltd</v>
          </cell>
          <cell r="R42" t="str">
            <v>Brakpan Investments Ltd</v>
          </cell>
        </row>
        <row r="43">
          <cell r="F43" t="str">
            <v>Bramoryn Holdings Ltd</v>
          </cell>
          <cell r="J43" t="str">
            <v>Bramoryn Holdings Ltd</v>
          </cell>
          <cell r="R43" t="str">
            <v>Bramoryn Holdings Ltd</v>
          </cell>
        </row>
        <row r="44">
          <cell r="F44" t="str">
            <v>Broadford International Corp (BVI)</v>
          </cell>
        </row>
        <row r="45">
          <cell r="F45" t="str">
            <v>Buleos Holdings Ltd</v>
          </cell>
          <cell r="J45" t="str">
            <v>Buleos Holdings Ltd</v>
          </cell>
          <cell r="N45" t="str">
            <v>Buleos Holdings Ltd</v>
          </cell>
          <cell r="R45" t="str">
            <v>Buleos Holdings Ltd</v>
          </cell>
        </row>
        <row r="46">
          <cell r="F46" t="str">
            <v>CA "Vist Ltd"</v>
          </cell>
        </row>
        <row r="47">
          <cell r="F47" t="str">
            <v>Cabletech Investments Ltd</v>
          </cell>
          <cell r="J47" t="str">
            <v>Cabletech Investments Ltd</v>
          </cell>
          <cell r="R47" t="str">
            <v>Cabletech Investments Ltd</v>
          </cell>
        </row>
        <row r="48">
          <cell r="F48" t="str">
            <v>Cabris Investments Ltd</v>
          </cell>
          <cell r="J48" t="str">
            <v>Cabris Investments Ltd</v>
          </cell>
          <cell r="N48" t="str">
            <v>Cabris Investments Ltd</v>
          </cell>
          <cell r="R48" t="str">
            <v>Cabris Investments Ltd</v>
          </cell>
        </row>
        <row r="49">
          <cell r="F49" t="str">
            <v>Camrose Pipe Corporation</v>
          </cell>
          <cell r="J49" t="str">
            <v>Camrose Pipe Corporation</v>
          </cell>
          <cell r="N49" t="str">
            <v>Camrose Pipe Corporation</v>
          </cell>
        </row>
        <row r="50">
          <cell r="F50" t="str">
            <v>Canadian National Steel</v>
          </cell>
          <cell r="J50" t="str">
            <v>Canadian National Steel</v>
          </cell>
          <cell r="N50" t="str">
            <v>Canadian National Steel</v>
          </cell>
        </row>
        <row r="51">
          <cell r="F51" t="str">
            <v>Caplink Ltd</v>
          </cell>
        </row>
        <row r="52">
          <cell r="J52" t="str">
            <v>Caplink Ltd (RP)</v>
          </cell>
          <cell r="N52" t="str">
            <v>Caplink Ltd (RP)</v>
          </cell>
        </row>
        <row r="53">
          <cell r="J53" t="str">
            <v>Caplink Ltd (Группа)</v>
          </cell>
          <cell r="N53" t="str">
            <v>Caplink Ltd (Группа)</v>
          </cell>
        </row>
        <row r="54">
          <cell r="F54" t="str">
            <v>Cartigano Ltd</v>
          </cell>
          <cell r="J54" t="str">
            <v>Cartigano Ltd</v>
          </cell>
          <cell r="R54" t="str">
            <v>Cartigano Ltd</v>
          </cell>
        </row>
        <row r="55">
          <cell r="F55" t="str">
            <v>CASSAR WORLD INVESTMENTS CORPORATION</v>
          </cell>
          <cell r="J55" t="str">
            <v>CASSAR WORLD INVESTMENTS CORPORATION</v>
          </cell>
          <cell r="N55" t="str">
            <v>CASSAR WORLD INVESTMENTS CORPORATION</v>
          </cell>
          <cell r="R55" t="str">
            <v>CASSAR WORLD INVESTMENTS CORPORATION</v>
          </cell>
        </row>
        <row r="56">
          <cell r="F56" t="str">
            <v>CF&amp;I Steel LP</v>
          </cell>
          <cell r="J56" t="str">
            <v>CF&amp;I Steel LP</v>
          </cell>
          <cell r="N56" t="str">
            <v>CF&amp;I Steel LP</v>
          </cell>
        </row>
        <row r="57">
          <cell r="F57" t="str">
            <v>Chemzone Limited</v>
          </cell>
          <cell r="J57" t="str">
            <v>Chemzone Limited</v>
          </cell>
          <cell r="N57" t="str">
            <v>Chemzone Limited</v>
          </cell>
          <cell r="R57" t="str">
            <v>Chemzone Limited</v>
          </cell>
        </row>
        <row r="58">
          <cell r="J58" t="str">
            <v>Chemzone Limited (Group)</v>
          </cell>
          <cell r="N58" t="str">
            <v>Chemzone Limited (Group)</v>
          </cell>
        </row>
        <row r="60">
          <cell r="F60" t="str">
            <v>Clama</v>
          </cell>
        </row>
        <row r="61">
          <cell r="F61" t="str">
            <v>Coke Oven Overseas Contribution Ltd</v>
          </cell>
        </row>
        <row r="62">
          <cell r="F62" t="str">
            <v>Coke Ural and Siberia Overseas Contribution</v>
          </cell>
        </row>
        <row r="63">
          <cell r="F63" t="str">
            <v>Colorado and Wyoming Railway</v>
          </cell>
          <cell r="J63" t="str">
            <v>Colorado and Wyoming Railway</v>
          </cell>
          <cell r="N63" t="str">
            <v>Colorado and Wyoming Railway</v>
          </cell>
        </row>
        <row r="64">
          <cell r="F64" t="str">
            <v>Consolidated Minerals Limited</v>
          </cell>
        </row>
        <row r="65">
          <cell r="F65" t="str">
            <v>Corber Enterprises S.a.r.l.</v>
          </cell>
          <cell r="J65" t="str">
            <v>Corber Enterprises S.a.r.l.</v>
          </cell>
          <cell r="N65" t="str">
            <v>Corber Enterprises S.a.r.l.</v>
          </cell>
          <cell r="R65" t="str">
            <v>Corber Enterprises S.a.r.l.</v>
          </cell>
        </row>
        <row r="66">
          <cell r="F66" t="str">
            <v>Crispian Investments Limited</v>
          </cell>
          <cell r="J66" t="str">
            <v>Crispian Investments Limited</v>
          </cell>
          <cell r="R66" t="str">
            <v>Crispian Investments Limited</v>
          </cell>
        </row>
        <row r="67">
          <cell r="F67" t="str">
            <v>Crondale Overseas Ltd</v>
          </cell>
        </row>
        <row r="68">
          <cell r="F68" t="str">
            <v>Crosland Global Limited</v>
          </cell>
          <cell r="J68" t="str">
            <v>Crosland Global Limited</v>
          </cell>
          <cell r="R68" t="str">
            <v>Crosland Global Limited</v>
          </cell>
        </row>
        <row r="69">
          <cell r="F69" t="str">
            <v>Crosland Limited</v>
          </cell>
        </row>
        <row r="70">
          <cell r="F70" t="str">
            <v>Crownwing</v>
          </cell>
        </row>
        <row r="71">
          <cell r="F71" t="str">
            <v>Cybersun Ltd</v>
          </cell>
          <cell r="J71" t="str">
            <v>Cybersun Ltd</v>
          </cell>
          <cell r="R71" t="str">
            <v>Cybersun Ltd</v>
          </cell>
        </row>
        <row r="72">
          <cell r="F72" t="str">
            <v>Cybridge Limited</v>
          </cell>
          <cell r="J72" t="str">
            <v>Cybridge Limited</v>
          </cell>
          <cell r="N72" t="str">
            <v>Cybridge Limited</v>
          </cell>
        </row>
        <row r="73">
          <cell r="F73" t="str">
            <v>Czar Trade and Invest Ltd</v>
          </cell>
          <cell r="J73" t="str">
            <v>Czar Trade and Invest Ltd</v>
          </cell>
          <cell r="R73" t="str">
            <v>Czar Trade and Invest Ltd</v>
          </cell>
        </row>
        <row r="74">
          <cell r="F74" t="str">
            <v>Cалда Энерго, ООО</v>
          </cell>
        </row>
        <row r="75">
          <cell r="F75" t="str">
            <v>Cибирский Спас-Л, ЗАО</v>
          </cell>
        </row>
        <row r="76">
          <cell r="F76" t="str">
            <v>Cтроительно-производственная компания, ООО</v>
          </cell>
        </row>
        <row r="77">
          <cell r="J77" t="str">
            <v>Daniel Harris</v>
          </cell>
          <cell r="R77" t="str">
            <v>Daniel Harris</v>
          </cell>
        </row>
        <row r="78">
          <cell r="F78" t="str">
            <v>Datani Holdings Ltd</v>
          </cell>
          <cell r="J78" t="str">
            <v>Datani Holdings Ltd</v>
          </cell>
          <cell r="R78" t="str">
            <v>Datani Holdings Ltd</v>
          </cell>
        </row>
        <row r="79">
          <cell r="F79" t="str">
            <v>Delectat Ltd</v>
          </cell>
          <cell r="J79" t="str">
            <v>Delectat Ltd</v>
          </cell>
          <cell r="N79" t="str">
            <v>Delectat Ltd</v>
          </cell>
          <cell r="R79" t="str">
            <v>Delectat Ltd</v>
          </cell>
        </row>
        <row r="80">
          <cell r="F80" t="str">
            <v>Delete! Corber</v>
          </cell>
        </row>
        <row r="81">
          <cell r="F81" t="str">
            <v>Delete! Corber and Raspadskaya (CY)</v>
          </cell>
        </row>
        <row r="82">
          <cell r="F82" t="str">
            <v>Delong</v>
          </cell>
        </row>
        <row r="83">
          <cell r="F83" t="str">
            <v>Delsay Investments Limited</v>
          </cell>
          <cell r="J83" t="str">
            <v>Delsay Investments Limited</v>
          </cell>
          <cell r="R83" t="str">
            <v>Delsay Investments Limited</v>
          </cell>
        </row>
        <row r="84">
          <cell r="F84" t="str">
            <v>Denalot Worldwide Limited</v>
          </cell>
          <cell r="J84" t="str">
            <v>Denalot Worldwide Limited</v>
          </cell>
          <cell r="R84" t="str">
            <v>Denalot Worldwide Limited</v>
          </cell>
        </row>
        <row r="85">
          <cell r="F85" t="str">
            <v>Derbigum Investments Ltd</v>
          </cell>
          <cell r="J85" t="str">
            <v>Derbigum Investments Ltd</v>
          </cell>
          <cell r="R85" t="str">
            <v>Derbigum Investments Ltd</v>
          </cell>
        </row>
        <row r="86">
          <cell r="F86" t="str">
            <v>Dliamond Age Capital Advisors LIMITED  (Cayman Islands)</v>
          </cell>
        </row>
        <row r="87">
          <cell r="F87" t="str">
            <v>Do It Yuurself Ukraine LLC</v>
          </cell>
        </row>
        <row r="88">
          <cell r="F88" t="str">
            <v>Dufin Caster Project</v>
          </cell>
        </row>
        <row r="89">
          <cell r="F89" t="str">
            <v>EAST METALS A.G</v>
          </cell>
          <cell r="J89" t="str">
            <v>EAST METALS A.G</v>
          </cell>
          <cell r="N89" t="str">
            <v>EAST METALS A.G</v>
          </cell>
        </row>
        <row r="90">
          <cell r="F90" t="str">
            <v>East Metals Limited</v>
          </cell>
          <cell r="J90" t="str">
            <v>East Metals Limited</v>
          </cell>
          <cell r="N90" t="str">
            <v>East Metals Limited</v>
          </cell>
        </row>
        <row r="91">
          <cell r="F91" t="str">
            <v>East Metals North America LLC</v>
          </cell>
        </row>
        <row r="92">
          <cell r="J92" t="str">
            <v>East Metals S.A. (Vanadium)</v>
          </cell>
          <cell r="N92" t="str">
            <v>East Metals S.A. (Vanadium)</v>
          </cell>
        </row>
        <row r="93">
          <cell r="F93" t="str">
            <v>East Metals Services Inc.</v>
          </cell>
          <cell r="J93" t="str">
            <v>East Metals Services Inc.</v>
          </cell>
          <cell r="N93" t="str">
            <v>East Metals Services Inc.</v>
          </cell>
        </row>
        <row r="94">
          <cell r="F94" t="str">
            <v>East Metals Shipping AG</v>
          </cell>
          <cell r="J94" t="str">
            <v>East Metals Shipping AG</v>
          </cell>
          <cell r="N94" t="str">
            <v>East Metals Shipping AG</v>
          </cell>
        </row>
        <row r="95">
          <cell r="J95" t="str">
            <v>ECS Holdings Europe B.V</v>
          </cell>
          <cell r="N95" t="str">
            <v>ECS Holdings Europe B.V</v>
          </cell>
        </row>
        <row r="96">
          <cell r="F96" t="str">
            <v>ECS Holdings Europe B.V</v>
          </cell>
          <cell r="J96" t="str">
            <v>ECS Holdings Europe B.V</v>
          </cell>
          <cell r="N96" t="str">
            <v>ECS Holdings Europe B.V</v>
          </cell>
        </row>
        <row r="97">
          <cell r="F97" t="str">
            <v>ECS Holdings Europe B.V.</v>
          </cell>
          <cell r="J97" t="str">
            <v>ECS Holdings Europe B.V.</v>
          </cell>
          <cell r="N97" t="str">
            <v>ECS Holdings Europe B.V.</v>
          </cell>
        </row>
        <row r="98">
          <cell r="F98" t="str">
            <v>Elicamo Holding Ltd</v>
          </cell>
          <cell r="J98" t="str">
            <v>Elicamo Holding Ltd</v>
          </cell>
          <cell r="R98" t="str">
            <v>Elicamo Holding Ltd</v>
          </cell>
        </row>
        <row r="99">
          <cell r="F99" t="str">
            <v>Emmy NA</v>
          </cell>
        </row>
        <row r="100">
          <cell r="J100" t="str">
            <v>Enslin Hein</v>
          </cell>
          <cell r="R100" t="str">
            <v>Enslin Hein</v>
          </cell>
        </row>
        <row r="101">
          <cell r="F101" t="str">
            <v>Evraz Caspian Steel</v>
          </cell>
          <cell r="J101" t="str">
            <v>Evraz Caspian Steel</v>
          </cell>
          <cell r="N101" t="str">
            <v>Evraz Caspian Steel</v>
          </cell>
        </row>
        <row r="102">
          <cell r="F102" t="str">
            <v>Evraz Claymont Steel Holdings Inc.</v>
          </cell>
          <cell r="J102" t="str">
            <v>Evraz Claymont Steel Holdings Inc.</v>
          </cell>
          <cell r="N102" t="str">
            <v>Evraz Claymont Steel Holdings Inc.</v>
          </cell>
        </row>
        <row r="103">
          <cell r="F103" t="str">
            <v>Evraz Claymont Steel Inc.</v>
          </cell>
          <cell r="J103" t="str">
            <v>Evraz Claymont Steel Inc.</v>
          </cell>
          <cell r="N103" t="str">
            <v>Evraz Claymont Steel Inc.</v>
          </cell>
        </row>
        <row r="104">
          <cell r="F104" t="str">
            <v>Evraz Europe A.G.</v>
          </cell>
        </row>
        <row r="105">
          <cell r="F105" t="str">
            <v>Evraz Greenfield Development S.A.</v>
          </cell>
          <cell r="J105" t="str">
            <v>Evraz Greenfield Development S.A.</v>
          </cell>
          <cell r="N105" t="str">
            <v>Evraz Greenfield Development S.A.</v>
          </cell>
          <cell r="R105" t="str">
            <v>Evraz Greenfield Development S.A.</v>
          </cell>
        </row>
        <row r="106">
          <cell r="F106" t="str">
            <v>Evraz Highveld Steel and Vanadium Limited</v>
          </cell>
        </row>
        <row r="107">
          <cell r="F107" t="str">
            <v>Evraz Inc. NA</v>
          </cell>
          <cell r="J107" t="str">
            <v>Evraz Inc. NA</v>
          </cell>
          <cell r="N107" t="str">
            <v>Evraz Inc. NA</v>
          </cell>
        </row>
        <row r="108">
          <cell r="F108" t="str">
            <v>Evraz Inc. NA Canada</v>
          </cell>
          <cell r="J108" t="str">
            <v>Evraz Inc. NA Canada</v>
          </cell>
          <cell r="N108" t="str">
            <v>Evraz Inc. NA Canada</v>
          </cell>
        </row>
        <row r="109">
          <cell r="F109" t="str">
            <v>EVRAZ NORTH AMERICA LIMITED</v>
          </cell>
          <cell r="J109" t="str">
            <v>EVRAZ NORTH AMERICA LIMITED</v>
          </cell>
          <cell r="N109" t="str">
            <v>EVRAZ NORTH AMERICA LIMITED</v>
          </cell>
        </row>
        <row r="110">
          <cell r="F110" t="str">
            <v>Evraz Overseas</v>
          </cell>
        </row>
        <row r="111">
          <cell r="F111" t="str">
            <v>Evraz Palini e Bertoli S.r.l</v>
          </cell>
          <cell r="J111" t="str">
            <v>Evraz Palini e Bertoli S.r.l</v>
          </cell>
          <cell r="N111" t="str">
            <v>Evraz Palini e Bertoli S.r.l</v>
          </cell>
        </row>
        <row r="112">
          <cell r="F112" t="str">
            <v>Evraz PLC</v>
          </cell>
          <cell r="J112" t="str">
            <v>Evraz PLC</v>
          </cell>
          <cell r="N112" t="str">
            <v>Evraz PLC</v>
          </cell>
        </row>
        <row r="113">
          <cell r="F113" t="str">
            <v>Evraz Stratcor Inc.</v>
          </cell>
          <cell r="J113" t="str">
            <v>Evraz Stratcor Inc.</v>
          </cell>
          <cell r="N113" t="str">
            <v>Evraz Stratcor Inc.</v>
          </cell>
        </row>
        <row r="114">
          <cell r="F114" t="str">
            <v>Evraz Trade NA LLC</v>
          </cell>
          <cell r="J114" t="str">
            <v>Evraz Trade NA LLC</v>
          </cell>
          <cell r="N114" t="str">
            <v>Evraz Trade NA LLC</v>
          </cell>
        </row>
        <row r="115">
          <cell r="F115" t="str">
            <v>Evraz Vametco Alloys (PTY) Ltd</v>
          </cell>
          <cell r="J115" t="str">
            <v>Evraz Vametco Alloys (PTY) Ltd</v>
          </cell>
          <cell r="N115" t="str">
            <v>Evraz Vametco Alloys (PTY) Ltd</v>
          </cell>
        </row>
        <row r="116">
          <cell r="F116" t="str">
            <v>Evraz Vametco Holdings (PTY) Ltd</v>
          </cell>
          <cell r="J116" t="str">
            <v>Evraz Vametco Holdings (PTY) Ltd</v>
          </cell>
          <cell r="N116" t="str">
            <v>Evraz Vametco Holdings (PTY) Ltd</v>
          </cell>
        </row>
        <row r="117">
          <cell r="F117" t="str">
            <v>Evraz Vametco Properties (PTY) Ltd</v>
          </cell>
          <cell r="J117" t="str">
            <v>Evraz Vametco Properties (PTY) Ltd</v>
          </cell>
          <cell r="N117" t="str">
            <v>Evraz Vametco Properties (PTY) Ltd</v>
          </cell>
        </row>
        <row r="118">
          <cell r="F118" t="str">
            <v>Evraz VITKOVICE Int GmbH</v>
          </cell>
        </row>
        <row r="119">
          <cell r="F119" t="str">
            <v>Evraz Vitkovice Steel</v>
          </cell>
        </row>
        <row r="120">
          <cell r="F120" t="str">
            <v>Evraz VITKOVICE Steel Polska</v>
          </cell>
        </row>
        <row r="121">
          <cell r="F121" t="str">
            <v>EvrazGroup S.A.</v>
          </cell>
          <cell r="J121" t="str">
            <v>EvrazGroup S.A.</v>
          </cell>
          <cell r="N121" t="str">
            <v>EvrazGroup S.A.</v>
          </cell>
        </row>
        <row r="122">
          <cell r="F122" t="str">
            <v>EvrazSecurities S.A.</v>
          </cell>
        </row>
        <row r="123">
          <cell r="F123" t="str">
            <v>Farles Ltd</v>
          </cell>
        </row>
        <row r="124">
          <cell r="F124" t="str">
            <v>Fayver Properties Inc</v>
          </cell>
        </row>
        <row r="125">
          <cell r="F125" t="str">
            <v>Federlan</v>
          </cell>
        </row>
        <row r="126">
          <cell r="F126" t="str">
            <v>Ferroblast overseas Investments Ltd.</v>
          </cell>
          <cell r="J126" t="str">
            <v>Ferroblast overseas Investments Ltd.</v>
          </cell>
          <cell r="N126" t="str">
            <v>Ferroblast overseas Investments Ltd.</v>
          </cell>
          <cell r="R126" t="str">
            <v>Ferroblast overseas Investments Ltd.</v>
          </cell>
        </row>
        <row r="127">
          <cell r="F127" t="str">
            <v>Ferrotrade Limited</v>
          </cell>
          <cell r="J127" t="str">
            <v>Ferrotrade Limited</v>
          </cell>
          <cell r="N127" t="str">
            <v>Ferrotrade Limited</v>
          </cell>
          <cell r="R127" t="str">
            <v>Ferrotrade Limited</v>
          </cell>
        </row>
        <row r="128">
          <cell r="F128" t="str">
            <v>Ferrotrade Ltd. (Niue)</v>
          </cell>
          <cell r="J128" t="str">
            <v>Ferrotrade Ltd. (Niue)</v>
          </cell>
          <cell r="R128" t="str">
            <v>Ferrotrade Ltd. (Niue)</v>
          </cell>
        </row>
        <row r="129">
          <cell r="F129" t="str">
            <v>Filnexon Investments Ltd</v>
          </cell>
          <cell r="J129" t="str">
            <v>Filnexon Investments Ltd</v>
          </cell>
          <cell r="R129" t="str">
            <v>Filnexon Investments Ltd</v>
          </cell>
        </row>
        <row r="130">
          <cell r="F130" t="str">
            <v>Finodra Ventures Ltd</v>
          </cell>
          <cell r="J130" t="str">
            <v>Finodra Ventures Ltd</v>
          </cell>
          <cell r="N130" t="str">
            <v>Finodra Ventures Ltd</v>
          </cell>
          <cell r="R130" t="str">
            <v>Finodra Ventures Ltd</v>
          </cell>
        </row>
        <row r="131">
          <cell r="F131" t="str">
            <v>Frontec Investments Ltd</v>
          </cell>
          <cell r="J131" t="str">
            <v>Frontec Investments Ltd</v>
          </cell>
          <cell r="N131" t="str">
            <v>Frontec Investments Ltd</v>
          </cell>
          <cell r="R131" t="str">
            <v>Frontec Investments Ltd</v>
          </cell>
        </row>
        <row r="132">
          <cell r="F132" t="str">
            <v>Frotora</v>
          </cell>
        </row>
        <row r="133">
          <cell r="F133" t="str">
            <v>Genalta Recycling Inc.</v>
          </cell>
          <cell r="J133" t="str">
            <v>Genalta Recycling Inc.</v>
          </cell>
          <cell r="R133" t="str">
            <v>Genalta Recycling Inc.</v>
          </cell>
        </row>
        <row r="134">
          <cell r="F134" t="str">
            <v>General Scrap Inc</v>
          </cell>
          <cell r="J134" t="str">
            <v>General Scrap Inc</v>
          </cell>
          <cell r="N134" t="str">
            <v>General Scrap Inc</v>
          </cell>
        </row>
        <row r="135">
          <cell r="F135" t="str">
            <v>General Scrap Partnership</v>
          </cell>
          <cell r="J135" t="str">
            <v>General Scrap Partnership</v>
          </cell>
          <cell r="N135" t="str">
            <v>General Scrap Partnership</v>
          </cell>
        </row>
        <row r="136">
          <cell r="J136" t="str">
            <v>Gerardo Annunziata</v>
          </cell>
          <cell r="R136" t="str">
            <v>Gerardo Annunziata</v>
          </cell>
        </row>
        <row r="137">
          <cell r="F137" t="str">
            <v>Gesly Enterprises Limited(CYP)</v>
          </cell>
        </row>
        <row r="138">
          <cell r="F138" t="str">
            <v>Ghana International Manganese Corporation</v>
          </cell>
        </row>
        <row r="139">
          <cell r="F139" t="str">
            <v>Ghana Manganese Company Ltd</v>
          </cell>
        </row>
        <row r="140">
          <cell r="J140" t="str">
            <v>Giacomo Carlo Baizini</v>
          </cell>
          <cell r="R140" t="str">
            <v>Giacomo Carlo Baizini</v>
          </cell>
        </row>
        <row r="142">
          <cell r="J142" t="str">
            <v>Giuseppe Mannina</v>
          </cell>
          <cell r="R142" t="str">
            <v>Giuseppe Mannina</v>
          </cell>
        </row>
        <row r="143">
          <cell r="F143" t="str">
            <v>Greyridge Coal &amp; Shipping Limited</v>
          </cell>
        </row>
        <row r="144">
          <cell r="F144" t="str">
            <v>Greyridge Limited</v>
          </cell>
          <cell r="J144" t="str">
            <v>Greyridge Limited</v>
          </cell>
          <cell r="R144" t="str">
            <v>Greyridge Limited</v>
          </cell>
        </row>
        <row r="145">
          <cell r="F145" t="str">
            <v>Gusapox Holdings Ltd</v>
          </cell>
          <cell r="J145" t="str">
            <v>Gusapox Holdings Ltd</v>
          </cell>
          <cell r="R145" t="str">
            <v>Gusapox Holdings Ltd</v>
          </cell>
        </row>
        <row r="146">
          <cell r="F146" t="str">
            <v>Haltstill Limited</v>
          </cell>
          <cell r="J146" t="str">
            <v>Haltstill Limited</v>
          </cell>
          <cell r="R146" t="str">
            <v>Haltstill Limited</v>
          </cell>
        </row>
        <row r="147">
          <cell r="F147" t="str">
            <v>Hevcon Investments Ltd</v>
          </cell>
          <cell r="J147" t="str">
            <v>Hevcon Investments Ltd</v>
          </cell>
          <cell r="R147" t="str">
            <v>Hevcon Investments Ltd</v>
          </cell>
        </row>
        <row r="149">
          <cell r="F149" t="str">
            <v>Hochvanadium Handels GmbH</v>
          </cell>
        </row>
        <row r="150">
          <cell r="F150" t="str">
            <v>Hochvanadium Holding AG</v>
          </cell>
        </row>
        <row r="151">
          <cell r="F151" t="str">
            <v>Instracom Commerce Holdings Ltd</v>
          </cell>
          <cell r="J151" t="str">
            <v>Instracom Commerce Holdings Ltd</v>
          </cell>
          <cell r="R151" t="str">
            <v>Instracom Commerce Holdings Ltd</v>
          </cell>
        </row>
        <row r="152">
          <cell r="F152" t="str">
            <v>Investblue Ltd</v>
          </cell>
        </row>
        <row r="154">
          <cell r="J154" t="str">
            <v>James Edward Declusin</v>
          </cell>
          <cell r="R154" t="str">
            <v>James Edward Declusin</v>
          </cell>
        </row>
        <row r="155">
          <cell r="J155" t="str">
            <v>James W.Campbell</v>
          </cell>
          <cell r="R155" t="str">
            <v>James W.Campbell</v>
          </cell>
        </row>
        <row r="156">
          <cell r="F156" t="str">
            <v>Jepo Trading Corp</v>
          </cell>
          <cell r="J156" t="str">
            <v>Jepo Trading Corp</v>
          </cell>
          <cell r="R156" t="str">
            <v>Jepo Trading Corp</v>
          </cell>
        </row>
        <row r="158">
          <cell r="F158" t="str">
            <v>Kapara Advisers Ltd</v>
          </cell>
          <cell r="J158" t="str">
            <v>Kapara Advisers Ltd</v>
          </cell>
          <cell r="R158" t="str">
            <v>Kapara Advisers Ltd</v>
          </cell>
        </row>
        <row r="159">
          <cell r="F159" t="str">
            <v>Kartoll Commercial Ltd</v>
          </cell>
        </row>
        <row r="161">
          <cell r="F161" t="str">
            <v>Kita Dake Maritime</v>
          </cell>
        </row>
        <row r="162">
          <cell r="F162" t="str">
            <v>Klosa Investments Ltd</v>
          </cell>
          <cell r="J162" t="str">
            <v>Klosa Investments Ltd</v>
          </cell>
          <cell r="N162" t="str">
            <v>Klosa Investments Ltd</v>
          </cell>
          <cell r="R162" t="str">
            <v>Klosa Investments Ltd</v>
          </cell>
        </row>
        <row r="163">
          <cell r="F163" t="str">
            <v>Korten Corp.</v>
          </cell>
        </row>
        <row r="164">
          <cell r="F164" t="str">
            <v>Landak Inc</v>
          </cell>
          <cell r="J164" t="str">
            <v>Landak Inc</v>
          </cell>
          <cell r="N164" t="str">
            <v>Landak Inc</v>
          </cell>
          <cell r="R164" t="str">
            <v>Landak Inc</v>
          </cell>
        </row>
        <row r="165">
          <cell r="F165" t="str">
            <v>Landark Limited</v>
          </cell>
        </row>
        <row r="166">
          <cell r="F166" t="str">
            <v>Lanebrook Limited</v>
          </cell>
          <cell r="J166" t="str">
            <v>Lanebrook Limited</v>
          </cell>
          <cell r="R166" t="str">
            <v>Lanebrook Limited</v>
          </cell>
        </row>
        <row r="167">
          <cell r="F167" t="str">
            <v>Lankin Services Ltd</v>
          </cell>
          <cell r="J167" t="str">
            <v>Lankin Services Ltd</v>
          </cell>
          <cell r="R167" t="str">
            <v>Lankin Services Ltd</v>
          </cell>
        </row>
        <row r="168">
          <cell r="F168" t="str">
            <v>Laybridge Limited</v>
          </cell>
          <cell r="J168" t="str">
            <v>Laybridge Limited</v>
          </cell>
          <cell r="N168" t="str">
            <v>Laybridge Limited</v>
          </cell>
        </row>
        <row r="169">
          <cell r="J169" t="str">
            <v>Laybridge Limited</v>
          </cell>
          <cell r="N169" t="str">
            <v>Laybridge Limited</v>
          </cell>
        </row>
        <row r="170">
          <cell r="F170" t="str">
            <v>Lebry Ventures Ltd</v>
          </cell>
          <cell r="J170" t="str">
            <v>Lebry Ventures Ltd</v>
          </cell>
          <cell r="R170" t="str">
            <v>Lebry Ventures Ltd</v>
          </cell>
        </row>
        <row r="171">
          <cell r="F171" t="str">
            <v>Logrosan Minerals Ltd</v>
          </cell>
          <cell r="J171" t="str">
            <v>Logrosan Minerals Ltd</v>
          </cell>
          <cell r="R171" t="str">
            <v>Logrosan Minerals Ltd</v>
          </cell>
        </row>
        <row r="172">
          <cell r="F172" t="str">
            <v>LSI Plate</v>
          </cell>
        </row>
        <row r="173">
          <cell r="F173" t="str">
            <v>Macmed Investments Ltd</v>
          </cell>
          <cell r="J173" t="str">
            <v>Macmed Investments Ltd</v>
          </cell>
          <cell r="R173" t="str">
            <v>Macmed Investments Ltd</v>
          </cell>
        </row>
        <row r="174">
          <cell r="F174" t="str">
            <v>Mae Dake Maritime</v>
          </cell>
        </row>
        <row r="175">
          <cell r="F175" t="str">
            <v>Malvero  Holdings  Limited</v>
          </cell>
          <cell r="J175" t="str">
            <v>Malvero  Holdings  Limited</v>
          </cell>
          <cell r="N175" t="str">
            <v>Malvero  Holdings  Limited</v>
          </cell>
        </row>
        <row r="176">
          <cell r="J176" t="str">
            <v>Malvero  Holdings  Limited (Гр)</v>
          </cell>
          <cell r="N176" t="str">
            <v>Malvero  Holdings  Limited (Гр)</v>
          </cell>
        </row>
        <row r="177">
          <cell r="F177" t="str">
            <v>Marens Co Limited(CYP)</v>
          </cell>
          <cell r="J177" t="str">
            <v>Marens Co Limited(CYP)</v>
          </cell>
          <cell r="R177" t="str">
            <v>Marens Co Limited(CYP)</v>
          </cell>
        </row>
        <row r="178">
          <cell r="F178" t="str">
            <v>Mastercroft Finance Ltd</v>
          </cell>
          <cell r="J178" t="str">
            <v>Mastercroft Finance Ltd</v>
          </cell>
          <cell r="N178" t="str">
            <v>Mastercroft Finance Ltd</v>
          </cell>
        </row>
        <row r="179">
          <cell r="F179" t="str">
            <v>Mastercroft Mining Ltd Компания</v>
          </cell>
        </row>
        <row r="180">
          <cell r="F180" t="str">
            <v>Mastercroft S.a r.l</v>
          </cell>
          <cell r="J180" t="str">
            <v>Mastercroft S.a r.l</v>
          </cell>
          <cell r="N180" t="str">
            <v>Mastercroft S.a r.l</v>
          </cell>
          <cell r="R180" t="str">
            <v>Mastercroft S.a r.l</v>
          </cell>
        </row>
        <row r="181">
          <cell r="F181" t="str">
            <v>Matias Co Limited (CYP)</v>
          </cell>
        </row>
        <row r="182">
          <cell r="F182" t="str">
            <v>Medaid Ltd</v>
          </cell>
          <cell r="J182" t="str">
            <v>Medaid Ltd</v>
          </cell>
          <cell r="R182" t="str">
            <v>Medaid Ltd</v>
          </cell>
        </row>
        <row r="183">
          <cell r="F183" t="str">
            <v>Melinda Finance Corp. Ltd</v>
          </cell>
          <cell r="J183" t="str">
            <v>Melinda Finance Corp. Ltd</v>
          </cell>
          <cell r="R183" t="str">
            <v>Melinda Finance Corp. Ltd</v>
          </cell>
        </row>
        <row r="184">
          <cell r="J184" t="str">
            <v>Michael Shubble</v>
          </cell>
          <cell r="R184" t="str">
            <v>Michael Shubble</v>
          </cell>
        </row>
        <row r="185">
          <cell r="F185" t="str">
            <v>Millpal Holdings Ltd</v>
          </cell>
        </row>
        <row r="186">
          <cell r="F186" t="str">
            <v>Mineral Exploration Network (Finland) Ltd.</v>
          </cell>
          <cell r="J186" t="str">
            <v>Mineral Exploration Network (Finland) Ltd.</v>
          </cell>
          <cell r="R186" t="str">
            <v>Mineral Exploration Network (Finland) Ltd.</v>
          </cell>
        </row>
        <row r="187">
          <cell r="F187" t="str">
            <v>Mineral Exploration Network (Suomi) Oy</v>
          </cell>
          <cell r="J187" t="str">
            <v>Mineral Exploration Network (Suomi) Oy</v>
          </cell>
          <cell r="R187" t="str">
            <v>Mineral Exploration Network (Suomi) Oy</v>
          </cell>
        </row>
        <row r="188">
          <cell r="F188" t="str">
            <v>Moorlan Services Ltd</v>
          </cell>
          <cell r="J188" t="str">
            <v>Moorlan Services Ltd</v>
          </cell>
          <cell r="R188" t="str">
            <v>Moorlan Services Ltd</v>
          </cell>
        </row>
        <row r="189">
          <cell r="F189" t="str">
            <v>New CF&amp;I</v>
          </cell>
          <cell r="J189" t="str">
            <v>New CF&amp;I</v>
          </cell>
          <cell r="N189" t="str">
            <v>New CF&amp;I</v>
          </cell>
        </row>
        <row r="190">
          <cell r="J190" t="str">
            <v>Niccolo Lemetti</v>
          </cell>
          <cell r="R190" t="str">
            <v>Niccolo Lemetti</v>
          </cell>
        </row>
        <row r="191">
          <cell r="F191" t="str">
            <v>NIKOM</v>
          </cell>
          <cell r="J191" t="str">
            <v>NIKOM</v>
          </cell>
          <cell r="N191" t="str">
            <v>NIKOM</v>
          </cell>
        </row>
        <row r="192">
          <cell r="F192" t="str">
            <v>Nouster Assets Ltd</v>
          </cell>
          <cell r="J192" t="str">
            <v>Nouster Assets Ltd</v>
          </cell>
          <cell r="N192" t="str">
            <v>Nouster Assets Ltd</v>
          </cell>
          <cell r="R192" t="str">
            <v>Nouster Assets Ltd</v>
          </cell>
        </row>
        <row r="193">
          <cell r="F193" t="str">
            <v>Oregon Ferroalloy Partners</v>
          </cell>
          <cell r="J193" t="str">
            <v>Oregon Ferroalloy Partners</v>
          </cell>
          <cell r="N193" t="str">
            <v>Oregon Ferroalloy Partners</v>
          </cell>
        </row>
        <row r="194">
          <cell r="F194" t="str">
            <v>Oregon Steel Mills Processing</v>
          </cell>
          <cell r="J194" t="str">
            <v>Oregon Steel Mills Processing</v>
          </cell>
          <cell r="N194" t="str">
            <v>Oregon Steel Mills Processing</v>
          </cell>
        </row>
        <row r="195">
          <cell r="F195" t="str">
            <v>Orolia Investments Ltd</v>
          </cell>
          <cell r="J195" t="str">
            <v>Orolia Investments Ltd</v>
          </cell>
          <cell r="R195" t="str">
            <v>Orolia Investments Ltd</v>
          </cell>
        </row>
        <row r="196">
          <cell r="F196" t="str">
            <v>Oscar</v>
          </cell>
        </row>
        <row r="197">
          <cell r="F197" t="str">
            <v>OSM Distribution</v>
          </cell>
          <cell r="J197" t="str">
            <v>OSM Distribution</v>
          </cell>
          <cell r="N197" t="str">
            <v>OSM Distribution</v>
          </cell>
        </row>
        <row r="198">
          <cell r="F198" t="str">
            <v>Osoblanco Holdings Ltd</v>
          </cell>
          <cell r="J198" t="str">
            <v>Osoblanco Holdings Ltd</v>
          </cell>
          <cell r="R198" t="str">
            <v>Osoblanco Holdings Ltd</v>
          </cell>
        </row>
        <row r="199">
          <cell r="F199" t="str">
            <v>Palmrose B.V.</v>
          </cell>
          <cell r="J199" t="str">
            <v>Palmrose B.V.</v>
          </cell>
          <cell r="N199" t="str">
            <v>Palmrose B.V.</v>
          </cell>
        </row>
        <row r="200">
          <cell r="F200" t="str">
            <v>Pamplune</v>
          </cell>
        </row>
        <row r="201">
          <cell r="J201" t="str">
            <v>Pamplune (RP)</v>
          </cell>
          <cell r="N201" t="str">
            <v>Pamplune (RP)</v>
          </cell>
        </row>
        <row r="202">
          <cell r="J202" t="str">
            <v>Pamplune (Группа)</v>
          </cell>
          <cell r="N202" t="str">
            <v>Pamplune (Группа)</v>
          </cell>
        </row>
        <row r="203">
          <cell r="J203" t="str">
            <v>Petr Juza</v>
          </cell>
          <cell r="R203" t="str">
            <v>Petr Juza</v>
          </cell>
        </row>
        <row r="205">
          <cell r="F205" t="str">
            <v>PLYM GROUP LIMITED (BVI)</v>
          </cell>
        </row>
        <row r="206">
          <cell r="F206" t="str">
            <v>Postray Co Limited</v>
          </cell>
          <cell r="J206" t="str">
            <v>Postray Co Limited</v>
          </cell>
          <cell r="R206" t="str">
            <v>Postray Co Limited</v>
          </cell>
        </row>
        <row r="207">
          <cell r="F207" t="str">
            <v>Prela Assets Ltd</v>
          </cell>
          <cell r="J207" t="str">
            <v>Prela Assets Ltd</v>
          </cell>
          <cell r="R207" t="str">
            <v>Prela Assets Ltd</v>
          </cell>
        </row>
        <row r="208">
          <cell r="F208" t="str">
            <v>Ranin Holdings Ltd</v>
          </cell>
          <cell r="J208" t="str">
            <v>Ranin Holdings Ltd</v>
          </cell>
          <cell r="R208" t="str">
            <v>Ranin Holdings Ltd</v>
          </cell>
        </row>
        <row r="209">
          <cell r="F209" t="str">
            <v>Rasec Holdings Ltd</v>
          </cell>
          <cell r="J209" t="str">
            <v>Rasec Holdings Ltd</v>
          </cell>
          <cell r="R209" t="str">
            <v>Rasec Holdings Ltd</v>
          </cell>
        </row>
        <row r="210">
          <cell r="J210" t="str">
            <v>RASP EGSA</v>
          </cell>
          <cell r="N210" t="str">
            <v>RASP EGSA</v>
          </cell>
        </row>
        <row r="211">
          <cell r="J211" t="str">
            <v>RASP EGSA (НЕ использовать)</v>
          </cell>
          <cell r="N211" t="str">
            <v>RASP EGSA (НЕ использовать)</v>
          </cell>
        </row>
        <row r="212">
          <cell r="J212" t="str">
            <v>RASP PLC</v>
          </cell>
          <cell r="N212" t="str">
            <v>RASP PLC</v>
          </cell>
        </row>
        <row r="213">
          <cell r="J213" t="str">
            <v>RASP PLC (НЕ использовать)</v>
          </cell>
          <cell r="N213" t="str">
            <v>RASP PLC (НЕ использовать)</v>
          </cell>
        </row>
        <row r="214">
          <cell r="F214" t="str">
            <v>Restis Enterprises Ltd</v>
          </cell>
          <cell r="J214" t="str">
            <v>Restis Enterprises Ltd</v>
          </cell>
          <cell r="R214" t="str">
            <v>Restis Enterprises Ltd</v>
          </cell>
        </row>
        <row r="215">
          <cell r="F215" t="str">
            <v>RFP(B)L (Bermuda)</v>
          </cell>
        </row>
        <row r="216">
          <cell r="F216" t="str">
            <v>RFPH (CYP) Ltd</v>
          </cell>
        </row>
        <row r="217">
          <cell r="F217" t="str">
            <v>RFPL (CYP)</v>
          </cell>
        </row>
        <row r="219">
          <cell r="F219" t="str">
            <v>Rodal Ltd</v>
          </cell>
          <cell r="J219" t="str">
            <v>Rodal Ltd</v>
          </cell>
          <cell r="R219" t="str">
            <v>Rodal Ltd</v>
          </cell>
        </row>
        <row r="220">
          <cell r="F220" t="str">
            <v>RU Properties Ltd</v>
          </cell>
          <cell r="J220" t="str">
            <v>RU Properties Ltd</v>
          </cell>
          <cell r="R220" t="str">
            <v>RU Properties Ltd</v>
          </cell>
        </row>
        <row r="221">
          <cell r="F221" t="str">
            <v>RVK Invest Ltd</v>
          </cell>
          <cell r="J221" t="str">
            <v>RVK Invest Ltd</v>
          </cell>
          <cell r="R221" t="str">
            <v>RVK Invest Ltd</v>
          </cell>
        </row>
        <row r="222">
          <cell r="F222" t="str">
            <v>Sachern Investments Ltd</v>
          </cell>
          <cell r="J222" t="str">
            <v>Sachern Investments Ltd</v>
          </cell>
          <cell r="N222" t="str">
            <v>Sachern Investments Ltd</v>
          </cell>
          <cell r="R222" t="str">
            <v>Sachern Investments Ltd</v>
          </cell>
        </row>
        <row r="223">
          <cell r="F223" t="str">
            <v>Sana Group Limited</v>
          </cell>
          <cell r="J223" t="str">
            <v>Sana Group Limited</v>
          </cell>
          <cell r="R223" t="str">
            <v>Sana Group Limited</v>
          </cell>
        </row>
        <row r="224">
          <cell r="F224" t="str">
            <v>Satircorp Enterprioses Ltd</v>
          </cell>
          <cell r="J224" t="str">
            <v>Satircorp Enterprioses Ltd</v>
          </cell>
          <cell r="R224" t="str">
            <v>Satircorp Enterprioses Ltd</v>
          </cell>
        </row>
        <row r="225">
          <cell r="F225" t="str">
            <v>Scrapton Enterprises Ltd</v>
          </cell>
          <cell r="J225" t="str">
            <v>Scrapton Enterprises Ltd</v>
          </cell>
          <cell r="R225" t="str">
            <v>Scrapton Enterprises Ltd</v>
          </cell>
        </row>
        <row r="226">
          <cell r="F226" t="str">
            <v>Sebon Assets Limited</v>
          </cell>
          <cell r="J226" t="str">
            <v>Sebon Assets Limited</v>
          </cell>
          <cell r="R226" t="str">
            <v>Sebon Assets Limited</v>
          </cell>
        </row>
        <row r="227">
          <cell r="F227" t="str">
            <v>Sens Ventures Ltd</v>
          </cell>
          <cell r="J227" t="str">
            <v>Sens Ventures Ltd</v>
          </cell>
          <cell r="R227" t="str">
            <v>Sens Ventures Ltd</v>
          </cell>
        </row>
        <row r="228">
          <cell r="F228" t="str">
            <v>Sentosa Limited Liability Company</v>
          </cell>
        </row>
        <row r="229">
          <cell r="F229" t="str">
            <v>Shareteam Invest Ltd</v>
          </cell>
        </row>
        <row r="230">
          <cell r="F230" t="str">
            <v>SIA "Bella Plaza"</v>
          </cell>
        </row>
        <row r="231">
          <cell r="F231" t="str">
            <v>SIA "DigiPro"</v>
          </cell>
        </row>
        <row r="232">
          <cell r="F232" t="str">
            <v>SIA "PrivatConsulting"</v>
          </cell>
        </row>
        <row r="233">
          <cell r="F233" t="str">
            <v>SIA "PrivatLizings"</v>
          </cell>
        </row>
        <row r="234">
          <cell r="F234" t="str">
            <v>Sinano Shipmanagement</v>
          </cell>
          <cell r="J234" t="str">
            <v>Sinano Shipmanagement</v>
          </cell>
          <cell r="N234" t="str">
            <v>Sinano Shipmanagement</v>
          </cell>
        </row>
        <row r="235">
          <cell r="F235" t="str">
            <v>SM Management Limited(BVI)</v>
          </cell>
        </row>
        <row r="236">
          <cell r="F236" t="str">
            <v>SM Services LLC (USA)</v>
          </cell>
        </row>
        <row r="237">
          <cell r="F237" t="str">
            <v>Sodha Investments Limited</v>
          </cell>
          <cell r="J237" t="str">
            <v>Sodha Investments Limited</v>
          </cell>
          <cell r="R237" t="str">
            <v>Sodha Investments Limited</v>
          </cell>
        </row>
        <row r="238">
          <cell r="F238" t="str">
            <v>Sojits</v>
          </cell>
          <cell r="J238" t="str">
            <v>Sojits</v>
          </cell>
          <cell r="R238" t="str">
            <v>Sojits</v>
          </cell>
        </row>
        <row r="239">
          <cell r="F239" t="str">
            <v>Solm Co. Ltd</v>
          </cell>
        </row>
        <row r="240">
          <cell r="F240" t="str">
            <v>South Africa Japan Vanadium (Proprietary) Limited</v>
          </cell>
        </row>
        <row r="241">
          <cell r="F241" t="str">
            <v>Starbold Ltd</v>
          </cell>
          <cell r="J241" t="str">
            <v>Starbold Ltd</v>
          </cell>
          <cell r="R241" t="str">
            <v>Starbold Ltd</v>
          </cell>
        </row>
        <row r="242">
          <cell r="F242" t="str">
            <v>Starlight Ltd</v>
          </cell>
        </row>
        <row r="243">
          <cell r="F243" t="str">
            <v>Steeltrade Ltd</v>
          </cell>
          <cell r="J243" t="str">
            <v>Steeltrade Ltd</v>
          </cell>
          <cell r="N243" t="str">
            <v>Steeltrade Ltd</v>
          </cell>
        </row>
        <row r="244">
          <cell r="F244" t="str">
            <v>Strategic Minerals Corporation</v>
          </cell>
          <cell r="J244" t="str">
            <v>Strategic Minerals Corporation</v>
          </cell>
          <cell r="N244" t="str">
            <v>Strategic Minerals Corporation</v>
          </cell>
        </row>
        <row r="245">
          <cell r="F245" t="str">
            <v>Streamcore Limited</v>
          </cell>
          <cell r="J245" t="str">
            <v>Streamcore Limited</v>
          </cell>
          <cell r="R245" t="str">
            <v>Streamcore Limited</v>
          </cell>
        </row>
        <row r="246">
          <cell r="F246" t="str">
            <v>Sulvan Investments Limited</v>
          </cell>
          <cell r="J246" t="str">
            <v>Sulvan Investments Limited</v>
          </cell>
          <cell r="R246" t="str">
            <v>Sulvan Investments Limited</v>
          </cell>
        </row>
        <row r="247">
          <cell r="F247" t="str">
            <v>SUNDAZE Ltd.</v>
          </cell>
          <cell r="J247" t="str">
            <v>SUNDAZE Ltd.</v>
          </cell>
          <cell r="N247" t="str">
            <v>SUNDAZE Ltd.</v>
          </cell>
          <cell r="R247" t="str">
            <v>SUNDAZE Ltd.</v>
          </cell>
        </row>
        <row r="248">
          <cell r="F248" t="str">
            <v>Sunpeak Investment Group Limited</v>
          </cell>
          <cell r="J248" t="str">
            <v>Sunpeak Investment Group Limited</v>
          </cell>
          <cell r="R248" t="str">
            <v>Sunpeak Investment Group Limited</v>
          </cell>
        </row>
        <row r="249">
          <cell r="F249" t="str">
            <v>Tamar Trading Limited (BVI)</v>
          </cell>
        </row>
        <row r="250">
          <cell r="F250" t="str">
            <v>Target Platinum Limited</v>
          </cell>
          <cell r="J250" t="str">
            <v>Target Platinum Limited</v>
          </cell>
          <cell r="R250" t="str">
            <v>Target Platinum Limited</v>
          </cell>
        </row>
        <row r="251">
          <cell r="J251" t="str">
            <v>Tatyana Lubarskaya</v>
          </cell>
          <cell r="R251" t="str">
            <v>Tatyana Lubarskaya</v>
          </cell>
        </row>
        <row r="252">
          <cell r="F252" t="str">
            <v>Tembisa Holdings Ltd</v>
          </cell>
          <cell r="J252" t="str">
            <v>Tembisa Holdings Ltd</v>
          </cell>
          <cell r="R252" t="str">
            <v>Tembisa Holdings Ltd</v>
          </cell>
        </row>
        <row r="253">
          <cell r="F253" t="str">
            <v>Tennasy Ventures</v>
          </cell>
        </row>
        <row r="255">
          <cell r="F255" t="str">
            <v>Therakles Services Inc</v>
          </cell>
          <cell r="J255" t="str">
            <v>Therakles Services Inc</v>
          </cell>
          <cell r="R255" t="str">
            <v>Therakles Services Inc</v>
          </cell>
        </row>
        <row r="256">
          <cell r="F256" t="str">
            <v>TheUnion Dith and Water Co.</v>
          </cell>
          <cell r="J256" t="str">
            <v>TheUnion Dith and Water Co.</v>
          </cell>
          <cell r="N256" t="str">
            <v>TheUnion Dith and Water Co.</v>
          </cell>
        </row>
        <row r="257">
          <cell r="F257" t="str">
            <v>Titan Acquisition Sub Inc.</v>
          </cell>
        </row>
        <row r="258">
          <cell r="F258" t="str">
            <v>Tremadon Ventures Ltd</v>
          </cell>
          <cell r="J258" t="str">
            <v>Tremadon Ventures Ltd</v>
          </cell>
          <cell r="R258" t="str">
            <v>Tremadon Ventures Ltd</v>
          </cell>
        </row>
        <row r="259">
          <cell r="F259" t="str">
            <v>Trinar Holding Ltd</v>
          </cell>
          <cell r="J259" t="str">
            <v>Trinar Holding Ltd</v>
          </cell>
          <cell r="R259" t="str">
            <v>Trinar Holding Ltd</v>
          </cell>
        </row>
        <row r="260">
          <cell r="F260" t="str">
            <v>TT Group</v>
          </cell>
        </row>
        <row r="261">
          <cell r="F261" t="str">
            <v>Tuva Railway Limited (Кипр)</v>
          </cell>
        </row>
        <row r="262">
          <cell r="F262" t="str">
            <v>Ulrich Limited</v>
          </cell>
        </row>
        <row r="263">
          <cell r="F263" t="str">
            <v>Unicroft</v>
          </cell>
        </row>
        <row r="264">
          <cell r="F264" t="str">
            <v>Upperton Ltd  (CYP)</v>
          </cell>
        </row>
        <row r="265">
          <cell r="F265" t="str">
            <v>Vanston</v>
          </cell>
        </row>
        <row r="266">
          <cell r="F266" t="str">
            <v>Velcast</v>
          </cell>
          <cell r="J266" t="str">
            <v>Velcast</v>
          </cell>
          <cell r="N266" t="str">
            <v>Velcast</v>
          </cell>
        </row>
        <row r="267">
          <cell r="F267" t="str">
            <v>Vintrinex Ltd</v>
          </cell>
          <cell r="J267" t="str">
            <v>Vintrinex Ltd</v>
          </cell>
          <cell r="N267" t="str">
            <v>Vintrinex Ltd</v>
          </cell>
          <cell r="R267" t="str">
            <v>Vintrinex Ltd</v>
          </cell>
        </row>
        <row r="268">
          <cell r="F268" t="str">
            <v>Viscaria 2 Limited</v>
          </cell>
          <cell r="J268" t="str">
            <v>Viscaria 2 Limited</v>
          </cell>
          <cell r="N268" t="str">
            <v>Viscaria 2 Limited</v>
          </cell>
        </row>
        <row r="269">
          <cell r="F269" t="str">
            <v>VITKOVICE Servis centrum</v>
          </cell>
        </row>
        <row r="270">
          <cell r="J270" t="str">
            <v>Vitkovice Steel (Vanadium)</v>
          </cell>
          <cell r="N270" t="str">
            <v>Vitkovice Steel (Vanadium)</v>
          </cell>
        </row>
        <row r="272">
          <cell r="F272" t="str">
            <v>VRB Power Systems Inc (Canada)</v>
          </cell>
        </row>
        <row r="273">
          <cell r="F273" t="str">
            <v>Walland Holdings Limited (BVI)</v>
          </cell>
          <cell r="J273" t="str">
            <v>Walland Holdings Limited (BVI)</v>
          </cell>
          <cell r="R273" t="str">
            <v>Walland Holdings Limited (BVI)</v>
          </cell>
        </row>
        <row r="275">
          <cell r="F275" t="str">
            <v>Watney Limited</v>
          </cell>
        </row>
        <row r="276">
          <cell r="F276" t="str">
            <v>Webcone Investments Ltd</v>
          </cell>
          <cell r="J276" t="str">
            <v>Webcone Investments Ltd</v>
          </cell>
          <cell r="R276" t="str">
            <v>Webcone Investments Ltd</v>
          </cell>
        </row>
        <row r="277">
          <cell r="F277" t="str">
            <v>Wintergro Ltd</v>
          </cell>
          <cell r="J277" t="str">
            <v>Wintergro Ltd</v>
          </cell>
          <cell r="R277" t="str">
            <v>Wintergro Ltd</v>
          </cell>
        </row>
        <row r="278">
          <cell r="F278" t="str">
            <v>Z/s "Rugaji"</v>
          </cell>
        </row>
        <row r="279">
          <cell r="F279" t="str">
            <v>Абаканский рудник,ООО</v>
          </cell>
          <cell r="J279" t="str">
            <v>Абаканский рудник,ООО</v>
          </cell>
          <cell r="N279" t="str">
            <v>Абаканский рудник,ООО</v>
          </cell>
          <cell r="R279" t="str">
            <v>Абаканский рудник,ООО</v>
          </cell>
        </row>
        <row r="280">
          <cell r="J280" t="str">
            <v>Абрамов Александр Григорьевич</v>
          </cell>
          <cell r="R280" t="str">
            <v>Абрамов Александр Григорьевич</v>
          </cell>
        </row>
        <row r="281">
          <cell r="F281" t="str">
            <v>Аватиах ООО</v>
          </cell>
          <cell r="J281" t="str">
            <v>Аватиах ООО</v>
          </cell>
          <cell r="R281" t="str">
            <v>Аватиах ООО</v>
          </cell>
        </row>
        <row r="282">
          <cell r="F282" t="str">
            <v>Автоприват</v>
          </cell>
        </row>
        <row r="283">
          <cell r="F283" t="str">
            <v>АВТ-Урал, ООО</v>
          </cell>
          <cell r="J283" t="str">
            <v>АВТ-Урал, ООО</v>
          </cell>
          <cell r="N283" t="str">
            <v>АВТ-Урал, ООО</v>
          </cell>
        </row>
        <row r="284">
          <cell r="F284" t="str">
            <v>АГРОФИРМА КАВКАЗ, ООО</v>
          </cell>
          <cell r="J284" t="str">
            <v>АГРОФИРМА КАВКАЗ, ООО</v>
          </cell>
          <cell r="R284" t="str">
            <v>АГРОФИРМА КАВКАЗ, ООО</v>
          </cell>
        </row>
        <row r="285">
          <cell r="F285" t="str">
            <v>Актив Медиа, ООО</v>
          </cell>
          <cell r="J285" t="str">
            <v>Актив Медиа, ООО</v>
          </cell>
          <cell r="N285" t="str">
            <v>Актив Медиа, ООО</v>
          </cell>
        </row>
        <row r="286">
          <cell r="F286" t="str">
            <v>Алекс -ТВ, ЗАО</v>
          </cell>
        </row>
        <row r="288">
          <cell r="F288" t="str">
            <v>Альтернатива, ООО</v>
          </cell>
          <cell r="J288" t="str">
            <v>Альтернатива, ООО</v>
          </cell>
          <cell r="R288" t="str">
            <v>Альтернатива, ООО</v>
          </cell>
        </row>
        <row r="289">
          <cell r="F289" t="str">
            <v>Амурское пароходство, ОАО</v>
          </cell>
        </row>
        <row r="290">
          <cell r="J290" t="str">
            <v>Андриасов Максим Григорьевич</v>
          </cell>
          <cell r="R290" t="str">
            <v>Андриасов Максим Григорьевич</v>
          </cell>
        </row>
        <row r="291">
          <cell r="J291" t="str">
            <v>Андриянов Алексей Владимирович</v>
          </cell>
          <cell r="R291" t="str">
            <v>Андриянов Алексей Владимирович</v>
          </cell>
        </row>
        <row r="292">
          <cell r="F292" t="str">
            <v>АО "ЕВРАЗ ЗАПАДНО-СИБИРСКИЙ МЕТАЛЛУРГИЧЕСКИЙ КОМБИНАТ"</v>
          </cell>
          <cell r="J292" t="str">
            <v>АО "ЕВРАЗ ЗАПАДНО-СИБИРСКИЙ МЕТАЛЛУРГИЧЕСКИЙ КОМБИНАТ"</v>
          </cell>
          <cell r="N292" t="str">
            <v>АО "ЕВРАЗ ЗАПАДНО-СИБИРСКИЙ МЕТАЛЛУРГИЧЕСКИЙ КОМБИНАТ"</v>
          </cell>
        </row>
        <row r="293">
          <cell r="F293" t="str">
            <v>АРХАНГЕЛЬСКИЙ МОРСКОЙ ТОРГОВЫЙ ПОРТ, ОАО</v>
          </cell>
          <cell r="J293" t="str">
            <v>АРХАНГЕЛЬСКИЙ МОРСКОЙ ТОРГОВЫЙ ПОРТ, ОАО</v>
          </cell>
          <cell r="R293" t="str">
            <v>АРХАНГЕЛЬСКИЙ МОРСКОЙ ТОРГОВЫЙ ПОРТ, ОАО</v>
          </cell>
        </row>
        <row r="295">
          <cell r="F295" t="str">
            <v>Ассоциация Объед.уч-ков бизн.по развитию стальн.строитества</v>
          </cell>
        </row>
        <row r="296">
          <cell r="F296" t="str">
            <v>Астра,ООО</v>
          </cell>
        </row>
        <row r="297">
          <cell r="F297" t="str">
            <v>Атлантик НК, ООО УК</v>
          </cell>
        </row>
        <row r="299">
          <cell r="F299" t="str">
            <v>АТП Евразруда,ООО</v>
          </cell>
        </row>
        <row r="300">
          <cell r="F300" t="str">
            <v>АФК, ООО</v>
          </cell>
          <cell r="J300" t="str">
            <v>АФК, ООО</v>
          </cell>
          <cell r="R300" t="str">
            <v>АФК, ООО</v>
          </cell>
        </row>
        <row r="302">
          <cell r="F302" t="str">
            <v>Баглейкокс ОАО</v>
          </cell>
        </row>
        <row r="304">
          <cell r="F304" t="str">
            <v>Байпас, ООО.</v>
          </cell>
        </row>
        <row r="305">
          <cell r="F305" t="str">
            <v>Белтранс, ООО</v>
          </cell>
          <cell r="J305" t="str">
            <v>Белтранс, ООО</v>
          </cell>
          <cell r="N305" t="str">
            <v>Белтранс, ООО</v>
          </cell>
          <cell r="R305" t="str">
            <v>Белтранс, ООО</v>
          </cell>
        </row>
        <row r="306">
          <cell r="F306" t="str">
            <v>Бизнес -бюро, ООО</v>
          </cell>
        </row>
        <row r="307">
          <cell r="F307" t="str">
            <v>БИС НТ ООО</v>
          </cell>
        </row>
        <row r="308">
          <cell r="F308" t="str">
            <v>Благотворительный фонд "Евраза"-Сибирь"</v>
          </cell>
        </row>
        <row r="309">
          <cell r="F309" t="str">
            <v>Благотворительный фонд "Евраза"-Урал"</v>
          </cell>
        </row>
        <row r="310">
          <cell r="F310" t="str">
            <v>Блок, ООО</v>
          </cell>
        </row>
        <row r="313">
          <cell r="F313" t="str">
            <v>Бон Лайф, ООО (отель)</v>
          </cell>
          <cell r="J313" t="str">
            <v>Бон Лайф, ООО (отель)</v>
          </cell>
          <cell r="N313" t="str">
            <v>Бон Лайф, ООО (отель)</v>
          </cell>
          <cell r="R313" t="str">
            <v>Бон Лайф, ООО (отель)</v>
          </cell>
        </row>
        <row r="319">
          <cell r="F319" t="str">
            <v>Брянскметаллресурсы, ОАО</v>
          </cell>
        </row>
        <row r="320">
          <cell r="F320" t="str">
            <v>Будинвесткомплекс, ЗАО</v>
          </cell>
        </row>
        <row r="321">
          <cell r="F321" t="str">
            <v>БФ "Ветеран Евраз Сибирь"</v>
          </cell>
        </row>
        <row r="322">
          <cell r="J322" t="str">
            <v>Ванадий (Сегмент)</v>
          </cell>
          <cell r="N322" t="str">
            <v>Ванадий (Сегмент)</v>
          </cell>
        </row>
        <row r="323">
          <cell r="F323" t="str">
            <v>Ванадий транспорт,ООО</v>
          </cell>
          <cell r="J323" t="str">
            <v>Ванадий транспорт,ООО</v>
          </cell>
          <cell r="N323" t="str">
            <v>Ванадий транспорт,ООО</v>
          </cell>
          <cell r="R323" t="str">
            <v>Ванадий транспорт,ООО</v>
          </cell>
        </row>
        <row r="324">
          <cell r="F324" t="str">
            <v>Ванадий-автотранспортное предприятие, ООО</v>
          </cell>
        </row>
        <row r="325">
          <cell r="F325" t="str">
            <v>Вариант, ООО</v>
          </cell>
          <cell r="J325" t="str">
            <v>Вариант, ООО</v>
          </cell>
          <cell r="R325" t="str">
            <v>Вариант, ООО</v>
          </cell>
        </row>
        <row r="326">
          <cell r="J326" t="str">
            <v>Васильев Сергей Валентинович</v>
          </cell>
          <cell r="R326" t="str">
            <v>Васильев Сергей Валентинович</v>
          </cell>
        </row>
        <row r="327">
          <cell r="F327" t="str">
            <v>ВЕК, ООО</v>
          </cell>
        </row>
        <row r="328">
          <cell r="F328" t="str">
            <v>Вестстроймет, ООО</v>
          </cell>
        </row>
        <row r="329">
          <cell r="F329" t="str">
            <v>Владимирметаллоптторг, ОАО</v>
          </cell>
          <cell r="J329" t="str">
            <v>Владимирметаллоптторг, ОАО</v>
          </cell>
          <cell r="N329" t="str">
            <v>Владимирметаллоптторг, ОАО</v>
          </cell>
          <cell r="R329" t="str">
            <v>Владимирметаллоптторг, ОАО</v>
          </cell>
        </row>
        <row r="330">
          <cell r="F330" t="str">
            <v>Волконт, ЗАО</v>
          </cell>
        </row>
        <row r="331">
          <cell r="F331" t="str">
            <v>Восток-Финанс</v>
          </cell>
          <cell r="J331" t="str">
            <v>Восток-Финанс</v>
          </cell>
          <cell r="R331" t="str">
            <v>Восток-Финанс</v>
          </cell>
        </row>
        <row r="332">
          <cell r="F332" t="str">
            <v>ВСМ, ООО</v>
          </cell>
          <cell r="J332" t="str">
            <v>ВСМ, ООО</v>
          </cell>
          <cell r="R332" t="str">
            <v>ВСМ, ООО</v>
          </cell>
        </row>
        <row r="333">
          <cell r="F333" t="str">
            <v>Вторресурс-Переработка, ООО</v>
          </cell>
          <cell r="J333" t="str">
            <v>Вторресурс-Переработка, ООО</v>
          </cell>
          <cell r="R333" t="str">
            <v>Вторресурс-Переработка, ООО</v>
          </cell>
        </row>
        <row r="334">
          <cell r="F334" t="str">
            <v>Вторчермет, ЗАО</v>
          </cell>
        </row>
        <row r="335">
          <cell r="J335" t="str">
            <v>Высокогорский горно-обогатительный комбинат (Группа)</v>
          </cell>
          <cell r="N335" t="str">
            <v>Высокогорский горно-обогатительный комбинат (Группа)</v>
          </cell>
        </row>
        <row r="338">
          <cell r="F338" t="str">
            <v>ГМК Тимир, ОАО</v>
          </cell>
          <cell r="J338" t="str">
            <v>ГМК Тимир, ОАО</v>
          </cell>
          <cell r="R338" t="str">
            <v>ГМК Тимир, ОАО</v>
          </cell>
        </row>
        <row r="339">
          <cell r="J339" t="str">
            <v>Горнорудный (Сегмент)</v>
          </cell>
          <cell r="N339" t="str">
            <v>Горнорудный (Сегмент)</v>
          </cell>
        </row>
        <row r="340">
          <cell r="F340" t="str">
            <v>Гостиница Кедровая, Шерегеш</v>
          </cell>
        </row>
        <row r="341">
          <cell r="F341" t="str">
            <v>ГПК Умлекан, ООО</v>
          </cell>
          <cell r="J341" t="str">
            <v>ГПК Умлекан, ООО</v>
          </cell>
          <cell r="N341" t="str">
            <v>ГПК Умлекан, ООО</v>
          </cell>
          <cell r="R341" t="str">
            <v>ГПК Умлекан, ООО</v>
          </cell>
        </row>
        <row r="342">
          <cell r="F342" t="str">
            <v>Группа ЕАМ</v>
          </cell>
        </row>
        <row r="343">
          <cell r="F343" t="str">
            <v>Группа РПР, ООО</v>
          </cell>
        </row>
        <row r="344">
          <cell r="F344" t="str">
            <v>Губернские ведомости, ЗАО</v>
          </cell>
        </row>
        <row r="345">
          <cell r="F345" t="str">
            <v>Гурьевский рудник,ООО</v>
          </cell>
          <cell r="J345" t="str">
            <v>Гурьевский рудник,ООО</v>
          </cell>
          <cell r="N345" t="str">
            <v>Гурьевский рудник,ООО</v>
          </cell>
        </row>
        <row r="346">
          <cell r="F346" t="str">
            <v>ДакСервис, ООО</v>
          </cell>
          <cell r="J346" t="str">
            <v>ДакСервис, ООО</v>
          </cell>
          <cell r="N346" t="str">
            <v>ДакСервис, ООО</v>
          </cell>
          <cell r="R346" t="str">
            <v>ДакСервис, ООО</v>
          </cell>
        </row>
        <row r="347">
          <cell r="F347" t="str">
            <v>ДаксСофт, ОАО</v>
          </cell>
        </row>
        <row r="348">
          <cell r="F348" t="str">
            <v>Даллеспром ОАО</v>
          </cell>
        </row>
        <row r="349">
          <cell r="F349" t="str">
            <v>Дальэнергосетьстрой, ООО</v>
          </cell>
        </row>
        <row r="351">
          <cell r="F351" t="str">
            <v>Дефис, OOO</v>
          </cell>
        </row>
        <row r="352">
          <cell r="F352" t="str">
            <v>Джебаш,ООО</v>
          </cell>
        </row>
        <row r="353">
          <cell r="F353" t="str">
            <v>Днепркокс ОАО</v>
          </cell>
        </row>
        <row r="354">
          <cell r="F354" t="str">
            <v>Днепркокс ОАО</v>
          </cell>
        </row>
        <row r="355">
          <cell r="F355" t="str">
            <v>Днепродзержинский коксо-химический завод ОАО</v>
          </cell>
        </row>
        <row r="356">
          <cell r="F356" t="str">
            <v>Днепропетровский металлургический завод ОАО</v>
          </cell>
        </row>
        <row r="357">
          <cell r="J357" t="str">
            <v>Днепропетровский металлургический завод ОАО (Группа)</v>
          </cell>
          <cell r="N357" t="str">
            <v>Днепропетровский металлургический завод ОАО (Группа)</v>
          </cell>
        </row>
        <row r="358">
          <cell r="F358" t="str">
            <v>Долина, ООО</v>
          </cell>
          <cell r="J358" t="str">
            <v>Долина, ООО</v>
          </cell>
          <cell r="R358" t="str">
            <v>Долина, ООО</v>
          </cell>
        </row>
        <row r="359">
          <cell r="F359" t="str">
            <v>Донские металлоконструкции, ООО</v>
          </cell>
        </row>
        <row r="361">
          <cell r="J361" t="str">
            <v>Другое (Сегмент)</v>
          </cell>
          <cell r="N361" t="str">
            <v>Другое (Сегмент)</v>
          </cell>
        </row>
        <row r="362">
          <cell r="F362" t="str">
            <v>ЕВРАЗ Ванадий-Тула, ОАО</v>
          </cell>
          <cell r="J362" t="str">
            <v>ЕВРАЗ Ванадий-Тула, ОАО</v>
          </cell>
          <cell r="N362" t="str">
            <v>ЕВРАЗ Ванадий-Тула, ОАО</v>
          </cell>
        </row>
        <row r="363">
          <cell r="F363" t="str">
            <v>ЕВРАЗ Высокогорский горно-обогатительный комбинат, ОАО</v>
          </cell>
          <cell r="J363" t="str">
            <v>ЕВРАЗ Высокогорский горно-обогатительный комбинат, ОАО</v>
          </cell>
          <cell r="N363" t="str">
            <v>ЕВРАЗ Высокогорский горно-обогатительный комбинат, ОАО</v>
          </cell>
          <cell r="R363" t="str">
            <v>ЕВРАЗ Высокогорский горно-обогатительный комбинат, ОАО</v>
          </cell>
        </row>
        <row r="364">
          <cell r="F364" t="str">
            <v>ЕВРАЗ Днепровский металлургический завод, ЧАО</v>
          </cell>
          <cell r="J364" t="str">
            <v>ЕВРАЗ Днепровский металлургический завод, ЧАО</v>
          </cell>
          <cell r="N364" t="str">
            <v>ЕВРАЗ Днепровский металлургический завод, ЧАО</v>
          </cell>
        </row>
        <row r="365">
          <cell r="F365" t="str">
            <v>ЕВРАЗ Днепродзержинский КХЗ, ПАО</v>
          </cell>
        </row>
        <row r="366">
          <cell r="F366" t="str">
            <v>ЕВРАЗ Качканарский горно-обогатительный комбинат, ОАО</v>
          </cell>
          <cell r="J366" t="str">
            <v>ЕВРАЗ Качканарский горно-обогатительный комбинат, ОАО</v>
          </cell>
          <cell r="N366" t="str">
            <v>ЕВРАЗ Качканарский горно-обогатительный комбинат, ОАО</v>
          </cell>
        </row>
        <row r="367">
          <cell r="F367" t="str">
            <v>ЕВРАЗ Междуреченск УК,ООО</v>
          </cell>
          <cell r="J367" t="str">
            <v>ЕВРАЗ Междуреченск УК,ООО</v>
          </cell>
          <cell r="N367" t="str">
            <v>ЕВРАЗ Междуреченск УК,ООО</v>
          </cell>
        </row>
        <row r="368">
          <cell r="F368" t="str">
            <v>ЕВРАЗ Металл Сервис, ООО</v>
          </cell>
        </row>
        <row r="369">
          <cell r="F369" t="str">
            <v>ЕВРАЗ Находкинский морской торговый порт, ОАО</v>
          </cell>
          <cell r="J369" t="str">
            <v>ЕВРАЗ Находкинский морской торговый порт, ОАО</v>
          </cell>
          <cell r="N369" t="str">
            <v>ЕВРАЗ Находкинский морской торговый порт, ОАО</v>
          </cell>
        </row>
        <row r="370">
          <cell r="F370" t="str">
            <v>ЕВРАЗ СУХА БАЛКА, ЧАО</v>
          </cell>
          <cell r="J370" t="str">
            <v>ЕВРАЗ СУХА БАЛКА, ЧАО</v>
          </cell>
          <cell r="N370" t="str">
            <v>ЕВРАЗ СУХА БАЛКА, ЧАО</v>
          </cell>
        </row>
        <row r="371">
          <cell r="F371" t="str">
            <v>ЕВРАЗ ЮЖКОКС, ЧАО</v>
          </cell>
          <cell r="J371" t="str">
            <v>ЕВРАЗ ЮЖКОКС, ЧАО</v>
          </cell>
          <cell r="N371" t="str">
            <v>ЕВРАЗ ЮЖКОКС, ЧАО</v>
          </cell>
        </row>
        <row r="372">
          <cell r="F372" t="str">
            <v>ЕВРАЗ Южный Стан, ООО</v>
          </cell>
          <cell r="J372" t="str">
            <v>ЕВРАЗ Южный Стан, ООО</v>
          </cell>
          <cell r="N372" t="str">
            <v>ЕВРАЗ Южный Стан, ООО</v>
          </cell>
        </row>
        <row r="373">
          <cell r="F373" t="str">
            <v>ЕвразМебель ООО</v>
          </cell>
        </row>
        <row r="374">
          <cell r="F374" t="str">
            <v>ЕвразМеталл Волга</v>
          </cell>
        </row>
        <row r="375">
          <cell r="F375" t="str">
            <v>ЕвразМеталл Дальний Восток, ООО</v>
          </cell>
        </row>
        <row r="376">
          <cell r="F376" t="str">
            <v>ЕвразМеталл Инпром, ОАО</v>
          </cell>
          <cell r="J376" t="str">
            <v>ЕвразМеталл Инпром, ОАО</v>
          </cell>
          <cell r="N376" t="str">
            <v>ЕвразМеталл Инпром, ОАО</v>
          </cell>
        </row>
        <row r="377">
          <cell r="F377" t="str">
            <v>ЕвразМеталл Казахстан</v>
          </cell>
          <cell r="J377" t="str">
            <v>ЕвразМеталл Казахстан</v>
          </cell>
          <cell r="N377" t="str">
            <v>ЕвразМеталл Казахстан</v>
          </cell>
        </row>
        <row r="378">
          <cell r="F378" t="str">
            <v>ЕвразМеталл Северо-Запад</v>
          </cell>
          <cell r="J378" t="str">
            <v>ЕвразМеталл Северо-Запад</v>
          </cell>
          <cell r="N378" t="str">
            <v>ЕвразМеталл Северо-Запад</v>
          </cell>
          <cell r="R378" t="str">
            <v>ЕвразМеталл Северо-Запад</v>
          </cell>
        </row>
        <row r="379">
          <cell r="F379" t="str">
            <v>ЕвразМеталл Сибирь</v>
          </cell>
          <cell r="J379" t="str">
            <v>ЕвразМеталл Сибирь</v>
          </cell>
          <cell r="N379" t="str">
            <v>ЕвразМеталл Сибирь</v>
          </cell>
        </row>
        <row r="380">
          <cell r="F380" t="str">
            <v>ЕвразМеталл Урал</v>
          </cell>
          <cell r="J380" t="str">
            <v>ЕвразМеталл Урал</v>
          </cell>
          <cell r="N380" t="str">
            <v>ЕвразМеталл Урал</v>
          </cell>
          <cell r="R380" t="str">
            <v>ЕвразМеталл Урал</v>
          </cell>
        </row>
        <row r="381">
          <cell r="F381" t="str">
            <v>ЕвразМеталл Центр</v>
          </cell>
          <cell r="J381" t="str">
            <v>ЕвразМеталл Центр</v>
          </cell>
          <cell r="N381" t="str">
            <v>ЕвразМеталл Центр</v>
          </cell>
          <cell r="R381" t="str">
            <v>ЕвразМеталл Центр</v>
          </cell>
        </row>
        <row r="382">
          <cell r="F382" t="str">
            <v>ЕвразМеталл Черноземье</v>
          </cell>
          <cell r="J382" t="str">
            <v>ЕвразМеталл Черноземье</v>
          </cell>
          <cell r="N382" t="str">
            <v>ЕвразМеталл Черноземье</v>
          </cell>
          <cell r="R382" t="str">
            <v>ЕвразМеталл Черноземье</v>
          </cell>
        </row>
        <row r="383">
          <cell r="F383" t="str">
            <v>ЕвразМеталл Юг</v>
          </cell>
        </row>
        <row r="384">
          <cell r="F384" t="str">
            <v>ЕвразМеталл, ООО</v>
          </cell>
        </row>
        <row r="385">
          <cell r="F385" t="str">
            <v>ЕвразМеталл-Поволжье ООО</v>
          </cell>
        </row>
        <row r="386">
          <cell r="F386" t="str">
            <v>ЕвразМеталл-Северо-Запад ООО</v>
          </cell>
        </row>
        <row r="387">
          <cell r="F387" t="str">
            <v>ЕвразМеталл-Сибирь ООО</v>
          </cell>
        </row>
        <row r="388">
          <cell r="F388" t="str">
            <v>ЕвразМеталл-Урал ООО</v>
          </cell>
        </row>
        <row r="389">
          <cell r="F389" t="str">
            <v>ЕвразМеталл-Центр ООО</v>
          </cell>
        </row>
        <row r="390">
          <cell r="F390" t="str">
            <v>ЕвразМеталл-Черноземье ООО</v>
          </cell>
        </row>
        <row r="391">
          <cell r="J391" t="str">
            <v>Евразруда (Группа)</v>
          </cell>
          <cell r="N391" t="str">
            <v>Евразруда (Группа)</v>
          </cell>
        </row>
        <row r="392">
          <cell r="F392" t="str">
            <v>ЕвразТранс Украина, ООО</v>
          </cell>
          <cell r="J392" t="str">
            <v>ЕвразТранс Украина, ООО</v>
          </cell>
          <cell r="N392" t="str">
            <v>ЕвразТранс Украина, ООО</v>
          </cell>
        </row>
        <row r="393">
          <cell r="F393" t="str">
            <v>ЕвразТранс Украина, ООО</v>
          </cell>
        </row>
        <row r="394">
          <cell r="F394" t="str">
            <v>ЕвразХолдинг Финанс, ООО</v>
          </cell>
          <cell r="J394" t="str">
            <v>ЕвразХолдинг Финанс, ООО</v>
          </cell>
          <cell r="N394" t="str">
            <v>ЕвразХолдинг Финанс, ООО</v>
          </cell>
        </row>
        <row r="396">
          <cell r="F396" t="str">
            <v>Евро-Люкс ООО</v>
          </cell>
          <cell r="J396" t="str">
            <v>Евро-Люкс ООО</v>
          </cell>
          <cell r="N396" t="str">
            <v>Евро-Люкс ООО</v>
          </cell>
          <cell r="R396" t="str">
            <v>Евро-Люкс ООО</v>
          </cell>
        </row>
        <row r="397">
          <cell r="J397" t="str">
            <v>Егоров Антон Александрович</v>
          </cell>
          <cell r="R397" t="str">
            <v>Егоров Антон Александрович</v>
          </cell>
        </row>
        <row r="398">
          <cell r="F398" t="str">
            <v>ЕСМ, ООО</v>
          </cell>
          <cell r="J398" t="str">
            <v>ЕСМ, ООО</v>
          </cell>
          <cell r="R398" t="str">
            <v>ЕСМ, ООО</v>
          </cell>
        </row>
        <row r="400">
          <cell r="F400" t="str">
            <v>ЗАО "Западно-Сибирское геологическое управление"</v>
          </cell>
        </row>
        <row r="401">
          <cell r="F401" t="str">
            <v>ЗАО "Машина непрерывного литья слябов"</v>
          </cell>
        </row>
        <row r="402">
          <cell r="F402" t="str">
            <v>ЗАО "Машина нерпрерывного литья заготовок N4"</v>
          </cell>
        </row>
        <row r="403">
          <cell r="F403" t="str">
            <v>ЗАО "НКМК-Инвест"</v>
          </cell>
        </row>
        <row r="404">
          <cell r="F404" t="str">
            <v>ЗАО "ОБЪЕДИНЕННЫЕ УЧЕТНЫЕ СИСТЕМЫ"</v>
          </cell>
          <cell r="J404" t="str">
            <v>ЗАО "ОБЪЕДИНЕННЫЕ УЧЕТНЫЕ СИСТЕМЫ"</v>
          </cell>
          <cell r="N404" t="str">
            <v>ЗАО "ОБЪЕДИНЕННЫЕ УЧЕТНЫЕ СИСТЕМЫ"</v>
          </cell>
        </row>
        <row r="405">
          <cell r="F405" t="str">
            <v>ЗАО "Промуглепроект"</v>
          </cell>
        </row>
        <row r="406">
          <cell r="F406" t="str">
            <v>ЗАО "Тагил Телеком"</v>
          </cell>
        </row>
        <row r="407">
          <cell r="F407" t="str">
            <v>ЗАО "УК "Южкузбассуголь"</v>
          </cell>
          <cell r="J407" t="str">
            <v>ЗАО "УК "Южкузбассуголь"</v>
          </cell>
          <cell r="N407" t="str">
            <v>ЗАО "УК "Южкузбассуголь"</v>
          </cell>
          <cell r="R407" t="str">
            <v>ЗАО "УК "Южкузбассуголь"</v>
          </cell>
        </row>
        <row r="408">
          <cell r="J408" t="str">
            <v>ЗАО УК Казанковская</v>
          </cell>
          <cell r="N408" t="str">
            <v>ЗАО УК Казанковская</v>
          </cell>
        </row>
        <row r="409">
          <cell r="F409" t="str">
            <v>ЗАО Ш/у Орджоникидзевское</v>
          </cell>
        </row>
        <row r="410">
          <cell r="J410" t="str">
            <v>ЗАПАДНО-СИБИРСКИЙ МЕТАЛЛУРГИЧЕСКИЙ КОМБИНАТ</v>
          </cell>
          <cell r="N410" t="str">
            <v>ЗАПАДНО-СИБИРСКИЙ МЕТАЛЛУРГИЧЕСКИЙ КОМБИНАТ</v>
          </cell>
        </row>
        <row r="411">
          <cell r="J411" t="str">
            <v>Западно-Сибирское геологическое управление (Группа)</v>
          </cell>
          <cell r="R411" t="str">
            <v>Западно-Сибирское геологическое управление (Группа)</v>
          </cell>
        </row>
        <row r="412">
          <cell r="F412" t="str">
            <v>Западные ворота, ООО</v>
          </cell>
          <cell r="J412" t="str">
            <v>Западные ворота, ООО</v>
          </cell>
          <cell r="R412" t="str">
            <v>Западные ворота, ООО</v>
          </cell>
        </row>
        <row r="413">
          <cell r="F413" t="str">
            <v>Зейская угольная компания, ООО</v>
          </cell>
          <cell r="J413" t="str">
            <v>Зейская угольная компания, ООО</v>
          </cell>
          <cell r="N413" t="str">
            <v>Зейская угольная компания, ООО</v>
          </cell>
          <cell r="R413" t="str">
            <v>Зейская угольная компания, ООО</v>
          </cell>
        </row>
        <row r="415">
          <cell r="J415" t="str">
            <v>Иванов Алексей Александрович</v>
          </cell>
          <cell r="R415" t="str">
            <v>Иванов Алексей Александрович</v>
          </cell>
        </row>
        <row r="417">
          <cell r="F417" t="str">
            <v>Издательский дом "ИКаР"</v>
          </cell>
          <cell r="J417" t="str">
            <v>Издательский дом "ИКаР"</v>
          </cell>
          <cell r="N417" t="str">
            <v>Издательский дом "ИКаР"</v>
          </cell>
          <cell r="R417" t="str">
            <v>Издательский дом "ИКаР"</v>
          </cell>
        </row>
        <row r="418">
          <cell r="F418" t="str">
            <v>Издательский дом, ООО</v>
          </cell>
        </row>
        <row r="419">
          <cell r="F419" t="str">
            <v>Измайловская мануфактура, ЗАО</v>
          </cell>
          <cell r="J419" t="str">
            <v>Измайловская мануфактура, ЗАО</v>
          </cell>
          <cell r="R419" t="str">
            <v>Измайловская мануфактура, ЗАО</v>
          </cell>
        </row>
        <row r="420">
          <cell r="F420" t="str">
            <v>Импекс-Металл ООО</v>
          </cell>
        </row>
        <row r="421">
          <cell r="F421" t="str">
            <v>Импульс ООО</v>
          </cell>
          <cell r="J421" t="str">
            <v>Импульс ООО</v>
          </cell>
          <cell r="R421" t="str">
            <v>Импульс ООО</v>
          </cell>
        </row>
        <row r="422">
          <cell r="F422" t="str">
            <v>Инвест АГ ООО</v>
          </cell>
        </row>
        <row r="423">
          <cell r="F423" t="str">
            <v>Инди -Ойл, ООО</v>
          </cell>
        </row>
        <row r="424">
          <cell r="J424" t="str">
            <v>Индустриальная вост.-европ-кая компания</v>
          </cell>
          <cell r="N424" t="str">
            <v>Индустриальная вост.-европ-кая компания</v>
          </cell>
        </row>
        <row r="425">
          <cell r="F425" t="str">
            <v>Индустриальная восточно-европейская компания, ООО</v>
          </cell>
          <cell r="J425" t="str">
            <v>Индустриальная восточно-европейская компания, ООО</v>
          </cell>
          <cell r="N425" t="str">
            <v>Индустриальная восточно-европейская компания, ООО</v>
          </cell>
        </row>
        <row r="426">
          <cell r="F426" t="str">
            <v>Инжиниринговый Центр Энерго, ООО</v>
          </cell>
        </row>
        <row r="427">
          <cell r="F427" t="str">
            <v>ИнжинирингСтрой, ООО</v>
          </cell>
        </row>
        <row r="428">
          <cell r="F428" t="str">
            <v>Институт антикризисного менеджмента ООО</v>
          </cell>
        </row>
        <row r="429">
          <cell r="F429" t="str">
            <v>ИнтерКИП ООО</v>
          </cell>
          <cell r="J429" t="str">
            <v>ИнтерКИП ООО</v>
          </cell>
          <cell r="N429" t="str">
            <v>ИнтерКИП ООО</v>
          </cell>
          <cell r="R429" t="str">
            <v>ИнтерКИП ООО</v>
          </cell>
        </row>
        <row r="430">
          <cell r="F430" t="str">
            <v>Интерлок-ДВ (охр. агентство)</v>
          </cell>
        </row>
        <row r="431">
          <cell r="F431" t="str">
            <v>Интерлок-ДВ-2 (охр. агентство)</v>
          </cell>
        </row>
        <row r="432">
          <cell r="F432" t="str">
            <v>Интерхаус, ООО</v>
          </cell>
          <cell r="J432" t="str">
            <v>Интерхаус, ООО</v>
          </cell>
          <cell r="R432" t="str">
            <v>Интерхаус, ООО</v>
          </cell>
        </row>
        <row r="433">
          <cell r="F433" t="str">
            <v>Информационные технологии, ООО</v>
          </cell>
          <cell r="J433" t="str">
            <v>Информационные технологии, ООО</v>
          </cell>
          <cell r="R433" t="str">
            <v>Информационные технологии, ООО</v>
          </cell>
        </row>
        <row r="434">
          <cell r="J434" t="str">
            <v>Ионова Наталья Леонидовна</v>
          </cell>
          <cell r="R434" t="str">
            <v>Ионова Наталья Леонидовна</v>
          </cell>
        </row>
        <row r="435">
          <cell r="F435" t="str">
            <v>Ирбинский рудник, ООО</v>
          </cell>
          <cell r="J435" t="str">
            <v>Ирбинский рудник, ООО</v>
          </cell>
          <cell r="N435" t="str">
            <v>Ирбинский рудник, ООО</v>
          </cell>
          <cell r="R435" t="str">
            <v>Ирбинский рудник, ООО</v>
          </cell>
        </row>
        <row r="436">
          <cell r="F436" t="str">
            <v>Иркутск-вторчермет, ЗАО</v>
          </cell>
          <cell r="J436" t="str">
            <v>Иркутск-вторчермет, ЗАО</v>
          </cell>
          <cell r="R436" t="str">
            <v>Иркутск-вторчермет, ЗАО</v>
          </cell>
        </row>
        <row r="437">
          <cell r="F437" t="str">
            <v>ИСК "Междуреченскстрой",ЗАО</v>
          </cell>
        </row>
        <row r="438">
          <cell r="F438" t="str">
            <v>Исследовательский Центр, ООО</v>
          </cell>
          <cell r="J438" t="str">
            <v>Исследовательский Центр, ООО</v>
          </cell>
          <cell r="N438" t="str">
            <v>Исследовательский Центр, ООО</v>
          </cell>
          <cell r="R438" t="str">
            <v>Исследовательский Центр, ООО</v>
          </cell>
        </row>
        <row r="439">
          <cell r="F439" t="str">
            <v>Ист Пан Групп ООО (РФ)</v>
          </cell>
        </row>
        <row r="440">
          <cell r="F440" t="str">
            <v>ИЦЭ Урала, ОАО</v>
          </cell>
        </row>
        <row r="441">
          <cell r="F441" t="str">
            <v>КавказАгро-2, ООО</v>
          </cell>
          <cell r="J441" t="str">
            <v>КавказАгро-2, ООО</v>
          </cell>
          <cell r="R441" t="str">
            <v>КавказАгро-2, ООО</v>
          </cell>
        </row>
        <row r="442">
          <cell r="F442" t="str">
            <v>КавказАгро-4, ООО</v>
          </cell>
          <cell r="J442" t="str">
            <v>КавказАгро-4, ООО</v>
          </cell>
          <cell r="R442" t="str">
            <v>КавказАгро-4, ООО</v>
          </cell>
        </row>
        <row r="443">
          <cell r="F443" t="str">
            <v>КавказАгро-6, ООО</v>
          </cell>
          <cell r="J443" t="str">
            <v>КавказАгро-6, ООО</v>
          </cell>
          <cell r="R443" t="str">
            <v>КавказАгро-6, ООО</v>
          </cell>
        </row>
        <row r="444">
          <cell r="F444" t="str">
            <v>КавказАгро-7, ООО</v>
          </cell>
          <cell r="J444" t="str">
            <v>КавказАгро-7, ООО</v>
          </cell>
          <cell r="R444" t="str">
            <v>КавказАгро-7, ООО</v>
          </cell>
        </row>
        <row r="445">
          <cell r="F445" t="str">
            <v>Казанковская ЗАО УК</v>
          </cell>
          <cell r="J445" t="str">
            <v>Казанковская ЗАО УК</v>
          </cell>
          <cell r="N445" t="str">
            <v>Казанковская ЗАО УК</v>
          </cell>
          <cell r="R445" t="str">
            <v>Казанковская ЗАО УК</v>
          </cell>
        </row>
        <row r="447">
          <cell r="F447" t="str">
            <v>Калугаметалторг, ОАО</v>
          </cell>
        </row>
        <row r="448">
          <cell r="F448" t="str">
            <v>Карбофер Металл Дагестан</v>
          </cell>
        </row>
        <row r="449">
          <cell r="F449" t="str">
            <v>Катуар Девелопмент, ООО</v>
          </cell>
          <cell r="J449" t="str">
            <v>Катуар Девелопмент, ООО</v>
          </cell>
          <cell r="R449" t="str">
            <v>Катуар Девелопмент, ООО</v>
          </cell>
        </row>
        <row r="450">
          <cell r="F450" t="str">
            <v>Качканарская теплоснабжающая компания,ООО</v>
          </cell>
          <cell r="J450" t="str">
            <v>Качканарская теплоснабжающая компания,ООО</v>
          </cell>
          <cell r="N450" t="str">
            <v>Качканарская теплоснабжающая компания,ООО</v>
          </cell>
        </row>
        <row r="451">
          <cell r="J451" t="str">
            <v>Качканарский горно-обогатительный комбинат (Группа)</v>
          </cell>
          <cell r="N451" t="str">
            <v>Качканарский горно-обогатительный комбинат (Группа)</v>
          </cell>
        </row>
        <row r="452">
          <cell r="J452" t="str">
            <v>Качур Леонид Михайлович</v>
          </cell>
          <cell r="R452" t="str">
            <v>Качур Леонид Михайлович</v>
          </cell>
        </row>
        <row r="453">
          <cell r="F453" t="str">
            <v>КБ "Гарант-Инвест"</v>
          </cell>
        </row>
        <row r="457">
          <cell r="F457" t="str">
            <v>Коксовая, ЗАО</v>
          </cell>
        </row>
        <row r="458">
          <cell r="F458" t="str">
            <v>Компас, ООО</v>
          </cell>
        </row>
        <row r="459">
          <cell r="F459" t="str">
            <v>Комсомольская Контора МТС, ЗАО</v>
          </cell>
        </row>
        <row r="461">
          <cell r="F461" t="str">
            <v>КПИТ Реал-Запсиб</v>
          </cell>
        </row>
        <row r="462">
          <cell r="F462" t="str">
            <v>Краснокаменское РУ, ОАО</v>
          </cell>
        </row>
        <row r="463">
          <cell r="F463" t="str">
            <v>Красносулинский ЗМК Стройметкон, ОАО</v>
          </cell>
        </row>
        <row r="464">
          <cell r="F464" t="str">
            <v>Криворожшахтострой, ООО</v>
          </cell>
          <cell r="J464" t="str">
            <v>Криворожшахтострой, ООО</v>
          </cell>
          <cell r="N464" t="str">
            <v>Криворожшахтострой, ООО</v>
          </cell>
          <cell r="R464" t="str">
            <v>Криворожшахтострой, ООО</v>
          </cell>
        </row>
        <row r="465">
          <cell r="F465" t="str">
            <v>Кузбасская консалтинговая компания, ЗАО</v>
          </cell>
        </row>
        <row r="466">
          <cell r="F466" t="str">
            <v>КузнецкТеплоСбыт ООО</v>
          </cell>
          <cell r="J466" t="str">
            <v>КузнецкТеплоСбыт ООО</v>
          </cell>
          <cell r="N466" t="str">
            <v>КузнецкТеплоСбыт ООО</v>
          </cell>
        </row>
        <row r="467">
          <cell r="J467" t="str">
            <v>Кузнецов Александр Владимирович</v>
          </cell>
          <cell r="R467" t="str">
            <v>Кузнецов Александр Владимирович</v>
          </cell>
        </row>
        <row r="470">
          <cell r="F470" t="str">
            <v>Культурно-спортивный центр металлургов</v>
          </cell>
        </row>
        <row r="471">
          <cell r="J471" t="str">
            <v>Кушнарев Алексей Владиславович</v>
          </cell>
          <cell r="R471" t="str">
            <v>Кушнарев Алексей Владиславович</v>
          </cell>
        </row>
        <row r="473">
          <cell r="F473" t="str">
            <v>Леальта, ООО</v>
          </cell>
          <cell r="J473" t="str">
            <v>Леальта, ООО</v>
          </cell>
          <cell r="R473" t="str">
            <v>Леальта, ООО</v>
          </cell>
        </row>
        <row r="474">
          <cell r="F474" t="str">
            <v>Легис, ООО</v>
          </cell>
          <cell r="J474" t="str">
            <v>Легис, ООО</v>
          </cell>
          <cell r="R474" t="str">
            <v>Легис, ООО</v>
          </cell>
        </row>
        <row r="478">
          <cell r="F478" t="str">
            <v>Марьино Девелопмент, OOO</v>
          </cell>
          <cell r="J478" t="str">
            <v>Марьино Девелопмент, OOO</v>
          </cell>
          <cell r="R478" t="str">
            <v>Марьино Девелопмент, OOO</v>
          </cell>
        </row>
        <row r="479">
          <cell r="F479" t="str">
            <v>Медицинский центр Спас-03, ООО</v>
          </cell>
        </row>
        <row r="480">
          <cell r="F480" t="str">
            <v>Междуреченский завод КПДС, ЗАО</v>
          </cell>
        </row>
        <row r="481">
          <cell r="J481" t="str">
            <v>Межегейуголь (Группа)</v>
          </cell>
          <cell r="N481" t="str">
            <v>Межегейуголь (Группа)</v>
          </cell>
        </row>
        <row r="482">
          <cell r="F482" t="str">
            <v>Межегейуголь ООО</v>
          </cell>
        </row>
        <row r="483">
          <cell r="J483" t="str">
            <v>Мельниченко Владимир Федорович</v>
          </cell>
          <cell r="R483" t="str">
            <v>Мельниченко Владимир Федорович</v>
          </cell>
        </row>
        <row r="484">
          <cell r="F484" t="str">
            <v>Меридиан, ООО</v>
          </cell>
        </row>
        <row r="485">
          <cell r="F485" t="str">
            <v>Металлосервисные центры, АО</v>
          </cell>
        </row>
        <row r="486">
          <cell r="J486" t="str">
            <v>Металлургический (Сегмент)</v>
          </cell>
          <cell r="N486" t="str">
            <v>Металлургический (Сегмент)</v>
          </cell>
        </row>
        <row r="487">
          <cell r="J487" t="str">
            <v>Металлэнергофинанс (Группа)</v>
          </cell>
          <cell r="N487" t="str">
            <v>Металлэнергофинанс (Группа)</v>
          </cell>
        </row>
        <row r="488">
          <cell r="F488" t="str">
            <v>Метпромстрой, ООО</v>
          </cell>
        </row>
        <row r="489">
          <cell r="F489" t="str">
            <v>Мирный атом 1, ЗАО</v>
          </cell>
        </row>
        <row r="490">
          <cell r="F490" t="str">
            <v>МКМ-Логистика, ООО</v>
          </cell>
          <cell r="J490" t="str">
            <v>МКМ-Логистика, ООО</v>
          </cell>
          <cell r="R490" t="str">
            <v>МКМ-Логистика, ООО</v>
          </cell>
        </row>
        <row r="491">
          <cell r="F491" t="str">
            <v>ММК Альтрейд, ООО</v>
          </cell>
          <cell r="J491" t="str">
            <v>ММК Альтрейд, ООО</v>
          </cell>
          <cell r="N491" t="str">
            <v>ММК Альтрейд, ООО</v>
          </cell>
          <cell r="R491" t="str">
            <v>ММК Альтрейд, ООО</v>
          </cell>
        </row>
        <row r="494">
          <cell r="F494" t="str">
            <v>Монтажник Распадской, OOO</v>
          </cell>
          <cell r="J494" t="str">
            <v>Монтажник Распадской, OOO</v>
          </cell>
          <cell r="N494" t="str">
            <v>Монтажник Распадской, OOO</v>
          </cell>
        </row>
        <row r="495">
          <cell r="F495" t="str">
            <v>Мордовметаллторг, ОАО</v>
          </cell>
        </row>
        <row r="496">
          <cell r="F496" t="str">
            <v>МоскомприватБанк</v>
          </cell>
        </row>
        <row r="497">
          <cell r="J497" t="str">
            <v>Мощевитин Андрей Анатольевич</v>
          </cell>
          <cell r="R497" t="str">
            <v>Мощевитин Андрей Анатольевич</v>
          </cell>
        </row>
        <row r="498">
          <cell r="F498" t="str">
            <v>МУК-96, ОАО</v>
          </cell>
          <cell r="J498" t="str">
            <v>МУК-96, ОАО</v>
          </cell>
          <cell r="N498" t="str">
            <v>МУК-96, ОАО</v>
          </cell>
        </row>
        <row r="499">
          <cell r="F499" t="str">
            <v>Мундыбашская обогатительная фабрика,ООО</v>
          </cell>
        </row>
        <row r="501">
          <cell r="J501" t="str">
            <v>Натрусов Артем Владимирович</v>
          </cell>
          <cell r="R501" t="str">
            <v>Натрусов Артем Владимирович</v>
          </cell>
        </row>
        <row r="502">
          <cell r="J502" t="str">
            <v>Находкинский морской торговый порт</v>
          </cell>
          <cell r="N502" t="str">
            <v>Находкинский морской торговый порт</v>
          </cell>
        </row>
        <row r="503">
          <cell r="F503" t="str">
            <v>НГК Ресурс, ООО</v>
          </cell>
          <cell r="J503" t="str">
            <v>НГК Ресурс, ООО</v>
          </cell>
          <cell r="R503" t="str">
            <v>НГК Ресурс, ООО</v>
          </cell>
        </row>
        <row r="504">
          <cell r="F504" t="str">
            <v>Не исп.</v>
          </cell>
          <cell r="J504" t="str">
            <v>Не исп.</v>
          </cell>
          <cell r="R504" t="str">
            <v>Не исп.</v>
          </cell>
        </row>
        <row r="505">
          <cell r="F505" t="str">
            <v>Некоммерч.партнерство "НХК "Металлург"</v>
          </cell>
        </row>
        <row r="506">
          <cell r="J506" t="str">
            <v>Непрофильные активы (Сегмент)</v>
          </cell>
          <cell r="N506" t="str">
            <v>Непрофильные активы (Сегмент)</v>
          </cell>
        </row>
        <row r="507">
          <cell r="F507" t="str">
            <v>Нижнетагильская компания "Телекон", ЗАО</v>
          </cell>
          <cell r="J507" t="str">
            <v>Нижнетагильская компания "Телекон", ЗАО</v>
          </cell>
          <cell r="N507" t="str">
            <v>Нижнетагильская компания "Телекон", ЗАО</v>
          </cell>
        </row>
        <row r="508">
          <cell r="J508" t="str">
            <v>НИЖНЕТАГИЛЬСКИЙ МЕТАЛЛУРГИЧЕСКИЙ КОМБИНАТ</v>
          </cell>
          <cell r="N508" t="str">
            <v>НИЖНЕТАГИЛЬСКИЙ МЕТАЛЛУРГИЧЕСКИЙ КОМБИНАТ</v>
          </cell>
        </row>
        <row r="509">
          <cell r="F509" t="str">
            <v>Нижняя Красносельская, ЗАО</v>
          </cell>
          <cell r="J509" t="str">
            <v>Нижняя Красносельская, ЗАО</v>
          </cell>
          <cell r="R509" t="str">
            <v>Нижняя Красносельская, ЗАО</v>
          </cell>
        </row>
        <row r="510">
          <cell r="F510" t="str">
            <v>Николаевская-на-Амуре РЭБ флота, ЗАО</v>
          </cell>
        </row>
        <row r="511">
          <cell r="J511" t="str">
            <v>Новоженов Денис Анатольевич</v>
          </cell>
          <cell r="R511" t="str">
            <v>Новоженов Денис Анатольевич</v>
          </cell>
        </row>
        <row r="512">
          <cell r="J512" t="str">
            <v>Новокузнецкий металлургический комбинат</v>
          </cell>
          <cell r="N512" t="str">
            <v>Новокузнецкий металлургический комбинат</v>
          </cell>
        </row>
        <row r="514">
          <cell r="F514" t="str">
            <v>Новокузнецкий хоккейный клуб "Металлург" ОАО</v>
          </cell>
        </row>
        <row r="515">
          <cell r="F515" t="str">
            <v>Новокузнецкметаллоптторг ОАО</v>
          </cell>
          <cell r="J515" t="str">
            <v>Новокузнецкметаллоптторг ОАО</v>
          </cell>
          <cell r="R515" t="str">
            <v>Новокузнецкметаллоптторг ОАО</v>
          </cell>
        </row>
        <row r="516">
          <cell r="F516" t="str">
            <v>Новопетровские земли, ООО</v>
          </cell>
          <cell r="J516" t="str">
            <v>Новопетровские земли, ООО</v>
          </cell>
          <cell r="R516" t="str">
            <v>Новопетровские земли, ООО</v>
          </cell>
        </row>
        <row r="517">
          <cell r="F517" t="str">
            <v>НП Социальный Совет группы ЕвразХолдинг</v>
          </cell>
          <cell r="J517" t="str">
            <v>НП Социальный Совет группы ЕвразХолдинг</v>
          </cell>
          <cell r="R517" t="str">
            <v>НП Социальный Совет группы ЕвразХолдинг</v>
          </cell>
        </row>
        <row r="518">
          <cell r="F518" t="str">
            <v>НПФ Металлургов, АО</v>
          </cell>
          <cell r="J518" t="str">
            <v>НПФ Металлургов, АО</v>
          </cell>
          <cell r="R518" t="str">
            <v>НПФ Металлургов, АО</v>
          </cell>
        </row>
        <row r="519">
          <cell r="F519" t="str">
            <v>НПФ НАЦИОНАЛЬНЫЙ НЕГОСУДАРСТВЕННЫЙ ФОНД ПЕНСИОННОГО И СОЦИА</v>
          </cell>
        </row>
        <row r="521">
          <cell r="F521" t="str">
            <v>НЧ "Центр подготовки персонала Евраз-Сибирь"</v>
          </cell>
        </row>
        <row r="522">
          <cell r="F522" t="str">
            <v>НЧ "Центр подготовки персонала Евраз-Урал"</v>
          </cell>
          <cell r="J522" t="str">
            <v>НЧ "Центр подготовки персонала Евраз-Урал"</v>
          </cell>
          <cell r="N522" t="str">
            <v>НЧ "Центр подготовки персонала Евраз-Урал"</v>
          </cell>
          <cell r="R522" t="str">
            <v>НЧ "Центр подготовки персонала Евраз-Урал"</v>
          </cell>
        </row>
        <row r="523">
          <cell r="F523" t="str">
            <v>НЧОУ Объединение детских садов НТМК</v>
          </cell>
        </row>
        <row r="524">
          <cell r="F524" t="str">
            <v>ОАО "ГИДРОМАШ"</v>
          </cell>
        </row>
        <row r="525">
          <cell r="F525" t="str">
            <v>ОАО "Дежневская"</v>
          </cell>
          <cell r="J525" t="str">
            <v>ОАО "Дежневская"</v>
          </cell>
          <cell r="N525" t="str">
            <v>ОАО "Дежневская"</v>
          </cell>
        </row>
        <row r="526">
          <cell r="F526" t="str">
            <v>ОАО "ЕВРАЗ НИЖНЕТАГИЛЬСКИЙ МЕТАЛЛУРГИЧЕСКИЙ КОМБИНАТ"</v>
          </cell>
          <cell r="J526" t="str">
            <v>ОАО "ЕВРАЗ НИЖНЕТАГИЛЬСКИЙ МЕТАЛЛУРГИЧЕСКИЙ КОМБИНАТ"</v>
          </cell>
          <cell r="N526" t="str">
            <v>ОАО "ЕВРАЗ НИЖНЕТАГИЛЬСКИЙ МЕТАЛЛУРГИЧЕСКИЙ КОМБИНАТ"</v>
          </cell>
        </row>
        <row r="527">
          <cell r="F527" t="str">
            <v>ОАО "Евразруда"</v>
          </cell>
          <cell r="J527" t="str">
            <v>ОАО "Евразруда"</v>
          </cell>
          <cell r="N527" t="str">
            <v>ОАО "Евразруда"</v>
          </cell>
        </row>
        <row r="528">
          <cell r="F528" t="str">
            <v>ОАО "ЗАГОРСКАЯ АВТОБАЗА"</v>
          </cell>
        </row>
        <row r="529">
          <cell r="F529" t="str">
            <v>ОАО "ЗАПАДНО-СИБИРСКАЯ ТЭЦ"</v>
          </cell>
        </row>
        <row r="530">
          <cell r="F530" t="str">
            <v>ОАО "ЗСИЦентр"</v>
          </cell>
        </row>
        <row r="531">
          <cell r="F531" t="str">
            <v>ОАО "ЗТБД"</v>
          </cell>
        </row>
        <row r="532">
          <cell r="F532" t="str">
            <v>ОАО "Информационные системы"</v>
          </cell>
          <cell r="J532" t="str">
            <v>ОАО "Информационные системы"</v>
          </cell>
          <cell r="N532" t="str">
            <v>ОАО "Информационные системы"</v>
          </cell>
          <cell r="R532" t="str">
            <v>ОАО "Информационные системы"</v>
          </cell>
        </row>
        <row r="533">
          <cell r="J533" t="str">
            <v>ОАО "Качканарский горно-обогатительный комбинат "Ванадий""</v>
          </cell>
          <cell r="N533" t="str">
            <v>ОАО "Качканарский горно-обогатительный комбинат "Ванадий""</v>
          </cell>
        </row>
        <row r="534">
          <cell r="J534" t="str">
            <v>ОАО "Качканарский горно-обогатительный комбинат "Ванадий""</v>
          </cell>
          <cell r="R534" t="str">
            <v>ОАО "Качканарский горно-обогатительный комбинат "Ванадий""</v>
          </cell>
        </row>
        <row r="535">
          <cell r="F535" t="str">
            <v>ОАО "КУЗНЕЦКПОГРУЗТРАНС"</v>
          </cell>
          <cell r="J535" t="str">
            <v>ОАО "КУЗНЕЦКПОГРУЗТРАНС"</v>
          </cell>
          <cell r="N535" t="str">
            <v>ОАО "КУЗНЕЦКПОГРУЗТРАНС"</v>
          </cell>
        </row>
        <row r="536">
          <cell r="F536" t="str">
            <v>ОАО "КУЙБЫШЕВСКАЯ АВТОБАЗА"</v>
          </cell>
        </row>
        <row r="537">
          <cell r="J537" t="str">
            <v>ОАО "НИЖНЕТАГИЛЬСКИЙ МЕТАЛЛУРГИЧЕСКИЙ КОМБИНАТ" (Ванадий)</v>
          </cell>
          <cell r="N537" t="str">
            <v>ОАО "НИЖНЕТАГИЛЬСКИЙ МЕТАЛЛУРГИЧЕСКИЙ КОМБИНАТ" (Ванадий)</v>
          </cell>
        </row>
        <row r="538">
          <cell r="F538" t="str">
            <v>ОАО "Новокузнецкий металлургический комбинат"</v>
          </cell>
          <cell r="J538" t="str">
            <v>ОАО "Новокузнецкий металлургический комбинат"</v>
          </cell>
          <cell r="N538" t="str">
            <v>ОАО "Новокузнецкий металлургический комбинат"</v>
          </cell>
          <cell r="R538" t="str">
            <v>ОАО "Новокузнецкий металлургический комбинат"</v>
          </cell>
        </row>
        <row r="539">
          <cell r="F539" t="str">
            <v>ОАО "ОБНОРСКАЯ АВТОБАЗА"</v>
          </cell>
        </row>
        <row r="540">
          <cell r="F540" t="str">
            <v>ОАО "Объединенная угольная компания "Южкузбассуголь"</v>
          </cell>
          <cell r="J540" t="str">
            <v>ОАО "Объединенная угольная компания "Южкузбассуголь"</v>
          </cell>
          <cell r="N540" t="str">
            <v>ОАО "Объединенная угольная компания "Южкузбассуголь"</v>
          </cell>
        </row>
        <row r="541">
          <cell r="F541" t="str">
            <v>ОАО "Осинниковская автобаза"</v>
          </cell>
        </row>
        <row r="542">
          <cell r="F542" t="str">
            <v>ОАО "Осинниковский РМЗ"</v>
          </cell>
        </row>
        <row r="543">
          <cell r="F543" t="str">
            <v>ОАО "Соловьевогорский карьер"</v>
          </cell>
        </row>
        <row r="544">
          <cell r="F544" t="str">
            <v>ОАО "СШМНУ"</v>
          </cell>
        </row>
        <row r="545">
          <cell r="F545" t="str">
            <v>ОАО "Тагилбанк"</v>
          </cell>
        </row>
        <row r="546">
          <cell r="F546" t="str">
            <v>ОАО "УК "Нерюнгриуголь"</v>
          </cell>
        </row>
        <row r="547">
          <cell r="F547" t="str">
            <v>ОАО "УМТС АО УК "Кузнецкуголь"</v>
          </cell>
        </row>
        <row r="548">
          <cell r="F548" t="str">
            <v>ОАО "ЦОФ Кузнецкая"</v>
          </cell>
          <cell r="J548" t="str">
            <v>ОАО "ЦОФ Кузнецкая"</v>
          </cell>
          <cell r="N548" t="str">
            <v>ОАО "ЦОФ Кузнецкая"</v>
          </cell>
        </row>
        <row r="549">
          <cell r="F549" t="str">
            <v>ОАО "Электросвязь ЮКУ"</v>
          </cell>
          <cell r="J549" t="str">
            <v>ОАО "Электросвязь ЮКУ"</v>
          </cell>
          <cell r="N549" t="str">
            <v>ОАО "Электросвязь ЮКУ"</v>
          </cell>
          <cell r="R549" t="str">
            <v>ОАО "Электросвязь ЮКУ"</v>
          </cell>
        </row>
        <row r="550">
          <cell r="F550" t="str">
            <v>ОАО Шахта Шушталепская</v>
          </cell>
        </row>
        <row r="551">
          <cell r="J551" t="str">
            <v>Обединённые учетные системы (Группа)</v>
          </cell>
          <cell r="N551" t="str">
            <v>Обединённые учетные системы (Группа)</v>
          </cell>
        </row>
        <row r="553">
          <cell r="F553" t="str">
            <v>Облачный контент, ООО</v>
          </cell>
          <cell r="J553" t="str">
            <v>Облачный контент, ООО</v>
          </cell>
          <cell r="R553" t="str">
            <v>Облачный контент, ООО</v>
          </cell>
        </row>
        <row r="554">
          <cell r="F554" t="str">
            <v>Обогатительная фабрика Распадская, ЗАО</v>
          </cell>
          <cell r="J554" t="str">
            <v>Обогатительная фабрика Распадская, ЗАО</v>
          </cell>
          <cell r="N554" t="str">
            <v>Обогатительная фабрика Распадская, ЗАО</v>
          </cell>
        </row>
        <row r="555">
          <cell r="F555" t="str">
            <v>Общество Пенсионер "Распадской"</v>
          </cell>
        </row>
        <row r="556">
          <cell r="F556" t="str">
            <v>ОВТ-Приват</v>
          </cell>
        </row>
        <row r="557">
          <cell r="F557" t="str">
            <v>Ольжерасское шахтопроходческое управление, OAO</v>
          </cell>
        </row>
        <row r="558">
          <cell r="F558" t="str">
            <v>ООО "Абаза-Ремонт"</v>
          </cell>
        </row>
        <row r="559">
          <cell r="F559" t="str">
            <v>ООО "Абаза-Энерго"</v>
          </cell>
        </row>
        <row r="560">
          <cell r="F560" t="str">
            <v>ООО "Автотранспортное предприятие ЗСМК"</v>
          </cell>
        </row>
        <row r="561">
          <cell r="F561" t="str">
            <v>ООО "Автотранспортное предприятие НТМК"</v>
          </cell>
        </row>
        <row r="562">
          <cell r="F562" t="str">
            <v>ООО "АВТОЦЕХ-ВГОК"</v>
          </cell>
          <cell r="J562" t="str">
            <v>ООО "АВТОЦЕХ-ВГОК"</v>
          </cell>
          <cell r="N562" t="str">
            <v>ООО "АВТОЦЕХ-ВГОК"</v>
          </cell>
          <cell r="R562" t="str">
            <v>ООО "АВТОЦЕХ-ВГОК"</v>
          </cell>
        </row>
        <row r="563">
          <cell r="F563" t="str">
            <v>ООО "Аист"</v>
          </cell>
        </row>
        <row r="564">
          <cell r="F564" t="str">
            <v>ООО "АТП "ЮЖКУЗБАССУГОЛЬ"</v>
          </cell>
          <cell r="J564" t="str">
            <v>ООО "АТП "ЮЖКУЗБАССУГОЛЬ"</v>
          </cell>
          <cell r="N564" t="str">
            <v>ООО "АТП "ЮЖКУЗБАССУГОЛЬ"</v>
          </cell>
        </row>
        <row r="565">
          <cell r="F565" t="str">
            <v>ООО "БЕТОННО-РАСТВОРНЫЙ ЗАВОД ЗСМК"</v>
          </cell>
        </row>
        <row r="566">
          <cell r="F566" t="str">
            <v>ООО "БЛАГОУСТРОЙСТВО ЗАПСИБА"</v>
          </cell>
        </row>
        <row r="567">
          <cell r="F567" t="str">
            <v>ООО "Ванадийсервис"</v>
          </cell>
          <cell r="J567" t="str">
            <v>ООО "Ванадийсервис"</v>
          </cell>
          <cell r="N567" t="str">
            <v>ООО "Ванадийсервис"</v>
          </cell>
          <cell r="R567" t="str">
            <v>ООО "Ванадийсервис"</v>
          </cell>
        </row>
        <row r="568">
          <cell r="F568" t="str">
            <v>ООО "ВГОК-Специализированное ремонтное предприятие"</v>
          </cell>
        </row>
        <row r="569">
          <cell r="F569" t="str">
            <v>ООО "Вторресурс-Переработка Урал"</v>
          </cell>
        </row>
        <row r="570">
          <cell r="F570" t="str">
            <v>ООО "ЕВРАЗ УКРАИНА"</v>
          </cell>
        </row>
        <row r="571">
          <cell r="F571" t="str">
            <v>ООО "ЕвразСервис"</v>
          </cell>
          <cell r="J571" t="str">
            <v>ООО "ЕвразСервис"</v>
          </cell>
          <cell r="N571" t="str">
            <v>ООО "ЕвразСервис"</v>
          </cell>
        </row>
        <row r="572">
          <cell r="F572" t="str">
            <v>ООО "ЕвразСервис-Сибирь"</v>
          </cell>
          <cell r="J572" t="str">
            <v>ООО "ЕвразСервис-Сибирь"</v>
          </cell>
          <cell r="N572" t="str">
            <v>ООО "ЕвразСервис-Сибирь"</v>
          </cell>
          <cell r="R572" t="str">
            <v>ООО "ЕвразСервис-Сибирь"</v>
          </cell>
        </row>
        <row r="573">
          <cell r="F573" t="str">
            <v>ООО "ЕвразТехника"</v>
          </cell>
          <cell r="J573" t="str">
            <v>ООО "ЕвразТехника"</v>
          </cell>
          <cell r="N573" t="str">
            <v>ООО "ЕвразТехника"</v>
          </cell>
        </row>
        <row r="574">
          <cell r="F574" t="str">
            <v>ООО "ЕвразТранс"</v>
          </cell>
          <cell r="J574" t="str">
            <v>ООО "ЕвразТранс"</v>
          </cell>
          <cell r="N574" t="str">
            <v>ООО "ЕвразТранс"</v>
          </cell>
          <cell r="R574" t="str">
            <v>ООО "ЕвразТранс"</v>
          </cell>
        </row>
        <row r="575">
          <cell r="F575" t="str">
            <v>ООО "ЕвразХолдинг"</v>
          </cell>
          <cell r="J575" t="str">
            <v>ООО "ЕвразХолдинг"</v>
          </cell>
          <cell r="N575" t="str">
            <v>ООО "ЕвразХолдинг"</v>
          </cell>
        </row>
        <row r="576">
          <cell r="F576" t="str">
            <v>ООО "ЕвразЭнергоТранс"</v>
          </cell>
          <cell r="J576" t="str">
            <v>ООО "ЕвразЭнергоТранс"</v>
          </cell>
          <cell r="N576" t="str">
            <v>ООО "ЕвразЭнергоТранс"</v>
          </cell>
        </row>
        <row r="577">
          <cell r="F577" t="str">
            <v>ООО "Евро-Азиатская энергетическая компания"</v>
          </cell>
          <cell r="J577" t="str">
            <v>ООО "Евро-Азиатская энергетическая компания"</v>
          </cell>
          <cell r="N577" t="str">
            <v>ООО "Евро-Азиатская энергетическая компания"</v>
          </cell>
          <cell r="R577" t="str">
            <v>ООО "Евро-Азиатская энергетическая компания"</v>
          </cell>
        </row>
        <row r="578">
          <cell r="F578" t="str">
            <v>ООО "Завод металлургических реагентов"</v>
          </cell>
          <cell r="J578" t="str">
            <v>ООО "Завод металлургических реагентов"</v>
          </cell>
          <cell r="R578" t="str">
            <v>ООО "Завод металлургических реагентов"</v>
          </cell>
        </row>
        <row r="579">
          <cell r="F579" t="str">
            <v>ООО "Завод по ремонту технологического оборудования"</v>
          </cell>
        </row>
        <row r="580">
          <cell r="F580" t="str">
            <v>ООО "ЗАПСИБ-АЗИЯ"</v>
          </cell>
        </row>
        <row r="581">
          <cell r="F581" t="str">
            <v>ООО "ЗАПСИБЖИЛСТРОЙ"</v>
          </cell>
        </row>
        <row r="582">
          <cell r="F582" t="str">
            <v>ООО "Запсибмеханоремонт"</v>
          </cell>
        </row>
        <row r="583">
          <cell r="F583" t="str">
            <v>ООО "ЗАПСИБРЕМОНТ"</v>
          </cell>
        </row>
        <row r="584">
          <cell r="F584" t="str">
            <v>ООО "ЗАПСИБСПЕЦРЕМСТРОЙ"</v>
          </cell>
        </row>
        <row r="585">
          <cell r="F585" t="str">
            <v>ООО "ЗАПСИБЭНЕРГОРЕМОНТ"</v>
          </cell>
        </row>
        <row r="586">
          <cell r="F586" t="str">
            <v>ООО "Интерлок-Днепр"</v>
          </cell>
          <cell r="J586" t="str">
            <v>ООО "Интерлок-Днепр"</v>
          </cell>
          <cell r="N586" t="str">
            <v>ООО "Интерлок-Днепр"</v>
          </cell>
          <cell r="R586" t="str">
            <v>ООО "Интерлок-Днепр"</v>
          </cell>
        </row>
        <row r="587">
          <cell r="F587" t="str">
            <v>ООО "Ирбинские энергосети"</v>
          </cell>
          <cell r="J587" t="str">
            <v>ООО "Ирбинские энергосети"</v>
          </cell>
          <cell r="N587" t="str">
            <v>ООО "Ирбинские энергосети"</v>
          </cell>
          <cell r="R587" t="str">
            <v>ООО "Ирбинские энергосети"</v>
          </cell>
        </row>
        <row r="588">
          <cell r="F588" t="str">
            <v>ООО "Комплекс"</v>
          </cell>
        </row>
        <row r="589">
          <cell r="F589" t="str">
            <v>ООО "Консорциум "Тувинские дороги" (Россия)</v>
          </cell>
          <cell r="J589" t="str">
            <v>ООО "Консорциум "Тувинские дороги" (Россия)</v>
          </cell>
          <cell r="N589" t="str">
            <v>ООО "Консорциум "Тувинские дороги" (Россия)</v>
          </cell>
        </row>
        <row r="590">
          <cell r="F590" t="str">
            <v>ООО "Культурно-спортивный комплекс"</v>
          </cell>
        </row>
        <row r="591">
          <cell r="F591" t="str">
            <v>ООО "ЛК Аджалык"</v>
          </cell>
        </row>
        <row r="592">
          <cell r="F592" t="str">
            <v>ООО "МАШЗАВОД ИМ. И.С.ЧЕРНЫХ"</v>
          </cell>
        </row>
        <row r="593">
          <cell r="F593" t="str">
            <v>ООО "Медиахолдинг "Провинция"</v>
          </cell>
        </row>
        <row r="594">
          <cell r="J594" t="str">
            <v>ООО "Медиахолдинг "Провинция"</v>
          </cell>
          <cell r="N594" t="str">
            <v>ООО "Медиахолдинг "Провинция"</v>
          </cell>
        </row>
        <row r="595">
          <cell r="F595" t="str">
            <v>ООО "Медико-санитарная часть Ванадий"</v>
          </cell>
          <cell r="J595" t="str">
            <v>ООО "Медико-санитарная часть Ванадий"</v>
          </cell>
          <cell r="N595" t="str">
            <v>ООО "Медико-санитарная часть Ванадий"</v>
          </cell>
          <cell r="R595" t="str">
            <v>ООО "Медико-санитарная часть Ванадий"</v>
          </cell>
        </row>
        <row r="596">
          <cell r="F596" t="str">
            <v>ООО "Металлургремстрой"</v>
          </cell>
        </row>
        <row r="597">
          <cell r="F597" t="str">
            <v>ООО "МЕТАЛЛУРГ-ФОРУМ"</v>
          </cell>
        </row>
        <row r="598">
          <cell r="F598" t="str">
            <v>ООО "Металлэнергофинанс"</v>
          </cell>
          <cell r="J598" t="str">
            <v>ООО "Металлэнергофинанс"</v>
          </cell>
          <cell r="N598" t="str">
            <v>ООО "Металлэнергофинанс"</v>
          </cell>
        </row>
        <row r="599">
          <cell r="F599" t="str">
            <v>ООО "Назасское"</v>
          </cell>
        </row>
        <row r="600">
          <cell r="F600" t="str">
            <v>ООО "Никомогнеупор"</v>
          </cell>
          <cell r="J600" t="str">
            <v>ООО "Никомогнеупор"</v>
          </cell>
          <cell r="N600" t="str">
            <v>ООО "Никомогнеупор"</v>
          </cell>
        </row>
        <row r="601">
          <cell r="F601" t="str">
            <v>ООО "НТМК-Энерго"</v>
          </cell>
        </row>
        <row r="602">
          <cell r="F602" t="str">
            <v>ООО "Объединенные учетные системы Украины"</v>
          </cell>
          <cell r="J602" t="str">
            <v>ООО "Объединенные учетные системы Украины"</v>
          </cell>
          <cell r="N602" t="str">
            <v>ООО "Объединенные учетные системы Украины"</v>
          </cell>
          <cell r="R602" t="str">
            <v>ООО "Объединенные учетные системы Украины"</v>
          </cell>
        </row>
        <row r="603">
          <cell r="F603" t="str">
            <v>ООО "Полиформ"</v>
          </cell>
          <cell r="J603" t="str">
            <v>ООО "Полиформ"</v>
          </cell>
          <cell r="N603" t="str">
            <v>ООО "Полиформ"</v>
          </cell>
          <cell r="R603" t="str">
            <v>ООО "Полиформ"</v>
          </cell>
        </row>
        <row r="604">
          <cell r="F604" t="str">
            <v>ООО "Ремонтно-Механический Завод"</v>
          </cell>
        </row>
        <row r="605">
          <cell r="F605" t="str">
            <v>ООО "Ремонтно-Механический Комплекс НТМК"</v>
          </cell>
        </row>
        <row r="606">
          <cell r="F606" t="str">
            <v>ООО "Ремонтно-строительное управление Ванадий"</v>
          </cell>
        </row>
        <row r="607">
          <cell r="F607" t="str">
            <v>ООО "РОССИЙСКО-ЮЖНОАФРИКАНСКОЕ СОВМЕСТНОЕ ПРЕДПРИЯТИЕ "ЭКОНТ</v>
          </cell>
        </row>
        <row r="608">
          <cell r="F608" t="str">
            <v>ООО "САНАТОРИЙ "СЛАВИНО"</v>
          </cell>
        </row>
        <row r="609">
          <cell r="F609" t="str">
            <v>ООО "Санаторий-профилакторий "Озерный"</v>
          </cell>
        </row>
        <row r="610">
          <cell r="F610" t="str">
            <v>ООО "Санатрий профилакторий Металлург"</v>
          </cell>
          <cell r="J610" t="str">
            <v>ООО "Санатрий профилакторий Металлург"</v>
          </cell>
          <cell r="N610" t="str">
            <v>ООО "Санатрий профилакторий Металлург"</v>
          </cell>
          <cell r="R610" t="str">
            <v>ООО "Санатрий профилакторий Металлург"</v>
          </cell>
        </row>
        <row r="611">
          <cell r="F611" t="str">
            <v>ООО "СИБГИПРОРУДА" проектный институт"</v>
          </cell>
          <cell r="J611" t="str">
            <v>ООО "СИБГИПРОРУДА" проектный институт"</v>
          </cell>
          <cell r="N611" t="str">
            <v>ООО "СИБГИПРОРУДА" проектный институт"</v>
          </cell>
          <cell r="R611" t="str">
            <v>ООО "СИБГИПРОРУДА" проектный институт"</v>
          </cell>
        </row>
        <row r="612">
          <cell r="F612" t="str">
            <v>ООО "СИБМЕТИНВЕСТ"</v>
          </cell>
          <cell r="J612" t="str">
            <v>ООО "СИБМЕТИНВЕСТ"</v>
          </cell>
          <cell r="N612" t="str">
            <v>ООО "СИБМЕТИНВЕСТ"</v>
          </cell>
        </row>
        <row r="613">
          <cell r="J613" t="str">
            <v>ООО "СИБМЕТИНВЕСТ"</v>
          </cell>
          <cell r="R613" t="str">
            <v>ООО "СИБМЕТИНВЕСТ"</v>
          </cell>
        </row>
        <row r="614">
          <cell r="F614" t="str">
            <v>ООО "СК Аджалык"</v>
          </cell>
        </row>
        <row r="615">
          <cell r="F615" t="str">
            <v>ООО "СМУ-1 ЗАПСИБА"</v>
          </cell>
        </row>
        <row r="616">
          <cell r="F616" t="str">
            <v>ООО "СОАРУ" САЯНСКАЯ БЛАГОДАТЬ"</v>
          </cell>
          <cell r="J616" t="str">
            <v>ООО "СОАРУ" САЯНСКАЯ БЛАГОДАТЬ"</v>
          </cell>
          <cell r="N616" t="str">
            <v>ООО "СОАРУ" САЯНСКАЯ БЛАГОДАТЬ"</v>
          </cell>
          <cell r="R616" t="str">
            <v>ООО "СОАРУ" САЯНСКАЯ БЛАГОДАТЬ"</v>
          </cell>
        </row>
        <row r="617">
          <cell r="F617" t="str">
            <v>ООО "СП ЕвразВанадий"</v>
          </cell>
        </row>
        <row r="618">
          <cell r="F618" t="str">
            <v>ООО "СП Евразметалл Строй"</v>
          </cell>
        </row>
        <row r="619">
          <cell r="F619" t="str">
            <v>ООО "Сталь НК"</v>
          </cell>
        </row>
        <row r="620">
          <cell r="F620" t="str">
            <v>ООО "Строитель"</v>
          </cell>
        </row>
        <row r="621">
          <cell r="F621" t="str">
            <v>ООО "Тейские энергосети"</v>
          </cell>
          <cell r="J621" t="str">
            <v>ООО "Тейские энергосети"</v>
          </cell>
          <cell r="N621" t="str">
            <v>ООО "Тейские энергосети"</v>
          </cell>
          <cell r="R621" t="str">
            <v>ООО "Тейские энергосети"</v>
          </cell>
        </row>
        <row r="622">
          <cell r="F622" t="str">
            <v>ООО "ТК "ЕвразХолдинг"</v>
          </cell>
          <cell r="J622" t="str">
            <v>ООО "ТК "ЕвразХолдинг"</v>
          </cell>
          <cell r="N622" t="str">
            <v>ООО "ТК "ЕвразХолдинг"</v>
          </cell>
        </row>
        <row r="623">
          <cell r="F623" t="str">
            <v>ООО "Торговый дом "Ванадий"</v>
          </cell>
        </row>
        <row r="624">
          <cell r="F624" t="str">
            <v>ООО "Торговый дом "ЕвразРесурс Украина"</v>
          </cell>
          <cell r="J624" t="str">
            <v>ООО "Торговый дом "ЕвразРесурс Украина"</v>
          </cell>
          <cell r="N624" t="str">
            <v>ООО "Торговый дом "ЕвразРесурс Украина"</v>
          </cell>
          <cell r="R624" t="str">
            <v>ООО "Торговый дом "ЕвразРесурс Украина"</v>
          </cell>
        </row>
        <row r="625">
          <cell r="F625" t="str">
            <v>ООО "Торговый дом "ЕвразРесурс Украина"</v>
          </cell>
        </row>
        <row r="626">
          <cell r="F626" t="str">
            <v>ООО "Торговый дом "ЕвразХолдинг"</v>
          </cell>
          <cell r="J626" t="str">
            <v>ООО "Торговый дом "ЕвразХолдинг"</v>
          </cell>
          <cell r="N626" t="str">
            <v>ООО "Торговый дом "ЕвразХолдинг"</v>
          </cell>
        </row>
        <row r="627">
          <cell r="F627" t="str">
            <v>ООО "УМГШО"</v>
          </cell>
        </row>
        <row r="628">
          <cell r="F628" t="str">
            <v>ООО "Уралдомнаремонт"</v>
          </cell>
        </row>
        <row r="629">
          <cell r="F629" t="str">
            <v>ООО "ЧОП Интерлок-ВГОК"</v>
          </cell>
        </row>
        <row r="630">
          <cell r="F630" t="str">
            <v>ООО "ЧОП Интерлок-ЗСМК"</v>
          </cell>
          <cell r="J630" t="str">
            <v>ООО "ЧОП Интерлок-ЗСМК"</v>
          </cell>
          <cell r="N630" t="str">
            <v>ООО "ЧОП Интерлок-ЗСМК"</v>
          </cell>
          <cell r="R630" t="str">
            <v>ООО "ЧОП Интерлок-ЗСМК"</v>
          </cell>
        </row>
        <row r="631">
          <cell r="F631" t="str">
            <v>ООО "ЧОП Интерлок-КГОК"</v>
          </cell>
          <cell r="J631" t="str">
            <v>ООО "ЧОП Интерлок-КГОК"</v>
          </cell>
          <cell r="N631" t="str">
            <v>ООО "ЧОП Интерлок-КГОК"</v>
          </cell>
          <cell r="R631" t="str">
            <v>ООО "ЧОП Интерлок-КГОК"</v>
          </cell>
        </row>
        <row r="632">
          <cell r="F632" t="str">
            <v>ООО "ЧОП Интерлок-НКМК"</v>
          </cell>
          <cell r="J632" t="str">
            <v>ООО "ЧОП Интерлок-НКМК"</v>
          </cell>
          <cell r="R632" t="str">
            <v>ООО "ЧОП Интерлок-НКМК"</v>
          </cell>
        </row>
        <row r="633">
          <cell r="F633" t="str">
            <v>ООО "ЧОП Интерлок-НТМК"</v>
          </cell>
          <cell r="J633" t="str">
            <v>ООО "ЧОП Интерлок-НТМК"</v>
          </cell>
          <cell r="R633" t="str">
            <v>ООО "ЧОП Интерлок-НТМК"</v>
          </cell>
        </row>
        <row r="634">
          <cell r="F634" t="str">
            <v>ООО "ЧОП Легион - С"</v>
          </cell>
        </row>
        <row r="635">
          <cell r="F635" t="str">
            <v>ООО "Шахта "Абашевская"</v>
          </cell>
          <cell r="J635" t="str">
            <v>ООО "Шахта "Абашевская"</v>
          </cell>
          <cell r="N635" t="str">
            <v>ООО "Шахта "Абашевская"</v>
          </cell>
        </row>
        <row r="636">
          <cell r="F636" t="str">
            <v>ООО "Шахта "Алардинская"</v>
          </cell>
          <cell r="J636" t="str">
            <v>ООО "Шахта "Алардинская"</v>
          </cell>
          <cell r="N636" t="str">
            <v>ООО "Шахта "Алардинская"</v>
          </cell>
        </row>
        <row r="637">
          <cell r="F637" t="str">
            <v>ООО "Шахта "Есаульская"</v>
          </cell>
          <cell r="J637" t="str">
            <v>ООО "Шахта "Есаульская"</v>
          </cell>
          <cell r="N637" t="str">
            <v>ООО "Шахта "Есаульская"</v>
          </cell>
        </row>
        <row r="638">
          <cell r="F638" t="str">
            <v>ООО "Шахта "Осинниковская"</v>
          </cell>
          <cell r="J638" t="str">
            <v>ООО "Шахта "Осинниковская"</v>
          </cell>
          <cell r="N638" t="str">
            <v>ООО "Шахта "Осинниковская"</v>
          </cell>
        </row>
        <row r="639">
          <cell r="F639" t="str">
            <v>ООО "Шахта "Усковская"</v>
          </cell>
          <cell r="J639" t="str">
            <v>ООО "Шахта "Усковская"</v>
          </cell>
          <cell r="N639" t="str">
            <v>ООО "Шахта "Усковская"</v>
          </cell>
        </row>
        <row r="640">
          <cell r="F640" t="str">
            <v>ООО "Шахта "Юбилейная"</v>
          </cell>
        </row>
        <row r="641">
          <cell r="F641" t="str">
            <v>ООО "Шахта № 12"</v>
          </cell>
        </row>
        <row r="642">
          <cell r="F642" t="str">
            <v>ООО "Шахтостройкомплект"</v>
          </cell>
        </row>
        <row r="643">
          <cell r="F643" t="str">
            <v>ООО "Шерегеш-Энерго"</v>
          </cell>
          <cell r="J643" t="str">
            <v>ООО "Шерегеш-Энерго"</v>
          </cell>
          <cell r="N643" t="str">
            <v>ООО "Шерегеш-Энерго"</v>
          </cell>
          <cell r="R643" t="str">
            <v>ООО "Шерегеш-Энерго"</v>
          </cell>
        </row>
        <row r="644">
          <cell r="F644" t="str">
            <v>ООО "ЭЛЕКТРОТЕХСЕРВИС"</v>
          </cell>
        </row>
        <row r="645">
          <cell r="F645" t="str">
            <v>ООО "ЮжкузбассЛизинг"</v>
          </cell>
        </row>
        <row r="646">
          <cell r="F646" t="str">
            <v>ООО "Южкузбассшахтострой"</v>
          </cell>
        </row>
        <row r="647">
          <cell r="F647" t="str">
            <v>ООО "Южнокузбасское Геолого-разведочное управление"</v>
          </cell>
        </row>
        <row r="648">
          <cell r="F648" t="str">
            <v>ООО Интерлок-Кривой Рог</v>
          </cell>
          <cell r="J648" t="str">
            <v>ООО Интерлок-Кривой Рог</v>
          </cell>
          <cell r="N648" t="str">
            <v>ООО Интерлок-Кривой Рог</v>
          </cell>
          <cell r="R648" t="str">
            <v>ООО Интерлок-Кривой Рог</v>
          </cell>
        </row>
        <row r="649">
          <cell r="F649" t="str">
            <v>ООО МЭКОНА</v>
          </cell>
          <cell r="J649" t="str">
            <v>ООО МЭКОНА</v>
          </cell>
          <cell r="N649" t="str">
            <v>ООО МЭКОНА</v>
          </cell>
          <cell r="R649" t="str">
            <v>ООО МЭКОНА</v>
          </cell>
        </row>
        <row r="650">
          <cell r="F650" t="str">
            <v>ООО Руда-Автотранс</v>
          </cell>
        </row>
        <row r="651">
          <cell r="F651" t="str">
            <v>Отель Сплит</v>
          </cell>
        </row>
        <row r="652">
          <cell r="F652" t="str">
            <v>Охотничье хозяйство</v>
          </cell>
        </row>
        <row r="653">
          <cell r="F653" t="str">
            <v>ОШПУ, ООО</v>
          </cell>
          <cell r="J653" t="str">
            <v>ОШПУ, ООО</v>
          </cell>
          <cell r="N653" t="str">
            <v>ОШПУ, ООО</v>
          </cell>
        </row>
        <row r="656">
          <cell r="F656" t="str">
            <v>Палакарт, ООО</v>
          </cell>
          <cell r="J656" t="str">
            <v>Палакарт, ООО</v>
          </cell>
          <cell r="R656" t="str">
            <v>Палакарт, ООО</v>
          </cell>
        </row>
        <row r="657">
          <cell r="F657" t="str">
            <v>Паллау-КР, ООО</v>
          </cell>
          <cell r="J657" t="str">
            <v>Паллау-КР, ООО</v>
          </cell>
          <cell r="N657" t="str">
            <v>Паллау-КР, ООО</v>
          </cell>
          <cell r="R657" t="str">
            <v>Паллау-КР, ООО</v>
          </cell>
        </row>
        <row r="659">
          <cell r="F659" t="str">
            <v>Пензаметаллторг, АО</v>
          </cell>
        </row>
        <row r="661">
          <cell r="F661" t="str">
            <v>Портал, ООО</v>
          </cell>
        </row>
        <row r="662">
          <cell r="F662" t="str">
            <v>Представительство ЗАО Распадская</v>
          </cell>
        </row>
        <row r="663">
          <cell r="F663" t="str">
            <v>Представительство компании"ИСТ МЕТАЛС (САЙПРУС) ЛИМИТЕД"</v>
          </cell>
        </row>
        <row r="664">
          <cell r="F664" t="str">
            <v>Приват Альянс</v>
          </cell>
        </row>
        <row r="665">
          <cell r="F665" t="str">
            <v>ПриватАвто</v>
          </cell>
        </row>
        <row r="666">
          <cell r="F666" t="str">
            <v>ПриватБанк</v>
          </cell>
        </row>
        <row r="667">
          <cell r="F667" t="str">
            <v>Приват-Лизинг</v>
          </cell>
        </row>
        <row r="668">
          <cell r="F668" t="str">
            <v>Приват-Терминал</v>
          </cell>
        </row>
        <row r="669">
          <cell r="F669" t="str">
            <v>Приват-Эстейт</v>
          </cell>
        </row>
        <row r="670">
          <cell r="F670" t="str">
            <v>Приоритет, ООО</v>
          </cell>
          <cell r="J670" t="str">
            <v>Приоритет, ООО</v>
          </cell>
          <cell r="R670" t="str">
            <v>Приоритет, ООО</v>
          </cell>
        </row>
        <row r="671">
          <cell r="F671" t="str">
            <v>Причалы Коминтерна</v>
          </cell>
        </row>
        <row r="672">
          <cell r="F672" t="str">
            <v>Провинция Плюс ООО</v>
          </cell>
        </row>
        <row r="673">
          <cell r="F673" t="str">
            <v>Прогресс,ООО</v>
          </cell>
        </row>
        <row r="674">
          <cell r="F674" t="str">
            <v>ПромоРезерв, ООО</v>
          </cell>
          <cell r="J674" t="str">
            <v>ПромоРезерв, ООО</v>
          </cell>
          <cell r="R674" t="str">
            <v>ПромоРезерв, ООО</v>
          </cell>
        </row>
        <row r="675">
          <cell r="F675" t="str">
            <v>Промтрейд 2003, ЗАО</v>
          </cell>
        </row>
        <row r="676">
          <cell r="F676" t="str">
            <v>Проф Экаунт, ООО</v>
          </cell>
        </row>
        <row r="677">
          <cell r="F677" t="str">
            <v>Профессиональный волейбольный клуб Уралочка АНКО</v>
          </cell>
        </row>
        <row r="684">
          <cell r="F684" t="str">
            <v>Прочие компании</v>
          </cell>
          <cell r="J684" t="str">
            <v>Прочие компании</v>
          </cell>
          <cell r="R684" t="str">
            <v>Прочие компании</v>
          </cell>
        </row>
        <row r="685">
          <cell r="J685" t="str">
            <v>Прочий персонал</v>
          </cell>
          <cell r="R685" t="str">
            <v>Прочий персонал</v>
          </cell>
        </row>
        <row r="686">
          <cell r="F686" t="str">
            <v>Путеец, OOO</v>
          </cell>
        </row>
        <row r="687">
          <cell r="F687" t="str">
            <v>Разрез Распадский, ЗАО</v>
          </cell>
          <cell r="J687" t="str">
            <v>Разрез Распадский, ЗАО</v>
          </cell>
          <cell r="N687" t="str">
            <v>Разрез Распадский, ЗАО</v>
          </cell>
        </row>
        <row r="688">
          <cell r="J688" t="str">
            <v>Распадская (Группа)</v>
          </cell>
          <cell r="N688" t="str">
            <v>Распадская (Группа)</v>
          </cell>
        </row>
        <row r="689">
          <cell r="F689" t="str">
            <v>Распадская Коксовая, ЗАО</v>
          </cell>
          <cell r="J689" t="str">
            <v>Распадская Коксовая, ЗАО</v>
          </cell>
          <cell r="N689" t="str">
            <v>Распадская Коксовая, ЗАО</v>
          </cell>
        </row>
        <row r="690">
          <cell r="F690" t="str">
            <v>Распадская логистическая компания, ООО</v>
          </cell>
          <cell r="J690" t="str">
            <v>Распадская логистическая компания, ООО</v>
          </cell>
          <cell r="N690" t="str">
            <v>Распадская логистическая компания, ООО</v>
          </cell>
          <cell r="R690" t="str">
            <v>Распадская логистическая компания, ООО</v>
          </cell>
        </row>
        <row r="691">
          <cell r="F691" t="str">
            <v>Распадская угольная компания, АО</v>
          </cell>
        </row>
        <row r="692">
          <cell r="F692" t="str">
            <v>Распадская угольная компания, ООО</v>
          </cell>
          <cell r="J692" t="str">
            <v>Распадская угольная компания, ООО</v>
          </cell>
          <cell r="N692" t="str">
            <v>Распадская угольная компания, ООО</v>
          </cell>
        </row>
        <row r="693">
          <cell r="F693" t="str">
            <v>Распадская финансово-промышленная компания, ЗАО</v>
          </cell>
        </row>
        <row r="694">
          <cell r="F694" t="str">
            <v>Распадская финансово-промышленная компания, ООО</v>
          </cell>
        </row>
        <row r="695">
          <cell r="F695" t="str">
            <v>Распадская, ОАО</v>
          </cell>
          <cell r="J695" t="str">
            <v>Распадская, ОАО</v>
          </cell>
          <cell r="N695" t="str">
            <v>Распадская, ОАО</v>
          </cell>
        </row>
        <row r="696">
          <cell r="F696" t="str">
            <v>Распадская-Энерго, OOO</v>
          </cell>
        </row>
        <row r="697">
          <cell r="F697" t="str">
            <v>Распадский уголь, ООО</v>
          </cell>
        </row>
        <row r="698">
          <cell r="F698" t="str">
            <v>Региональная медийная компания, ООО</v>
          </cell>
          <cell r="J698" t="str">
            <v>Региональная медийная компания, ООО</v>
          </cell>
          <cell r="N698" t="str">
            <v>Региональная медийная компания, ООО</v>
          </cell>
        </row>
        <row r="699">
          <cell r="F699" t="str">
            <v>Регион-Плюс ООО</v>
          </cell>
        </row>
        <row r="700">
          <cell r="F700" t="str">
            <v>Резерв, OOO</v>
          </cell>
          <cell r="J700" t="str">
            <v>Резерв, OOO</v>
          </cell>
          <cell r="N700" t="str">
            <v>Резерв, OOO</v>
          </cell>
          <cell r="R700" t="str">
            <v>Резерв, OOO</v>
          </cell>
        </row>
        <row r="701">
          <cell r="F701" t="str">
            <v>Ремонтно-бытовой Комплекс, ООО</v>
          </cell>
          <cell r="J701" t="str">
            <v>Ремонтно-бытовой Комплекс, ООО</v>
          </cell>
          <cell r="N701" t="str">
            <v>Ремонтно-бытовой Комплекс, ООО</v>
          </cell>
          <cell r="R701" t="str">
            <v>Ремонтно-бытовой Комплекс, ООО</v>
          </cell>
        </row>
        <row r="702">
          <cell r="F702" t="str">
            <v>Ресурсчермет, ООО</v>
          </cell>
        </row>
        <row r="703">
          <cell r="F703" t="str">
            <v>Речник, ООО</v>
          </cell>
          <cell r="J703" t="str">
            <v>Речник, ООО</v>
          </cell>
          <cell r="N703" t="str">
            <v>Речник, ООО</v>
          </cell>
          <cell r="R703" t="str">
            <v>Речник, ООО</v>
          </cell>
        </row>
        <row r="704">
          <cell r="F704" t="str">
            <v>Речников Инвест, ООО</v>
          </cell>
          <cell r="J704" t="str">
            <v>Речников Инвест, ООО</v>
          </cell>
          <cell r="R704" t="str">
            <v>Речников Инвест, ООО</v>
          </cell>
        </row>
        <row r="705">
          <cell r="F705" t="str">
            <v>Рикелис, ООО</v>
          </cell>
        </row>
        <row r="706">
          <cell r="F706" t="str">
            <v>Рок Кэпитал Партнерс, ООО</v>
          </cell>
          <cell r="J706" t="str">
            <v>Рок Кэпитал Партнерс, ООО</v>
          </cell>
          <cell r="R706" t="str">
            <v>Рок Кэпитал Партнерс, ООО</v>
          </cell>
        </row>
        <row r="708">
          <cell r="F708" t="str">
            <v>Рублево-Успенское, ЗАО</v>
          </cell>
          <cell r="J708" t="str">
            <v>Рублево-Успенское, ЗАО</v>
          </cell>
          <cell r="N708" t="str">
            <v>Рублево-Успенское, ЗАО</v>
          </cell>
        </row>
        <row r="710">
          <cell r="F710" t="str">
            <v>Русский лес, ООО</v>
          </cell>
        </row>
        <row r="711">
          <cell r="F711" t="str">
            <v>РУШ, ООО</v>
          </cell>
          <cell r="J711" t="str">
            <v>РУШ, ООО</v>
          </cell>
          <cell r="R711" t="str">
            <v>РУШ, ООО</v>
          </cell>
        </row>
        <row r="712">
          <cell r="F712" t="str">
            <v>РУШ-ВИК, ООО</v>
          </cell>
          <cell r="J712" t="str">
            <v>РУШ-ВИК, ООО</v>
          </cell>
          <cell r="R712" t="str">
            <v>РУШ-ВИК, ООО</v>
          </cell>
        </row>
        <row r="715">
          <cell r="F715" t="str">
            <v>Самарский механический завод, АО</v>
          </cell>
        </row>
        <row r="716">
          <cell r="F716" t="str">
            <v>Санаторий-профилакторий "Озерный" ООО</v>
          </cell>
        </row>
        <row r="717">
          <cell r="F717" t="str">
            <v>Санаторий-профилакторий Леневка</v>
          </cell>
        </row>
        <row r="719">
          <cell r="F719" t="str">
            <v>Сахтахан, ООО</v>
          </cell>
          <cell r="J719" t="str">
            <v>Сахтахан, ООО</v>
          </cell>
          <cell r="N719" t="str">
            <v>Сахтахан, ООО</v>
          </cell>
          <cell r="R719" t="str">
            <v>Сахтахан, ООО</v>
          </cell>
        </row>
        <row r="720">
          <cell r="F720" t="str">
            <v>СЕАР МФ ЗАО</v>
          </cell>
          <cell r="J720" t="str">
            <v>СЕАР МФ ЗАО</v>
          </cell>
          <cell r="R720" t="str">
            <v>СЕАР МФ ЗАО</v>
          </cell>
        </row>
        <row r="721">
          <cell r="J721" t="str">
            <v>Семенцов Всеволод Владимирович</v>
          </cell>
          <cell r="R721" t="str">
            <v>Семенцов Всеволод Владимирович</v>
          </cell>
        </row>
        <row r="722">
          <cell r="F722" t="str">
            <v>Сибирская горно-металлургическая компания, ОАО</v>
          </cell>
          <cell r="J722" t="str">
            <v>Сибирская горно-металлургическая компания, ОАО</v>
          </cell>
          <cell r="R722" t="str">
            <v>Сибирская горно-металлургическая компания, ОАО</v>
          </cell>
        </row>
        <row r="723">
          <cell r="F723" t="str">
            <v>Сибирь-ВК</v>
          </cell>
          <cell r="J723" t="str">
            <v>Сибирь-ВК</v>
          </cell>
          <cell r="R723" t="str">
            <v>Сибирь-ВК</v>
          </cell>
        </row>
        <row r="724">
          <cell r="F724" t="str">
            <v>Сибирь-Финанс, ООО</v>
          </cell>
          <cell r="J724" t="str">
            <v>Сибирь-Финанс, ООО</v>
          </cell>
          <cell r="R724" t="str">
            <v>Сибирь-Финанс, ООО</v>
          </cell>
        </row>
        <row r="725">
          <cell r="J725" t="str">
            <v>СИБМЕТИНВЕСТ (Группа)</v>
          </cell>
          <cell r="N725" t="str">
            <v>СИБМЕТИНВЕСТ (Группа)</v>
          </cell>
        </row>
        <row r="726">
          <cell r="J726" t="str">
            <v>Сибметинвест (Отдельная отчетность)</v>
          </cell>
          <cell r="N726" t="str">
            <v>Сибметинвест (Отдельная отчетность)</v>
          </cell>
        </row>
        <row r="727">
          <cell r="F727" t="str">
            <v>СК "Сибирский Спас", ЗАО</v>
          </cell>
        </row>
        <row r="728">
          <cell r="F728" t="str">
            <v>СК "Сибирский Спас-Жизнь", ЗАО</v>
          </cell>
        </row>
        <row r="729">
          <cell r="F729" t="str">
            <v>СК "Сибирский Спас-Мед", ЗАО</v>
          </cell>
        </row>
        <row r="731">
          <cell r="F731" t="str">
            <v>Современные Бритвенные Технологии, ООО</v>
          </cell>
          <cell r="J731" t="str">
            <v>Современные Бритвенные Технологии, ООО</v>
          </cell>
          <cell r="R731" t="str">
            <v>Современные Бритвенные Технологии, ООО</v>
          </cell>
        </row>
        <row r="732">
          <cell r="F732" t="str">
            <v>Совфрахт-Транс, ЗАО</v>
          </cell>
        </row>
        <row r="733">
          <cell r="J733" t="str">
            <v>Солдатенков Алексей Иванович</v>
          </cell>
          <cell r="R733" t="str">
            <v>Солдатенков Алексей Иванович</v>
          </cell>
        </row>
        <row r="736">
          <cell r="F736" t="str">
            <v>Спортивный комплекс "Уралец"</v>
          </cell>
        </row>
        <row r="737">
          <cell r="F737" t="str">
            <v>Старлим, ООО</v>
          </cell>
          <cell r="J737" t="str">
            <v>Старлим, ООО</v>
          </cell>
          <cell r="R737" t="str">
            <v>Старлим, ООО</v>
          </cell>
        </row>
        <row r="738">
          <cell r="J738" t="str">
            <v>Степанов Сергей Станиславович</v>
          </cell>
          <cell r="R738" t="str">
            <v>Степанов Сергей Станиславович</v>
          </cell>
        </row>
        <row r="739">
          <cell r="F739" t="str">
            <v>Столичный инвестиционный клуб ООО</v>
          </cell>
          <cell r="J739" t="str">
            <v>Столичный инвестиционный клуб ООО</v>
          </cell>
          <cell r="R739" t="str">
            <v>Столичный инвестиционный клуб ООО</v>
          </cell>
        </row>
        <row r="740">
          <cell r="F740" t="str">
            <v>Страховая компания ТАО</v>
          </cell>
        </row>
        <row r="741">
          <cell r="F741" t="str">
            <v>Строй Альянс, ООО</v>
          </cell>
        </row>
        <row r="742">
          <cell r="F742" t="str">
            <v>Строй Плюс, ООО</v>
          </cell>
        </row>
        <row r="743">
          <cell r="F743" t="str">
            <v>Строймаркет и Ко, ООО</v>
          </cell>
          <cell r="J743" t="str">
            <v>Строймаркет и Ко, ООО</v>
          </cell>
          <cell r="R743" t="str">
            <v>Строймаркет и Ко, ООО</v>
          </cell>
        </row>
        <row r="744">
          <cell r="F744" t="str">
            <v>Строймаш, ООО</v>
          </cell>
        </row>
        <row r="745">
          <cell r="F745" t="str">
            <v>Стройменеджмент, ООО</v>
          </cell>
          <cell r="J745" t="str">
            <v>Стройменеджмент, ООО</v>
          </cell>
          <cell r="R745" t="str">
            <v>Стройменеджмент, ООО</v>
          </cell>
        </row>
        <row r="746">
          <cell r="F746" t="str">
            <v>Сухая Балка ОАО</v>
          </cell>
        </row>
        <row r="747">
          <cell r="J747" t="str">
            <v>Сухая Балка ОАО (Группа)</v>
          </cell>
          <cell r="N747" t="str">
            <v>Сухая Балка ОАО (Группа)</v>
          </cell>
        </row>
        <row r="748">
          <cell r="F748" t="str">
            <v>Тагилтеплосбыт, ООО</v>
          </cell>
          <cell r="J748" t="str">
            <v>Тагилтеплосбыт, ООО</v>
          </cell>
          <cell r="N748" t="str">
            <v>Тагилтеплосбыт, ООО</v>
          </cell>
        </row>
        <row r="749">
          <cell r="F749" t="str">
            <v>ТаоПриватБанк</v>
          </cell>
        </row>
        <row r="751">
          <cell r="F751" t="str">
            <v>ТВ -мост ООО</v>
          </cell>
          <cell r="J751" t="str">
            <v>ТВ -мост ООО</v>
          </cell>
          <cell r="N751" t="str">
            <v>ТВ -мост ООО</v>
          </cell>
        </row>
        <row r="752">
          <cell r="F752" t="str">
            <v>ТВН,ООО</v>
          </cell>
          <cell r="J752" t="str">
            <v>ТВН,ООО</v>
          </cell>
          <cell r="N752" t="str">
            <v>ТВН,ООО</v>
          </cell>
        </row>
        <row r="753">
          <cell r="F753" t="str">
            <v>ТД Евраз Украина, ООО</v>
          </cell>
          <cell r="J753" t="str">
            <v>ТД Евраз Украина, ООО</v>
          </cell>
          <cell r="N753" t="str">
            <v>ТД Евраз Украина, ООО</v>
          </cell>
        </row>
        <row r="754">
          <cell r="F754" t="str">
            <v>Теза Гарант АЗС, ЗАО</v>
          </cell>
        </row>
        <row r="755">
          <cell r="F755" t="str">
            <v>Тейский рудник,ООО</v>
          </cell>
          <cell r="J755" t="str">
            <v>Тейский рудник,ООО</v>
          </cell>
          <cell r="N755" t="str">
            <v>Тейский рудник,ООО</v>
          </cell>
          <cell r="R755" t="str">
            <v>Тейский рудник,ООО</v>
          </cell>
        </row>
        <row r="756">
          <cell r="F756" t="str">
            <v>Телекомпания ТВ -Абаза ООО</v>
          </cell>
        </row>
        <row r="757">
          <cell r="J757" t="str">
            <v>Тененбаум Евгений</v>
          </cell>
          <cell r="R757" t="str">
            <v>Тененбаум Евгений</v>
          </cell>
        </row>
        <row r="758">
          <cell r="F758" t="str">
            <v>Технологии металла, ООО</v>
          </cell>
          <cell r="J758" t="str">
            <v>Технологии металла, ООО</v>
          </cell>
          <cell r="N758" t="str">
            <v>Технологии металла, ООО</v>
          </cell>
          <cell r="R758" t="str">
            <v>Технологии металла, ООО</v>
          </cell>
        </row>
        <row r="759">
          <cell r="F759" t="str">
            <v>Технология ЕСМ, ООО</v>
          </cell>
          <cell r="J759" t="str">
            <v>Технология ЕСМ, ООО</v>
          </cell>
          <cell r="R759" t="str">
            <v>Технология ЕСМ, ООО</v>
          </cell>
        </row>
        <row r="760">
          <cell r="F760" t="str">
            <v>Тея -ТВ ООО</v>
          </cell>
        </row>
        <row r="761">
          <cell r="F761" t="str">
            <v>Томусинское погрузочно-транспортное управление, АО</v>
          </cell>
          <cell r="J761" t="str">
            <v>Томусинское погрузочно-транспортное управление, АО</v>
          </cell>
          <cell r="N761" t="str">
            <v>Томусинское погрузочно-транспортное управление, АО</v>
          </cell>
        </row>
        <row r="762">
          <cell r="J762" t="str">
            <v>Торговый дом "ЕвразХолдинг" (Группа)</v>
          </cell>
          <cell r="N762" t="str">
            <v>Торговый дом "ЕвразХолдинг" (Группа)</v>
          </cell>
        </row>
        <row r="763">
          <cell r="F763" t="str">
            <v>Торговый порт Поярково, ЗАО</v>
          </cell>
        </row>
        <row r="764">
          <cell r="F764" t="str">
            <v>Торфагрегат, АО</v>
          </cell>
        </row>
        <row r="765">
          <cell r="F765" t="str">
            <v>ТТ Капитал ООО</v>
          </cell>
        </row>
        <row r="766">
          <cell r="F766" t="str">
            <v>Туламеталлоптторг, ЗАО</v>
          </cell>
        </row>
        <row r="767">
          <cell r="F767" t="str">
            <v>Угольная компания "Межегейуголь"</v>
          </cell>
          <cell r="J767" t="str">
            <v>Угольная компания "Межегейуголь"</v>
          </cell>
          <cell r="N767" t="str">
            <v>Угольная компания "Межегейуголь"</v>
          </cell>
        </row>
        <row r="768">
          <cell r="F768" t="str">
            <v>Уд!!!Казанковская шахта, ЗАО</v>
          </cell>
          <cell r="J768" t="str">
            <v>Уд!!!Казанковская шахта, ЗАО</v>
          </cell>
          <cell r="N768" t="str">
            <v>Уд!!!Казанковская шахта, ЗАО</v>
          </cell>
        </row>
        <row r="769">
          <cell r="F769" t="str">
            <v>УДАЛЕН!!!</v>
          </cell>
          <cell r="J769" t="str">
            <v>УДАЛЕН!!!</v>
          </cell>
          <cell r="N769" t="str">
            <v>УДАЛЕН!!!</v>
          </cell>
        </row>
        <row r="770">
          <cell r="F770" t="str">
            <v>УДАЛЕН!!! ЕвразМеталл Инпром, ОАО</v>
          </cell>
          <cell r="J770" t="str">
            <v>УДАЛЕН!!! ЕвразМеталл Инпром, ОАО</v>
          </cell>
          <cell r="N770" t="str">
            <v>УДАЛЕН!!! ЕвразМеталл Инпром, ОАО</v>
          </cell>
        </row>
        <row r="771">
          <cell r="F771" t="str">
            <v>УДАЛЕН!!! ТД Евраз Украина, ООО</v>
          </cell>
          <cell r="J771" t="str">
            <v>УДАЛЕН!!! ТД Евраз Украина, ООО</v>
          </cell>
          <cell r="N771" t="str">
            <v>УДАЛЕН!!! ТД Евраз Украина, ООО</v>
          </cell>
        </row>
        <row r="772">
          <cell r="F772" t="str">
            <v>УДАЛЕН!!! Центральная ТЭЦ, ООО</v>
          </cell>
        </row>
        <row r="773">
          <cell r="F773" t="str">
            <v>Ульяновскметалл, ОАО</v>
          </cell>
        </row>
        <row r="774">
          <cell r="F774" t="str">
            <v>УПРАВЛЕНИЕ ПО ПРОФИЛАКТИКЕ,ТУШЕНИЮ ПОДЗЕМНЫХ ПОЖАРОВ ОАО ОУК</v>
          </cell>
        </row>
        <row r="775">
          <cell r="F775" t="str">
            <v>Урал-Финанс, ООО</v>
          </cell>
          <cell r="J775" t="str">
            <v>Урал-Финанс, ООО</v>
          </cell>
          <cell r="R775" t="str">
            <v>Урал-Финанс, ООО</v>
          </cell>
        </row>
        <row r="776">
          <cell r="F776" t="str">
            <v>Учуленский цементный завод, ООО</v>
          </cell>
        </row>
        <row r="777">
          <cell r="F777" t="str">
            <v>Ферросервис, ЗАО</v>
          </cell>
        </row>
        <row r="778">
          <cell r="F778" t="str">
            <v>Феррострой ЗАО</v>
          </cell>
        </row>
        <row r="779">
          <cell r="F779" t="str">
            <v>Ферротранстрейд</v>
          </cell>
        </row>
        <row r="780">
          <cell r="F780" t="str">
            <v>Ферро-Эстейт, ООО</v>
          </cell>
          <cell r="J780" t="str">
            <v>Ферро-Эстейт, ООО</v>
          </cell>
          <cell r="R780" t="str">
            <v>Ферро-Эстейт, ООО</v>
          </cell>
        </row>
        <row r="781">
          <cell r="F781" t="str">
            <v>Фирма Дельфин 2000, ООО</v>
          </cell>
        </row>
        <row r="782">
          <cell r="J782" t="str">
            <v>Фролов Александр Владимирович</v>
          </cell>
          <cell r="N782" t="str">
            <v>Фролов Александр Владимирович</v>
          </cell>
        </row>
        <row r="784">
          <cell r="F784" t="str">
            <v>Центр сервисных решений, ООО</v>
          </cell>
          <cell r="J784" t="str">
            <v>Центр сервисных решений, ООО</v>
          </cell>
          <cell r="N784" t="str">
            <v>Центр сервисных решений, ООО</v>
          </cell>
        </row>
        <row r="785">
          <cell r="F785" t="str">
            <v>Центральная трастовая компания, ЗАО</v>
          </cell>
          <cell r="J785" t="str">
            <v>Центральная трастовая компания, ЗАО</v>
          </cell>
          <cell r="R785" t="str">
            <v>Центральная трастовая компания, ЗАО</v>
          </cell>
        </row>
        <row r="786">
          <cell r="F786" t="str">
            <v>Центральная ТЭЦ, ООО</v>
          </cell>
        </row>
        <row r="787">
          <cell r="F787" t="str">
            <v>ЦКиИ НТМК</v>
          </cell>
        </row>
        <row r="788">
          <cell r="F788" t="str">
            <v>Чайка ООО</v>
          </cell>
          <cell r="J788" t="str">
            <v>Чайка ООО</v>
          </cell>
          <cell r="R788" t="str">
            <v>Чайка ООО</v>
          </cell>
        </row>
        <row r="790">
          <cell r="F790" t="str">
            <v>Черемшанка, ООО</v>
          </cell>
        </row>
        <row r="791">
          <cell r="F791" t="str">
            <v>Черметинформация ОАО</v>
          </cell>
        </row>
        <row r="792">
          <cell r="F792" t="str">
            <v>ЧОП Вымпел-Энерго, ООО</v>
          </cell>
          <cell r="J792" t="str">
            <v>ЧОП Вымпел-Энерго, ООО</v>
          </cell>
          <cell r="R792" t="str">
            <v>ЧОП Вымпел-Энерго, ООО</v>
          </cell>
        </row>
        <row r="793">
          <cell r="F793" t="str">
            <v>ЧОП Интерлок</v>
          </cell>
          <cell r="J793" t="str">
            <v>ЧОП Интерлок</v>
          </cell>
          <cell r="R793" t="str">
            <v>ЧОП Интерлок</v>
          </cell>
        </row>
        <row r="794">
          <cell r="F794" t="str">
            <v>ЧОП Интерлок-Амур, ООО</v>
          </cell>
          <cell r="J794" t="str">
            <v>ЧОП Интерлок-Амур, ООО</v>
          </cell>
          <cell r="N794" t="str">
            <v>ЧОП Интерлок-Амур, ООО</v>
          </cell>
          <cell r="R794" t="str">
            <v>ЧОП Интерлок-Амур, ООО</v>
          </cell>
        </row>
        <row r="795">
          <cell r="F795" t="str">
            <v>ЧОП Интерлок-АФ, ООО</v>
          </cell>
          <cell r="J795" t="str">
            <v>ЧОП Интерлок-АФ, ООО</v>
          </cell>
          <cell r="R795" t="str">
            <v>ЧОП Интерлок-АФ, ООО</v>
          </cell>
        </row>
        <row r="796">
          <cell r="F796" t="str">
            <v>ЧОП Интерлок-Ванадий, ООО</v>
          </cell>
          <cell r="J796" t="str">
            <v>ЧОП Интерлок-Ванадий, ООО</v>
          </cell>
          <cell r="N796" t="str">
            <v>ЧОП Интерлок-Ванадий, ООО</v>
          </cell>
          <cell r="R796" t="str">
            <v>ЧОП Интерлок-Ванадий, ООО</v>
          </cell>
        </row>
        <row r="797">
          <cell r="F797" t="str">
            <v>ЧОП Интерлок-де Кастри, ООО</v>
          </cell>
          <cell r="J797" t="str">
            <v>ЧОП Интерлок-де Кастри, ООО</v>
          </cell>
          <cell r="N797" t="str">
            <v>ЧОП Интерлок-де Кастри, ООО</v>
          </cell>
          <cell r="R797" t="str">
            <v>ЧОП Интерлок-де Кастри, ООО</v>
          </cell>
        </row>
        <row r="798">
          <cell r="F798" t="str">
            <v>ЧОП Интерлок-Зея, ООО</v>
          </cell>
          <cell r="J798" t="str">
            <v>ЧОП Интерлок-Зея, ООО</v>
          </cell>
          <cell r="N798" t="str">
            <v>ЧОП Интерлок-Зея, ООО</v>
          </cell>
          <cell r="R798" t="str">
            <v>ЧОП Интерлок-Зея, ООО</v>
          </cell>
        </row>
        <row r="799">
          <cell r="F799" t="str">
            <v>ЧОП Интерлок-Комсомольск-на-Амуре ООО</v>
          </cell>
          <cell r="J799" t="str">
            <v>ЧОП Интерлок-Комсомольск-на-Амуре ООО</v>
          </cell>
          <cell r="N799" t="str">
            <v>ЧОП Интерлок-Комсомольск-на-Амуре ООО</v>
          </cell>
          <cell r="R799" t="str">
            <v>ЧОП Интерлок-Комсомольск-на-Амуре ООО</v>
          </cell>
        </row>
        <row r="800">
          <cell r="F800" t="str">
            <v>ЧОП Интерлок-М ООО</v>
          </cell>
          <cell r="J800" t="str">
            <v>ЧОП Интерлок-М ООО</v>
          </cell>
          <cell r="N800" t="str">
            <v>ЧОП Интерлок-М ООО</v>
          </cell>
          <cell r="R800" t="str">
            <v>ЧОП Интерлок-М ООО</v>
          </cell>
        </row>
        <row r="801">
          <cell r="F801" t="str">
            <v>ЧОП Интерлок-МЭФ</v>
          </cell>
        </row>
        <row r="802">
          <cell r="F802" t="str">
            <v>ЧОП Интерлок-Н ООО</v>
          </cell>
          <cell r="J802" t="str">
            <v>ЧОП Интерлок-Н ООО</v>
          </cell>
          <cell r="R802" t="str">
            <v>ЧОП Интерлок-Н ООО</v>
          </cell>
        </row>
        <row r="803">
          <cell r="F803" t="str">
            <v>ЧОП Интерлок-Находка ООО</v>
          </cell>
        </row>
        <row r="804">
          <cell r="F804" t="str">
            <v>ЧОП Интерлок-П, ООО</v>
          </cell>
          <cell r="J804" t="str">
            <v>ЧОП Интерлок-П, ООО</v>
          </cell>
          <cell r="N804" t="str">
            <v>ЧОП Интерлок-П, ООО</v>
          </cell>
          <cell r="R804" t="str">
            <v>ЧОП Интерлок-П, ООО</v>
          </cell>
        </row>
        <row r="805">
          <cell r="F805" t="str">
            <v>ЧОП Интерлок-Т ООО</v>
          </cell>
          <cell r="J805" t="str">
            <v>ЧОП Интерлок-Т ООО</v>
          </cell>
          <cell r="R805" t="str">
            <v>ЧОП Интерлок-Т ООО</v>
          </cell>
        </row>
        <row r="806">
          <cell r="F806" t="str">
            <v>ЧОП Интерлок-Т1,ООО</v>
          </cell>
          <cell r="J806" t="str">
            <v>ЧОП Интерлок-Т1,ООО</v>
          </cell>
          <cell r="N806" t="str">
            <v>ЧОП Интерлок-Т1,ООО</v>
          </cell>
          <cell r="R806" t="str">
            <v>ЧОП Интерлок-Т1,ООО</v>
          </cell>
        </row>
        <row r="807">
          <cell r="F807" t="str">
            <v>ЧОП Интерлок-Т2,ООО</v>
          </cell>
          <cell r="J807" t="str">
            <v>ЧОП Интерлок-Т2,ООО</v>
          </cell>
          <cell r="N807" t="str">
            <v>ЧОП Интерлок-Т2,ООО</v>
          </cell>
          <cell r="R807" t="str">
            <v>ЧОП Интерлок-Т2,ООО</v>
          </cell>
        </row>
        <row r="808">
          <cell r="F808" t="str">
            <v>ЧОП Интерлок-Т3,ООО</v>
          </cell>
          <cell r="J808" t="str">
            <v>ЧОП Интерлок-Т3,ООО</v>
          </cell>
          <cell r="R808" t="str">
            <v>ЧОП Интерлок-Т3,ООО</v>
          </cell>
        </row>
        <row r="809">
          <cell r="F809" t="str">
            <v>ЧОП Интерлок-Т4,ООО</v>
          </cell>
        </row>
        <row r="810">
          <cell r="F810" t="str">
            <v>ЧОП Интерлок-Уссури, ООО</v>
          </cell>
          <cell r="J810" t="str">
            <v>ЧОП Интерлок-Уссури, ООО</v>
          </cell>
          <cell r="N810" t="str">
            <v>ЧОП Интерлок-Уссури, ООО</v>
          </cell>
          <cell r="R810" t="str">
            <v>ЧОП Интерлок-Уссури, ООО</v>
          </cell>
        </row>
        <row r="811">
          <cell r="F811" t="str">
            <v>ЧОП Интерлок-Хабаровск ООО</v>
          </cell>
          <cell r="J811" t="str">
            <v>ЧОП Интерлок-Хабаровск ООО</v>
          </cell>
          <cell r="N811" t="str">
            <v>ЧОП Интерлок-Хабаровск ООО</v>
          </cell>
          <cell r="R811" t="str">
            <v>ЧОП Интерлок-Хабаровск ООО</v>
          </cell>
        </row>
        <row r="812">
          <cell r="F812" t="str">
            <v>ЧОП Легион - Р ООО</v>
          </cell>
        </row>
        <row r="813">
          <cell r="F813" t="str">
            <v>ЧОП Меридиан-М, ООО</v>
          </cell>
          <cell r="J813" t="str">
            <v>ЧОП Меридиан-М, ООО</v>
          </cell>
          <cell r="N813" t="str">
            <v>ЧОП Меридиан-М, ООО</v>
          </cell>
          <cell r="R813" t="str">
            <v>ЧОП Меридиан-М, ООО</v>
          </cell>
        </row>
        <row r="814">
          <cell r="F814" t="str">
            <v>Шахта Грамотеинская, ООО</v>
          </cell>
        </row>
        <row r="815">
          <cell r="F815" t="str">
            <v>Шахта Куреинская,ООО</v>
          </cell>
        </row>
        <row r="816">
          <cell r="F816" t="str">
            <v>Шахта Кушеяковская, ООО</v>
          </cell>
          <cell r="J816" t="str">
            <v>Шахта Кушеяковская, ООО</v>
          </cell>
          <cell r="N816" t="str">
            <v>Шахта Кушеяковская, ООО</v>
          </cell>
        </row>
        <row r="817">
          <cell r="J817" t="str">
            <v>Швидлер Евгений</v>
          </cell>
          <cell r="R817" t="str">
            <v>Швидлер Евгений</v>
          </cell>
        </row>
        <row r="819">
          <cell r="J819" t="str">
            <v>Широкоброд Илья Олегович</v>
          </cell>
          <cell r="R819" t="str">
            <v>Широкоброд Илья Олегович</v>
          </cell>
        </row>
        <row r="821">
          <cell r="F821" t="str">
            <v>Эворонский ЛПХ, ЗАО</v>
          </cell>
          <cell r="J821" t="str">
            <v>Эворонский ЛПХ, ЗАО</v>
          </cell>
          <cell r="N821" t="str">
            <v>Эворонский ЛПХ, ЗАО</v>
          </cell>
          <cell r="R821" t="str">
            <v>Эворонский ЛПХ, ЗАО</v>
          </cell>
        </row>
        <row r="822">
          <cell r="F822" t="str">
            <v>ЭДАС, Адвокатское бюро</v>
          </cell>
        </row>
        <row r="823">
          <cell r="F823" t="str">
            <v>Экосервис ООО</v>
          </cell>
        </row>
        <row r="824">
          <cell r="F824" t="str">
            <v>Экоэксперт, ООО</v>
          </cell>
        </row>
        <row r="825">
          <cell r="F825" t="str">
            <v>Энергия-НК,ООО</v>
          </cell>
          <cell r="J825" t="str">
            <v>Энергия-НК,ООО</v>
          </cell>
          <cell r="N825" t="str">
            <v>Энергия-НК,ООО</v>
          </cell>
          <cell r="R825" t="str">
            <v>Энергия-НК,ООО</v>
          </cell>
        </row>
        <row r="827">
          <cell r="J827" t="str">
            <v>Южкузбассуголь (Группа)</v>
          </cell>
          <cell r="N827" t="str">
            <v>Южкузбассуголь (Группа)</v>
          </cell>
        </row>
        <row r="828">
          <cell r="F828" t="str">
            <v>Южный ГОК (Украина)</v>
          </cell>
          <cell r="J828" t="str">
            <v>Южный ГОК (Украина)</v>
          </cell>
          <cell r="R828" t="str">
            <v>Южный ГОК (Украина)</v>
          </cell>
        </row>
        <row r="829">
          <cell r="F829" t="str">
            <v>Южный Кузбасс, ОАО</v>
          </cell>
        </row>
        <row r="830">
          <cell r="F830" t="str">
            <v>Юнитснабавто</v>
          </cell>
        </row>
        <row r="831">
          <cell r="F831" t="str">
            <v>Юридическая фирма "Эдас консалтинг", ООО</v>
          </cell>
        </row>
        <row r="832">
          <cell r="J832" t="str">
            <v>Юрьев Алексей Борисович</v>
          </cell>
          <cell r="R832" t="str">
            <v>Юрьев Алексей Борисович</v>
          </cell>
        </row>
        <row r="833">
          <cell r="J833" t="str">
            <v>Янбухтин Тимур Ибрагимович</v>
          </cell>
          <cell r="N833" t="str">
            <v>Янбухтин Тимур Ибрагимович</v>
          </cell>
          <cell r="R833" t="str">
            <v>Янбухтин Тимур Ибрагимович</v>
          </cell>
        </row>
      </sheetData>
      <sheetData sheetId="2" refreshError="1">
        <row r="3">
          <cell r="B3" t="str">
            <v>E02</v>
          </cell>
        </row>
        <row r="4">
          <cell r="B4" t="str">
            <v>E04</v>
          </cell>
        </row>
        <row r="5">
          <cell r="B5" t="str">
            <v>E05</v>
          </cell>
        </row>
        <row r="6">
          <cell r="B6" t="str">
            <v>E06</v>
          </cell>
        </row>
      </sheetData>
      <sheetData sheetId="3" refreshError="1">
        <row r="1">
          <cell r="B1" t="str">
            <v>Ключ</v>
          </cell>
        </row>
        <row r="3">
          <cell r="B3" t="str">
            <v>Амортизационные расходы (E02)</v>
          </cell>
        </row>
        <row r="4">
          <cell r="B4" t="str">
            <v>Амортизационные расходы (E04)</v>
          </cell>
        </row>
        <row r="5">
          <cell r="B5" t="str">
            <v>Амортизационные расходы (E05)</v>
          </cell>
        </row>
        <row r="6">
          <cell r="B6" t="str">
            <v>Вспомогательные материалы (E02)</v>
          </cell>
        </row>
        <row r="7">
          <cell r="B7" t="str">
            <v>Вспомогательные материалы на себестоимость (E06)</v>
          </cell>
        </row>
        <row r="8">
          <cell r="B8" t="str">
            <v>ЖД тариф (E04)</v>
          </cell>
        </row>
        <row r="9">
          <cell r="B9" t="str">
            <v>ЖД тариф ТК ЕАХ (E02)</v>
          </cell>
        </row>
        <row r="10">
          <cell r="B10" t="str">
            <v>Железорудное сырье (E02)</v>
          </cell>
        </row>
        <row r="11">
          <cell r="B11" t="str">
            <v>Железорудное сырье (E06)</v>
          </cell>
        </row>
        <row r="12">
          <cell r="B12" t="str">
            <v>Изменение в стоимости НЗП ЕвразТехники (E02)</v>
          </cell>
        </row>
        <row r="13">
          <cell r="B13" t="str">
            <v>Изменение в стоимости НЗП и готовой продукции (E02)</v>
          </cell>
        </row>
        <row r="14">
          <cell r="B14" t="str">
            <v>Коммерческие расходы (за искл. коммерч. 451, 101, 999) (E06)</v>
          </cell>
        </row>
        <row r="15">
          <cell r="B15" t="str">
            <v>Материальные  расходы (E04)</v>
          </cell>
        </row>
        <row r="16">
          <cell r="B16" t="str">
            <v>Материальные расходы (E05)</v>
          </cell>
        </row>
        <row r="17">
          <cell r="B17" t="str">
            <v>Материальные расходы (коммерч. 451) (E06)</v>
          </cell>
        </row>
        <row r="18">
          <cell r="B18" t="str">
            <v>Материальные расходы (управл. 551) (E06)</v>
          </cell>
        </row>
        <row r="19">
          <cell r="B19" t="str">
            <v>Металлолом (E02)</v>
          </cell>
        </row>
        <row r="20">
          <cell r="B20" t="str">
            <v>Металлолом (E06)</v>
          </cell>
        </row>
        <row r="21">
          <cell r="B21" t="str">
            <v>Налог на землю (E02)</v>
          </cell>
        </row>
        <row r="22">
          <cell r="B22" t="str">
            <v>Налоги (E02)</v>
          </cell>
        </row>
        <row r="23">
          <cell r="B23" t="str">
            <v>Налоги (E05)</v>
          </cell>
        </row>
        <row r="24">
          <cell r="B24" t="str">
            <v>Новая (E02)</v>
          </cell>
        </row>
        <row r="25">
          <cell r="B25" t="str">
            <v>Оплата времени простоя по вине работодателя (E02)</v>
          </cell>
        </row>
        <row r="26">
          <cell r="B26" t="str">
            <v>Плата за негативное воздействие на окружающую среду (E05)</v>
          </cell>
        </row>
        <row r="27">
          <cell r="B27" t="str">
            <v>Покупные полуфабрикаты (E02)</v>
          </cell>
        </row>
        <row r="28">
          <cell r="B28" t="str">
            <v>Покупные полуфабрикаты (E06)</v>
          </cell>
        </row>
        <row r="29">
          <cell r="B29" t="str">
            <v>Премии покупателям (E04)</v>
          </cell>
        </row>
        <row r="30">
          <cell r="B30" t="str">
            <v>Прочее (E05)</v>
          </cell>
        </row>
        <row r="31">
          <cell r="B31" t="str">
            <v>Прочее сырье (E02)</v>
          </cell>
        </row>
        <row r="32">
          <cell r="B32" t="str">
            <v>Прочее сырье (E06)</v>
          </cell>
        </row>
        <row r="33">
          <cell r="B33" t="str">
            <v>Прочие (E02)</v>
          </cell>
        </row>
        <row r="34">
          <cell r="B34" t="str">
            <v>Прочие (E04)</v>
          </cell>
        </row>
        <row r="35">
          <cell r="B35" t="str">
            <v>Прочие (коммерч. 999) (E06)</v>
          </cell>
        </row>
        <row r="36">
          <cell r="B36" t="str">
            <v>Прочие (управл. 999) (E06)</v>
          </cell>
        </row>
        <row r="37">
          <cell r="B37" t="str">
            <v>Прочие на себестоимость (E06)</v>
          </cell>
        </row>
        <row r="38">
          <cell r="B38" t="str">
            <v>Прочие производственные услуги (на КГ) (E04)</v>
          </cell>
        </row>
        <row r="39">
          <cell r="B39" t="str">
            <v>Прочие производственные услуги (на ПК) (E04)</v>
          </cell>
        </row>
        <row r="40">
          <cell r="B40" t="str">
            <v>Прочие профессиональные услуги (E05)</v>
          </cell>
        </row>
        <row r="41">
          <cell r="B41" t="str">
            <v>Расходы на персонал (E02)</v>
          </cell>
        </row>
        <row r="42">
          <cell r="B42" t="str">
            <v>Расходы на персонал (E04)</v>
          </cell>
        </row>
        <row r="43">
          <cell r="B43" t="str">
            <v>Расходы на персонал (E05)</v>
          </cell>
        </row>
        <row r="44">
          <cell r="B44" t="str">
            <v>Расходы на персонал по увольнению (E02)</v>
          </cell>
        </row>
        <row r="45">
          <cell r="B45" t="str">
            <v>Расходы на персонал по увольнению (E04)</v>
          </cell>
        </row>
        <row r="46">
          <cell r="B46" t="str">
            <v>Расходы на персонал ТК ЕАХ (E02)</v>
          </cell>
        </row>
        <row r="47">
          <cell r="B47" t="str">
            <v>Расходы на персонал ТК ЕАХ (E05)</v>
          </cell>
        </row>
        <row r="48">
          <cell r="B48" t="str">
            <v>Резерв под снижение стоимости материалов (E02)</v>
          </cell>
        </row>
        <row r="49">
          <cell r="B49" t="str">
            <v>Списание ГПР со счета 97 в админ-ные (E05)</v>
          </cell>
        </row>
        <row r="50">
          <cell r="B50" t="str">
            <v>Списание ГПР со счета 97 в себестоимость (E02)</v>
          </cell>
        </row>
        <row r="51">
          <cell r="B51" t="str">
            <v>Товары для перепродажи (E02)</v>
          </cell>
        </row>
        <row r="52">
          <cell r="B52" t="str">
            <v>Товары для перепродажи (E06)</v>
          </cell>
        </row>
        <row r="53">
          <cell r="B53" t="str">
            <v>Транспортные расходы (E02)</v>
          </cell>
        </row>
        <row r="54">
          <cell r="B54" t="str">
            <v>Транспортные расходы (E04)</v>
          </cell>
        </row>
        <row r="55">
          <cell r="B55" t="str">
            <v>Транспортные расходы (коммерч. 101) (E06)</v>
          </cell>
        </row>
        <row r="56">
          <cell r="B56" t="str">
            <v>Транспортные расходы на себестоимость (E06)</v>
          </cell>
        </row>
        <row r="57">
          <cell r="B57" t="str">
            <v>Транспортные расходы ТК ЕАХ (E02)</v>
          </cell>
        </row>
        <row r="58">
          <cell r="B58" t="str">
            <v>Транспортные расходы-складское хозяйство для счета PI7314 (E05)</v>
          </cell>
        </row>
        <row r="59">
          <cell r="B59" t="str">
            <v>Уголь, кокс (E02)</v>
          </cell>
        </row>
        <row r="60">
          <cell r="B60" t="str">
            <v>Уголь, кокс (E06)</v>
          </cell>
        </row>
        <row r="61">
          <cell r="B61" t="str">
            <v>Управленческие расходы (за искл. управл. 551, 999) (E06)</v>
          </cell>
        </row>
        <row r="62">
          <cell r="B62" t="str">
            <v>Услуги подрядчиков (E02)</v>
          </cell>
        </row>
        <row r="63">
          <cell r="B63" t="str">
            <v>Услуги подрядчиков (E06)</v>
          </cell>
        </row>
        <row r="64">
          <cell r="B64" t="str">
            <v>Услуги порта (E04)</v>
          </cell>
        </row>
        <row r="65">
          <cell r="B65" t="str">
            <v>Услуги управляющей компании (E05)</v>
          </cell>
        </row>
        <row r="66">
          <cell r="B66" t="str">
            <v>Услуги фрахта (E04)</v>
          </cell>
        </row>
        <row r="67">
          <cell r="B67" t="str">
            <v>Факт.затраты на рекульт-ю/ликв-ю, под которые создан резерв (E02)</v>
          </cell>
        </row>
        <row r="68">
          <cell r="B68" t="str">
            <v>Ферросплавы (E02)</v>
          </cell>
        </row>
        <row r="69">
          <cell r="B69" t="str">
            <v>Ферросплавы (E06)</v>
          </cell>
        </row>
        <row r="70">
          <cell r="B70" t="str">
            <v>Энергозатраты (E02)</v>
          </cell>
        </row>
        <row r="71">
          <cell r="B71" t="str">
            <v>Энергозатраты на себестоимость (E06)</v>
          </cell>
        </row>
      </sheetData>
      <sheetData sheetId="4" refreshError="1">
        <row r="3">
          <cell r="A3" t="str">
            <v>AUDT</v>
          </cell>
        </row>
        <row r="4">
          <cell r="A4" t="str">
            <v>CADT</v>
          </cell>
        </row>
        <row r="5">
          <cell r="A5" t="str">
            <v>CHFT</v>
          </cell>
        </row>
        <row r="6">
          <cell r="A6" t="str">
            <v>CNYT</v>
          </cell>
        </row>
        <row r="7">
          <cell r="A7" t="str">
            <v>CZKT</v>
          </cell>
        </row>
        <row r="8">
          <cell r="A8" t="str">
            <v>EURT</v>
          </cell>
        </row>
        <row r="9">
          <cell r="A9" t="str">
            <v>GBPT</v>
          </cell>
        </row>
        <row r="10">
          <cell r="A10" t="str">
            <v>JPYT</v>
          </cell>
        </row>
        <row r="11">
          <cell r="A11" t="str">
            <v>KZTT</v>
          </cell>
        </row>
        <row r="12">
          <cell r="A12" t="str">
            <v>RUBT</v>
          </cell>
        </row>
        <row r="13">
          <cell r="A13" t="str">
            <v>UAH</v>
          </cell>
        </row>
        <row r="14">
          <cell r="A14" t="str">
            <v>UAHT</v>
          </cell>
        </row>
        <row r="15">
          <cell r="A15" t="str">
            <v>USDT</v>
          </cell>
        </row>
        <row r="16">
          <cell r="A16" t="str">
            <v>ZART</v>
          </cell>
        </row>
        <row r="17">
          <cell r="A17" t="str">
            <v>ZZZZ</v>
          </cell>
        </row>
      </sheetData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орма 2"/>
      <sheetName val="XLR_NoRangeSheet"/>
    </sheetNames>
    <sheetDataSet>
      <sheetData sheetId="0" refreshError="1"/>
      <sheetData sheetId="1">
        <row r="6">
          <cell r="AM6">
            <v>39814.876363541669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4_Свод"/>
      <sheetName val="Ф1"/>
      <sheetName val="Ф2"/>
      <sheetName val="Ф3"/>
      <sheetName val="Мат.помощь по похоронам"/>
      <sheetName val="Мат.помощь семьям погибщих"/>
      <sheetName val="Юбилеи"/>
      <sheetName val="3-26"/>
      <sheetName val="ФИНПЛАН"/>
      <sheetName val="XLR_NoRange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"/>
      <sheetName val="BS"/>
      <sheetName val="PL"/>
      <sheetName val="MEF 2005"/>
      <sheetName val="MEF adj 2005"/>
      <sheetName val="Changes"/>
      <sheetName val="CFS 2005"/>
      <sheetName val="Divs"/>
      <sheetName val="DTX 2005"/>
      <sheetName val="DTX support"/>
      <sheetName val="MEF 2004"/>
      <sheetName val="Sets"/>
      <sheetName val="Port - Social exp"/>
      <sheetName val="кварталы"/>
      <sheetName val="полугодие"/>
      <sheetName val="Вып.П.П."/>
      <sheetName val="База"/>
      <sheetName val="Assumptions"/>
      <sheetName val="MAIN_page"/>
      <sheetName val="Фин план"/>
      <sheetName val="Структура портфеля"/>
      <sheetName val="Актив"/>
      <sheetName val="EC552378 Corp Cusip8"/>
      <sheetName val="TT333718 Govt"/>
      <sheetName val="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fedstat.ru/indicator/33568" TargetMode="External"/><Relationship Id="rId1" Type="http://schemas.openxmlformats.org/officeDocument/2006/relationships/hyperlink" Target="https://www.fedstat.ru/indicator/33568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zoomScale="80" zoomScaleNormal="80" workbookViewId="0">
      <selection activeCell="C1" sqref="C1"/>
    </sheetView>
  </sheetViews>
  <sheetFormatPr defaultColWidth="9.1796875" defaultRowHeight="12.5"/>
  <cols>
    <col min="1" max="1" width="10.81640625" style="110" bestFit="1" customWidth="1"/>
    <col min="2" max="2" width="45.453125" style="110" customWidth="1"/>
    <col min="3" max="3" width="43.81640625" style="110" customWidth="1"/>
    <col min="4" max="4" width="78.54296875" style="110" customWidth="1"/>
    <col min="5" max="5" width="67" style="110" customWidth="1"/>
    <col min="6" max="16384" width="9.1796875" style="110"/>
  </cols>
  <sheetData>
    <row r="1" spans="1:6" ht="13">
      <c r="A1" s="109" t="s">
        <v>798</v>
      </c>
      <c r="F1" s="108" t="s">
        <v>524</v>
      </c>
    </row>
    <row r="2" spans="1:6" ht="13">
      <c r="A2" s="109" t="s">
        <v>587</v>
      </c>
    </row>
    <row r="3" spans="1:6">
      <c r="A3" s="110" t="s">
        <v>0</v>
      </c>
    </row>
    <row r="4" spans="1:6">
      <c r="C4" s="116"/>
    </row>
    <row r="5" spans="1:6" ht="13">
      <c r="B5" s="406" t="s">
        <v>475</v>
      </c>
      <c r="E5" s="99"/>
    </row>
    <row r="6" spans="1:6" ht="13">
      <c r="B6" s="100" t="s">
        <v>280</v>
      </c>
      <c r="D6" s="101"/>
      <c r="E6" s="99"/>
    </row>
    <row r="7" spans="1:6" ht="13">
      <c r="B7" s="101"/>
      <c r="D7" s="101"/>
      <c r="E7" s="99"/>
    </row>
    <row r="8" spans="1:6" ht="13">
      <c r="B8" s="102" t="s">
        <v>281</v>
      </c>
      <c r="C8" s="102" t="s">
        <v>526</v>
      </c>
      <c r="D8" s="102" t="s">
        <v>415</v>
      </c>
      <c r="E8" s="102" t="s">
        <v>631</v>
      </c>
      <c r="F8" s="103" t="s">
        <v>28</v>
      </c>
    </row>
    <row r="9" spans="1:6" ht="95.5" customHeight="1">
      <c r="B9" s="407" t="s">
        <v>476</v>
      </c>
      <c r="C9" s="454" t="s">
        <v>477</v>
      </c>
      <c r="D9" s="408" t="s">
        <v>489</v>
      </c>
      <c r="E9" s="593" t="s">
        <v>632</v>
      </c>
      <c r="F9" s="418" t="s">
        <v>282</v>
      </c>
    </row>
    <row r="10" spans="1:6" ht="13.25" customHeight="1">
      <c r="B10" s="409" t="s">
        <v>476</v>
      </c>
      <c r="C10" s="455" t="s">
        <v>478</v>
      </c>
      <c r="D10" s="594" t="s">
        <v>479</v>
      </c>
      <c r="E10" s="79" t="s">
        <v>633</v>
      </c>
      <c r="F10" s="419" t="s">
        <v>283</v>
      </c>
    </row>
    <row r="11" spans="1:6" ht="87.5">
      <c r="B11" s="409" t="s">
        <v>480</v>
      </c>
      <c r="C11" s="455" t="s">
        <v>481</v>
      </c>
      <c r="D11" s="410" t="s">
        <v>482</v>
      </c>
      <c r="E11" s="79" t="s">
        <v>633</v>
      </c>
      <c r="F11" s="419" t="s">
        <v>286</v>
      </c>
    </row>
    <row r="12" spans="1:6" ht="50">
      <c r="B12" s="409" t="s">
        <v>476</v>
      </c>
      <c r="C12" s="455" t="s">
        <v>483</v>
      </c>
      <c r="D12" s="410" t="s">
        <v>484</v>
      </c>
      <c r="E12" s="79" t="s">
        <v>633</v>
      </c>
      <c r="F12" s="419" t="s">
        <v>283</v>
      </c>
    </row>
    <row r="13" spans="1:6" ht="50">
      <c r="B13" s="409" t="s">
        <v>476</v>
      </c>
      <c r="C13" s="411" t="s">
        <v>485</v>
      </c>
      <c r="D13" s="411" t="s">
        <v>287</v>
      </c>
      <c r="E13" s="79" t="s">
        <v>633</v>
      </c>
      <c r="F13" s="418" t="s">
        <v>282</v>
      </c>
    </row>
    <row r="14" spans="1:6" ht="50">
      <c r="B14" s="412" t="s">
        <v>480</v>
      </c>
      <c r="C14" s="79" t="s">
        <v>486</v>
      </c>
      <c r="D14" s="79" t="s">
        <v>285</v>
      </c>
      <c r="E14" s="79" t="s">
        <v>633</v>
      </c>
      <c r="F14" s="418" t="s">
        <v>286</v>
      </c>
    </row>
    <row r="15" spans="1:6" ht="75">
      <c r="B15" s="413" t="s">
        <v>487</v>
      </c>
      <c r="C15" s="456" t="s">
        <v>488</v>
      </c>
      <c r="D15" s="414"/>
      <c r="E15" s="165" t="s">
        <v>634</v>
      </c>
      <c r="F15" s="418" t="s">
        <v>282</v>
      </c>
    </row>
    <row r="16" spans="1:6" ht="262.5">
      <c r="B16" s="412" t="s">
        <v>480</v>
      </c>
      <c r="C16" s="79" t="s">
        <v>781</v>
      </c>
      <c r="D16" s="79" t="s">
        <v>782</v>
      </c>
      <c r="E16" s="79" t="s">
        <v>782</v>
      </c>
      <c r="F16" s="108" t="s">
        <v>789</v>
      </c>
    </row>
    <row r="17" spans="2:6" ht="137.5">
      <c r="B17" s="412" t="s">
        <v>480</v>
      </c>
      <c r="C17" s="79" t="s">
        <v>783</v>
      </c>
      <c r="D17" s="79" t="s">
        <v>784</v>
      </c>
      <c r="E17" s="79" t="s">
        <v>784</v>
      </c>
      <c r="F17" s="108" t="s">
        <v>789</v>
      </c>
    </row>
    <row r="18" spans="2:6" ht="237.5">
      <c r="B18" s="412" t="s">
        <v>480</v>
      </c>
      <c r="C18" s="79" t="s">
        <v>785</v>
      </c>
      <c r="D18" s="79" t="s">
        <v>786</v>
      </c>
      <c r="E18" s="79" t="s">
        <v>786</v>
      </c>
      <c r="F18" s="108" t="s">
        <v>789</v>
      </c>
    </row>
    <row r="19" spans="2:6" ht="162.5">
      <c r="B19" s="412" t="s">
        <v>480</v>
      </c>
      <c r="C19" s="79" t="s">
        <v>787</v>
      </c>
      <c r="D19" s="79" t="s">
        <v>788</v>
      </c>
      <c r="E19" s="79" t="s">
        <v>788</v>
      </c>
      <c r="F19" s="108" t="s">
        <v>789</v>
      </c>
    </row>
    <row r="20" spans="2:6" ht="13">
      <c r="B20" s="104"/>
      <c r="C20" s="105"/>
      <c r="D20" s="106"/>
      <c r="E20" s="415"/>
      <c r="F20" s="415"/>
    </row>
    <row r="21" spans="2:6">
      <c r="B21" s="135"/>
      <c r="C21" s="135"/>
      <c r="D21" s="135"/>
      <c r="E21" s="135"/>
      <c r="F21" s="135"/>
    </row>
    <row r="22" spans="2:6" ht="13">
      <c r="B22" s="406" t="s">
        <v>490</v>
      </c>
    </row>
    <row r="23" spans="2:6" ht="26">
      <c r="B23" s="457" t="s">
        <v>525</v>
      </c>
    </row>
    <row r="25" spans="2:6" ht="13">
      <c r="B25" s="102" t="s">
        <v>281</v>
      </c>
      <c r="C25" s="102" t="s">
        <v>526</v>
      </c>
      <c r="D25" s="102" t="s">
        <v>415</v>
      </c>
      <c r="E25" s="102" t="s">
        <v>631</v>
      </c>
      <c r="F25" s="103" t="s">
        <v>28</v>
      </c>
    </row>
    <row r="26" spans="2:6" ht="96.75" customHeight="1">
      <c r="B26" s="407" t="s">
        <v>476</v>
      </c>
      <c r="C26" s="454" t="s">
        <v>491</v>
      </c>
      <c r="D26" s="453" t="s">
        <v>497</v>
      </c>
      <c r="E26" s="595" t="s">
        <v>632</v>
      </c>
      <c r="F26" s="417" t="s">
        <v>282</v>
      </c>
    </row>
    <row r="27" spans="2:6" ht="50">
      <c r="B27" s="409" t="s">
        <v>476</v>
      </c>
      <c r="C27" s="455" t="s">
        <v>492</v>
      </c>
      <c r="D27" s="411" t="s">
        <v>493</v>
      </c>
      <c r="E27" s="79" t="s">
        <v>633</v>
      </c>
      <c r="F27" s="417" t="s">
        <v>284</v>
      </c>
    </row>
    <row r="28" spans="2:6" ht="50">
      <c r="B28" s="409" t="s">
        <v>476</v>
      </c>
      <c r="C28" s="411" t="s">
        <v>494</v>
      </c>
      <c r="D28" s="411" t="s">
        <v>495</v>
      </c>
      <c r="E28" s="412" t="s">
        <v>633</v>
      </c>
      <c r="F28" s="417" t="s">
        <v>284</v>
      </c>
    </row>
    <row r="29" spans="2:6" ht="50">
      <c r="B29" s="413" t="s">
        <v>476</v>
      </c>
      <c r="C29" s="416" t="s">
        <v>496</v>
      </c>
      <c r="D29" s="416" t="s">
        <v>287</v>
      </c>
      <c r="E29" s="165" t="s">
        <v>633</v>
      </c>
      <c r="F29" s="420" t="s">
        <v>284</v>
      </c>
    </row>
  </sheetData>
  <conditionalFormatting sqref="B8">
    <cfRule type="cellIs" dxfId="2" priority="2" stopIfTrue="1" operator="equal">
      <formula>#REF!</formula>
    </cfRule>
  </conditionalFormatting>
  <conditionalFormatting sqref="B25">
    <cfRule type="cellIs" dxfId="1" priority="1" stopIfTrue="1" operator="equal">
      <formula>#REF!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9"/>
  <sheetViews>
    <sheetView topLeftCell="A49" zoomScale="80" zoomScaleNormal="80" workbookViewId="0">
      <selection activeCell="C57" sqref="C57"/>
    </sheetView>
  </sheetViews>
  <sheetFormatPr defaultColWidth="9.1796875" defaultRowHeight="12.5"/>
  <cols>
    <col min="1" max="1" width="16.81640625" style="225" customWidth="1"/>
    <col min="2" max="2" width="34.453125" style="225" customWidth="1"/>
    <col min="3" max="3" width="11.453125" style="225" customWidth="1"/>
    <col min="4" max="4" width="18.1796875" style="225" bestFit="1" customWidth="1"/>
    <col min="5" max="5" width="11.453125" style="225" bestFit="1" customWidth="1"/>
    <col min="6" max="6" width="12.1796875" style="225" bestFit="1" customWidth="1"/>
    <col min="7" max="7" width="12.54296875" style="225" customWidth="1"/>
    <col min="8" max="8" width="29" style="225" customWidth="1"/>
    <col min="9" max="9" width="12.81640625" style="225" customWidth="1"/>
    <col min="10" max="10" width="15.81640625" style="225" customWidth="1"/>
    <col min="11" max="11" width="24.81640625" style="225" customWidth="1"/>
    <col min="12" max="12" width="25" style="225" customWidth="1"/>
    <col min="13" max="13" width="16.1796875" style="225" customWidth="1"/>
    <col min="14" max="14" width="10.1796875" style="225" customWidth="1"/>
    <col min="15" max="19" width="9.1796875" style="225"/>
    <col min="20" max="20" width="5" style="225" bestFit="1" customWidth="1"/>
    <col min="21" max="16384" width="9.1796875" style="225"/>
  </cols>
  <sheetData>
    <row r="1" spans="1:20" ht="13">
      <c r="A1" s="1" t="s">
        <v>798</v>
      </c>
      <c r="B1" s="110"/>
      <c r="C1" s="110"/>
      <c r="D1" s="157" t="s">
        <v>760</v>
      </c>
      <c r="E1" s="111" t="s">
        <v>2</v>
      </c>
      <c r="F1" s="111" t="s">
        <v>3</v>
      </c>
      <c r="H1" s="610"/>
      <c r="I1" s="611" t="s">
        <v>4</v>
      </c>
      <c r="J1" s="49"/>
      <c r="K1" s="612" t="s">
        <v>293</v>
      </c>
      <c r="L1" s="49"/>
      <c r="M1" s="110"/>
      <c r="O1" s="118"/>
      <c r="P1" s="170"/>
      <c r="Q1" s="5" t="s">
        <v>738</v>
      </c>
    </row>
    <row r="2" spans="1:20" ht="13">
      <c r="A2" s="109" t="str">
        <f>'ВД0 Рабочая программа'!A2</f>
        <v>31.12.2018</v>
      </c>
      <c r="B2" s="110"/>
      <c r="C2" s="110"/>
      <c r="D2" s="700" t="s">
        <v>637</v>
      </c>
      <c r="E2" s="701">
        <v>24800</v>
      </c>
      <c r="F2" s="702">
        <f>E2*$I$9</f>
        <v>1555152.7333698627</v>
      </c>
      <c r="H2" s="650" t="s">
        <v>315</v>
      </c>
      <c r="I2" s="615">
        <v>61.435800366300377</v>
      </c>
      <c r="J2" s="49"/>
      <c r="K2" s="613" t="s">
        <v>5</v>
      </c>
      <c r="L2" s="584" t="s">
        <v>9</v>
      </c>
      <c r="M2" s="110"/>
      <c r="O2" s="110"/>
      <c r="P2" s="135"/>
      <c r="Q2" s="110"/>
    </row>
    <row r="3" spans="1:20" ht="13">
      <c r="A3" s="2" t="s">
        <v>739</v>
      </c>
      <c r="B3" s="110"/>
      <c r="C3" s="110"/>
      <c r="D3" s="699" t="s">
        <v>638</v>
      </c>
      <c r="E3" s="62">
        <v>2600</v>
      </c>
      <c r="F3" s="600">
        <f>E3*$I$9</f>
        <v>163040.2059178082</v>
      </c>
      <c r="H3" s="651" t="s">
        <v>6</v>
      </c>
      <c r="I3" s="616">
        <v>58.255220833333389</v>
      </c>
      <c r="J3" s="49"/>
      <c r="K3" s="613" t="s">
        <v>7</v>
      </c>
      <c r="L3" s="584" t="s">
        <v>10</v>
      </c>
      <c r="M3" s="110"/>
      <c r="O3" s="110"/>
      <c r="P3" s="135"/>
      <c r="Q3" s="110"/>
    </row>
    <row r="4" spans="1:20" ht="13">
      <c r="A4" s="3" t="s">
        <v>1</v>
      </c>
      <c r="B4" s="110"/>
      <c r="C4" s="110"/>
      <c r="D4" s="76" t="s">
        <v>258</v>
      </c>
      <c r="E4" s="62">
        <f>E2*0.25</f>
        <v>6200</v>
      </c>
      <c r="F4" s="601">
        <f>E4*$I$9</f>
        <v>388788.18334246567</v>
      </c>
      <c r="H4" s="652" t="s">
        <v>316</v>
      </c>
      <c r="I4" s="616">
        <v>65.590599999999995</v>
      </c>
      <c r="J4" s="49"/>
      <c r="K4" s="613" t="s">
        <v>11</v>
      </c>
      <c r="L4" s="584" t="s">
        <v>12</v>
      </c>
      <c r="M4" s="110"/>
      <c r="O4" s="110"/>
      <c r="P4" s="135"/>
      <c r="Q4" s="110"/>
    </row>
    <row r="5" spans="1:20">
      <c r="A5" s="110"/>
      <c r="B5" s="110"/>
      <c r="C5" s="110"/>
      <c r="D5" s="76" t="s">
        <v>308</v>
      </c>
      <c r="E5" s="62">
        <f>E4*3/4</f>
        <v>4650</v>
      </c>
      <c r="F5" s="601">
        <f>E5*$I$9</f>
        <v>291591.13750684925</v>
      </c>
      <c r="H5" s="652" t="s">
        <v>8</v>
      </c>
      <c r="I5" s="616">
        <v>58.0169</v>
      </c>
      <c r="J5" s="49"/>
      <c r="K5" s="613" t="s">
        <v>13</v>
      </c>
      <c r="L5" s="584" t="s">
        <v>14</v>
      </c>
      <c r="M5" s="110"/>
      <c r="O5" s="110"/>
      <c r="P5" s="135"/>
      <c r="Q5" s="110"/>
    </row>
    <row r="6" spans="1:20">
      <c r="A6" s="110"/>
      <c r="B6" s="110"/>
      <c r="C6" s="110"/>
      <c r="D6" s="77" t="s">
        <v>600</v>
      </c>
      <c r="E6" s="63">
        <f>E4/2</f>
        <v>3100</v>
      </c>
      <c r="F6" s="568">
        <f>E6*$I$9</f>
        <v>194394.09167123283</v>
      </c>
      <c r="H6" s="653" t="s">
        <v>309</v>
      </c>
      <c r="I6" s="617">
        <v>58.352899999999998</v>
      </c>
      <c r="J6" s="49"/>
      <c r="K6" s="613" t="s">
        <v>15</v>
      </c>
      <c r="L6" s="584" t="s">
        <v>16</v>
      </c>
      <c r="M6" s="110"/>
      <c r="O6" s="110"/>
      <c r="P6" s="135"/>
      <c r="Q6" s="110"/>
    </row>
    <row r="7" spans="1:20">
      <c r="A7" s="110"/>
      <c r="B7" s="110"/>
      <c r="C7" s="110"/>
      <c r="G7" s="161"/>
      <c r="H7" s="654" t="s">
        <v>310</v>
      </c>
      <c r="I7" s="618">
        <v>57.600200000000001</v>
      </c>
      <c r="J7" s="49"/>
      <c r="K7" s="613" t="s">
        <v>17</v>
      </c>
      <c r="L7" s="584" t="s">
        <v>18</v>
      </c>
      <c r="M7" s="117"/>
      <c r="O7" s="110"/>
      <c r="P7" s="135"/>
      <c r="Q7" s="110"/>
    </row>
    <row r="8" spans="1:20" ht="13">
      <c r="A8" s="110"/>
      <c r="B8" s="142"/>
      <c r="C8" s="110"/>
      <c r="G8" s="110"/>
      <c r="H8" s="581" t="s">
        <v>652</v>
      </c>
      <c r="I8" s="617">
        <v>69.470600000000005</v>
      </c>
      <c r="J8" s="49"/>
      <c r="K8" s="613" t="s">
        <v>19</v>
      </c>
      <c r="L8" s="584" t="s">
        <v>20</v>
      </c>
      <c r="M8" s="110"/>
      <c r="O8" s="110"/>
      <c r="P8" s="135"/>
      <c r="Q8" s="110"/>
    </row>
    <row r="9" spans="1:20">
      <c r="A9" s="110"/>
      <c r="B9" s="181"/>
      <c r="C9" s="110"/>
      <c r="G9" s="110"/>
      <c r="H9" s="582" t="s">
        <v>651</v>
      </c>
      <c r="I9" s="619">
        <v>62.707771506849305</v>
      </c>
      <c r="J9" s="49"/>
      <c r="K9" s="49"/>
      <c r="L9" s="49"/>
      <c r="M9" s="110"/>
      <c r="O9" s="110"/>
      <c r="P9" s="110"/>
      <c r="Q9" s="110"/>
    </row>
    <row r="10" spans="1:20">
      <c r="A10" s="110"/>
      <c r="B10" s="181"/>
      <c r="C10" s="110"/>
      <c r="G10" s="110"/>
      <c r="H10" s="110"/>
      <c r="I10" s="110"/>
      <c r="J10" s="696"/>
      <c r="K10" s="697"/>
      <c r="L10" s="49"/>
      <c r="M10" s="49"/>
      <c r="N10" s="49"/>
      <c r="O10" s="49"/>
      <c r="P10" s="49"/>
      <c r="Q10" s="110"/>
      <c r="R10" s="110"/>
      <c r="S10" s="110"/>
      <c r="T10" s="110"/>
    </row>
    <row r="11" spans="1:20">
      <c r="A11" s="110"/>
      <c r="B11" s="181"/>
      <c r="C11" s="110"/>
      <c r="G11" s="110"/>
      <c r="H11" s="110"/>
      <c r="I11" s="110"/>
      <c r="J11" s="696"/>
      <c r="K11" s="697"/>
      <c r="L11" s="49"/>
      <c r="M11" s="49"/>
      <c r="N11" s="49"/>
      <c r="O11" s="49"/>
      <c r="P11" s="49"/>
      <c r="Q11" s="110"/>
      <c r="R11" s="110"/>
      <c r="S11" s="110"/>
      <c r="T11" s="110"/>
    </row>
    <row r="12" spans="1:20">
      <c r="A12" s="110"/>
      <c r="B12" s="181"/>
      <c r="C12" s="110"/>
      <c r="D12" s="110"/>
      <c r="E12" s="110"/>
      <c r="F12" s="110"/>
      <c r="G12" s="110"/>
      <c r="H12" s="110"/>
      <c r="I12" s="110"/>
      <c r="J12" s="696"/>
      <c r="K12" s="697"/>
      <c r="L12" s="49"/>
      <c r="M12" s="49"/>
      <c r="N12" s="49"/>
      <c r="O12" s="49"/>
      <c r="P12" s="49"/>
      <c r="Q12" s="110"/>
      <c r="R12" s="110"/>
      <c r="S12" s="110"/>
      <c r="T12" s="110"/>
    </row>
    <row r="13" spans="1:20" ht="13">
      <c r="B13" s="270" t="s">
        <v>21</v>
      </c>
    </row>
    <row r="14" spans="1:20">
      <c r="B14" s="680" t="s">
        <v>740</v>
      </c>
    </row>
    <row r="15" spans="1:20" ht="13">
      <c r="B15" s="270"/>
    </row>
    <row r="16" spans="1:20" ht="13">
      <c r="B16" s="270" t="s">
        <v>22</v>
      </c>
      <c r="C16" s="268"/>
      <c r="D16" s="268"/>
      <c r="E16" s="268"/>
      <c r="F16" s="268"/>
      <c r="G16" s="268"/>
      <c r="H16" s="268"/>
      <c r="I16" s="268"/>
      <c r="J16" s="268"/>
      <c r="K16" s="268"/>
    </row>
    <row r="17" spans="2:11">
      <c r="B17" s="722" t="s">
        <v>741</v>
      </c>
      <c r="C17" s="268"/>
      <c r="D17" s="268"/>
      <c r="E17" s="268"/>
      <c r="F17" s="268"/>
      <c r="G17" s="268"/>
      <c r="H17" s="268"/>
      <c r="I17" s="268"/>
      <c r="J17" s="268"/>
      <c r="K17" s="268"/>
    </row>
    <row r="18" spans="2:11">
      <c r="B18" s="116"/>
      <c r="C18" s="268"/>
      <c r="D18" s="268"/>
      <c r="E18" s="268"/>
      <c r="F18" s="268"/>
      <c r="G18" s="268"/>
      <c r="H18" s="268"/>
      <c r="I18" s="268"/>
      <c r="J18" s="268"/>
      <c r="K18" s="268"/>
    </row>
    <row r="19" spans="2:11" ht="13">
      <c r="B19" s="266" t="s">
        <v>24</v>
      </c>
      <c r="C19" s="268"/>
      <c r="D19" s="268"/>
      <c r="E19" s="268"/>
      <c r="F19" s="268"/>
      <c r="G19" s="268"/>
      <c r="H19" s="268"/>
      <c r="I19" s="268"/>
      <c r="J19" s="268"/>
      <c r="K19" s="268"/>
    </row>
    <row r="20" spans="2:11">
      <c r="B20" s="116" t="s">
        <v>771</v>
      </c>
      <c r="C20" s="268"/>
      <c r="D20" s="268"/>
      <c r="E20" s="268"/>
      <c r="F20" s="268"/>
      <c r="G20" s="268"/>
      <c r="H20" s="268"/>
      <c r="I20" s="268"/>
      <c r="J20" s="268"/>
      <c r="K20" s="268"/>
    </row>
    <row r="24" spans="2:11" ht="13">
      <c r="B24" s="318" t="s">
        <v>742</v>
      </c>
      <c r="C24" s="110"/>
    </row>
    <row r="25" spans="2:11" ht="13">
      <c r="B25" s="110"/>
      <c r="C25" s="186" t="s">
        <v>527</v>
      </c>
      <c r="F25" s="186" t="s">
        <v>465</v>
      </c>
      <c r="G25" s="110"/>
      <c r="H25" s="683"/>
    </row>
    <row r="26" spans="2:11" ht="13">
      <c r="B26" s="110"/>
      <c r="C26" s="681" t="s">
        <v>743</v>
      </c>
      <c r="F26" s="691" t="s">
        <v>565</v>
      </c>
      <c r="G26" s="691" t="s">
        <v>743</v>
      </c>
      <c r="H26" s="692" t="s">
        <v>27</v>
      </c>
    </row>
    <row r="27" spans="2:11" ht="13">
      <c r="B27" s="682" t="s">
        <v>744</v>
      </c>
      <c r="C27" s="578">
        <v>119700.97</v>
      </c>
      <c r="D27" s="170"/>
      <c r="E27" s="170" t="s">
        <v>282</v>
      </c>
      <c r="F27" s="578">
        <f>'ВД1 Свод'!R58</f>
        <v>7522761.04</v>
      </c>
      <c r="G27" s="578">
        <f>F27/$I$9</f>
        <v>119965.37046733228</v>
      </c>
      <c r="H27" s="578">
        <f>G27-C27</f>
        <v>264.40046733227791</v>
      </c>
      <c r="I27" s="695" t="s">
        <v>585</v>
      </c>
    </row>
    <row r="28" spans="2:11" ht="13">
      <c r="B28" s="169" t="s">
        <v>745</v>
      </c>
      <c r="C28" s="574">
        <v>28782.67</v>
      </c>
      <c r="D28" s="132"/>
      <c r="F28" s="574">
        <f>'ВД1 Свод'!R59</f>
        <v>1821790</v>
      </c>
      <c r="G28" s="580">
        <f>F28/$I$9</f>
        <v>29052.060952301799</v>
      </c>
      <c r="H28" s="574">
        <f>G28-C28</f>
        <v>269.39095230180101</v>
      </c>
    </row>
    <row r="29" spans="2:11" ht="13">
      <c r="B29" s="135" t="s">
        <v>746</v>
      </c>
      <c r="C29" s="574">
        <v>234.04</v>
      </c>
      <c r="D29" s="132"/>
      <c r="F29" s="580">
        <f>'ВД1 Свод'!R70</f>
        <v>13745</v>
      </c>
      <c r="G29" s="580">
        <f>F29/$I$9</f>
        <v>219.19133258464927</v>
      </c>
      <c r="H29" s="574">
        <f>G29-C29</f>
        <v>-14.848667415350718</v>
      </c>
    </row>
    <row r="30" spans="2:11" ht="13">
      <c r="B30" s="78" t="s">
        <v>747</v>
      </c>
      <c r="C30" s="575">
        <v>90684.26</v>
      </c>
      <c r="D30" s="132"/>
      <c r="F30" s="575">
        <f>'ВД1 Свод'!R63</f>
        <v>5687226.04</v>
      </c>
      <c r="G30" s="575">
        <f>F30/$I$9</f>
        <v>90694.118182445833</v>
      </c>
      <c r="H30" s="575">
        <f>G30-C30</f>
        <v>9.8581824458378833</v>
      </c>
    </row>
    <row r="31" spans="2:11" ht="13">
      <c r="D31" s="712" t="s">
        <v>662</v>
      </c>
      <c r="E31" s="170"/>
    </row>
    <row r="32" spans="2:11">
      <c r="D32" s="268"/>
    </row>
    <row r="33" spans="2:9">
      <c r="D33" s="268"/>
    </row>
    <row r="34" spans="2:9">
      <c r="D34" s="268"/>
    </row>
    <row r="35" spans="2:9" ht="13">
      <c r="B35" s="109" t="s">
        <v>748</v>
      </c>
      <c r="C35" s="135"/>
      <c r="D35" s="268"/>
    </row>
    <row r="36" spans="2:9" ht="13">
      <c r="B36" s="116"/>
      <c r="C36" s="186" t="s">
        <v>527</v>
      </c>
      <c r="D36" s="268"/>
      <c r="F36" s="186" t="s">
        <v>465</v>
      </c>
    </row>
    <row r="37" spans="2:9" ht="13">
      <c r="B37" s="684" t="s">
        <v>296</v>
      </c>
      <c r="C37" s="690" t="s">
        <v>743</v>
      </c>
      <c r="D37" s="132"/>
      <c r="E37" s="170" t="s">
        <v>282</v>
      </c>
      <c r="F37" s="691" t="s">
        <v>565</v>
      </c>
      <c r="G37" s="691" t="s">
        <v>743</v>
      </c>
      <c r="H37" s="692" t="s">
        <v>27</v>
      </c>
    </row>
    <row r="38" spans="2:9" ht="13">
      <c r="B38" s="686" t="s">
        <v>749</v>
      </c>
      <c r="C38" s="574">
        <v>33668.14</v>
      </c>
      <c r="D38" s="132"/>
      <c r="F38" s="574">
        <f>'ВД1 Свод'!R65</f>
        <v>2106986</v>
      </c>
      <c r="G38" s="574">
        <f t="shared" ref="G38:G45" si="0">F38/$I$9</f>
        <v>33600.077779352483</v>
      </c>
      <c r="H38" s="574">
        <f t="shared" ref="H38:H45" si="1">G38-C38</f>
        <v>-68.062220647516369</v>
      </c>
    </row>
    <row r="39" spans="2:9" ht="13">
      <c r="B39" s="687" t="s">
        <v>45</v>
      </c>
      <c r="C39" s="574">
        <v>16064.03</v>
      </c>
      <c r="D39" s="132"/>
      <c r="F39" s="574">
        <f>'ВД1 Свод'!R68</f>
        <v>1009181</v>
      </c>
      <c r="G39" s="574">
        <f t="shared" si="0"/>
        <v>16093.396013758382</v>
      </c>
      <c r="H39" s="574">
        <f t="shared" si="1"/>
        <v>29.366013758381087</v>
      </c>
    </row>
    <row r="40" spans="2:9" ht="13">
      <c r="B40" s="687" t="s">
        <v>750</v>
      </c>
      <c r="C40" s="574">
        <v>21620.82</v>
      </c>
      <c r="D40" s="132"/>
      <c r="F40" s="574">
        <f>'ВД1 Свод'!R60</f>
        <v>1372201</v>
      </c>
      <c r="G40" s="574">
        <f t="shared" si="0"/>
        <v>21882.471135975869</v>
      </c>
      <c r="H40" s="574">
        <f t="shared" si="1"/>
        <v>261.65113597586969</v>
      </c>
    </row>
    <row r="41" spans="2:9" ht="13">
      <c r="B41" s="688" t="s">
        <v>158</v>
      </c>
      <c r="C41" s="574">
        <v>4085.68</v>
      </c>
      <c r="D41" s="132"/>
      <c r="F41" s="574">
        <f>'ВД1 Свод'!R66</f>
        <v>259421.04</v>
      </c>
      <c r="G41" s="574">
        <f t="shared" si="0"/>
        <v>4136.9838820004079</v>
      </c>
      <c r="H41" s="574">
        <f t="shared" si="1"/>
        <v>51.303882000408066</v>
      </c>
    </row>
    <row r="42" spans="2:9" ht="13">
      <c r="B42" s="687" t="s">
        <v>408</v>
      </c>
      <c r="C42" s="574">
        <v>36242.629999999997</v>
      </c>
      <c r="D42" s="132"/>
      <c r="F42" s="574">
        <f>('ВД1 Свод'!R61+'ВД1 Свод'!R67+'ВД1 Свод'!R71)</f>
        <v>2268923</v>
      </c>
      <c r="G42" s="574">
        <f t="shared" si="0"/>
        <v>36182.484969222278</v>
      </c>
      <c r="H42" s="574">
        <f t="shared" si="1"/>
        <v>-60.145030777719512</v>
      </c>
    </row>
    <row r="43" spans="2:9" ht="13">
      <c r="B43" s="687" t="s">
        <v>106</v>
      </c>
      <c r="C43" s="574">
        <v>3636.65</v>
      </c>
      <c r="D43" s="132"/>
      <c r="F43" s="574">
        <f>'ВД1 Свод'!R64</f>
        <v>231105</v>
      </c>
      <c r="G43" s="574">
        <f t="shared" si="0"/>
        <v>3685.4283679138139</v>
      </c>
      <c r="H43" s="574">
        <f t="shared" si="1"/>
        <v>48.778367913813781</v>
      </c>
    </row>
    <row r="44" spans="2:9" ht="13">
      <c r="B44" s="688" t="s">
        <v>54</v>
      </c>
      <c r="C44" s="574">
        <v>4383.0200000000004</v>
      </c>
      <c r="D44" s="132"/>
      <c r="F44" s="574">
        <f>'ВД1 Свод'!R69</f>
        <v>274944</v>
      </c>
      <c r="G44" s="574">
        <f t="shared" si="0"/>
        <v>4384.5283191090439</v>
      </c>
      <c r="H44" s="574">
        <f t="shared" si="1"/>
        <v>1.5083191090434411</v>
      </c>
    </row>
    <row r="45" spans="2:9" ht="13">
      <c r="B45" s="689" t="s">
        <v>253</v>
      </c>
      <c r="C45" s="578">
        <f>SUM(C38:C44)</f>
        <v>119700.96999999999</v>
      </c>
      <c r="D45" s="204"/>
      <c r="F45" s="578">
        <f>SUM(F38:F44)</f>
        <v>7522761.04</v>
      </c>
      <c r="G45" s="578">
        <f t="shared" si="0"/>
        <v>119965.37046733228</v>
      </c>
      <c r="H45" s="578">
        <f t="shared" si="1"/>
        <v>264.40046733229246</v>
      </c>
      <c r="I45" s="695" t="s">
        <v>585</v>
      </c>
    </row>
    <row r="46" spans="2:9" ht="13">
      <c r="C46" s="574">
        <f>C45-C27</f>
        <v>0</v>
      </c>
      <c r="D46" s="712" t="s">
        <v>752</v>
      </c>
    </row>
    <row r="47" spans="2:9">
      <c r="D47" s="268"/>
    </row>
    <row r="49" spans="2:9" ht="13">
      <c r="B49" s="109" t="s">
        <v>751</v>
      </c>
      <c r="C49" s="110"/>
    </row>
    <row r="50" spans="2:9" ht="13">
      <c r="B50" s="110"/>
      <c r="C50" s="186" t="s">
        <v>527</v>
      </c>
      <c r="F50" s="186" t="s">
        <v>465</v>
      </c>
    </row>
    <row r="51" spans="2:9" ht="13">
      <c r="B51" s="314"/>
      <c r="C51" s="685" t="s">
        <v>743</v>
      </c>
      <c r="F51" s="691" t="s">
        <v>565</v>
      </c>
      <c r="G51" s="691" t="s">
        <v>743</v>
      </c>
      <c r="H51" s="692" t="s">
        <v>27</v>
      </c>
    </row>
    <row r="52" spans="2:9" ht="13">
      <c r="B52" s="225" t="s">
        <v>790</v>
      </c>
      <c r="C52" s="574">
        <v>21620.82</v>
      </c>
      <c r="E52" s="170" t="s">
        <v>282</v>
      </c>
      <c r="F52" s="667">
        <f>'ВД1 Свод'!R60</f>
        <v>1372201</v>
      </c>
      <c r="G52" s="667">
        <f t="shared" ref="G52:G58" si="2">F52/$I$9</f>
        <v>21882.471135975869</v>
      </c>
      <c r="H52" s="667">
        <f>G52-C52</f>
        <v>261.65113597586969</v>
      </c>
    </row>
    <row r="53" spans="2:9">
      <c r="B53" s="225" t="s">
        <v>754</v>
      </c>
      <c r="C53" s="574">
        <v>2.6</v>
      </c>
      <c r="E53" s="694" t="s">
        <v>585</v>
      </c>
      <c r="F53" s="667">
        <v>0</v>
      </c>
      <c r="G53" s="667">
        <f t="shared" si="2"/>
        <v>0</v>
      </c>
      <c r="H53" s="667">
        <f t="shared" ref="H53:H58" si="3">G53-C53</f>
        <v>-2.6</v>
      </c>
    </row>
    <row r="54" spans="2:9">
      <c r="B54" s="225" t="s">
        <v>363</v>
      </c>
      <c r="C54" s="574">
        <v>341.67</v>
      </c>
      <c r="E54" s="694" t="s">
        <v>585</v>
      </c>
      <c r="F54" s="667">
        <v>0</v>
      </c>
      <c r="G54" s="667">
        <f t="shared" si="2"/>
        <v>0</v>
      </c>
      <c r="H54" s="667">
        <f t="shared" si="3"/>
        <v>-341.67</v>
      </c>
    </row>
    <row r="55" spans="2:9">
      <c r="B55" s="225" t="s">
        <v>768</v>
      </c>
      <c r="C55" s="574">
        <v>3.93</v>
      </c>
      <c r="E55" s="694" t="s">
        <v>585</v>
      </c>
      <c r="F55" s="667">
        <v>0</v>
      </c>
      <c r="G55" s="667">
        <f t="shared" si="2"/>
        <v>0</v>
      </c>
      <c r="H55" s="667">
        <f t="shared" si="3"/>
        <v>-3.93</v>
      </c>
    </row>
    <row r="56" spans="2:9" ht="13">
      <c r="B56" s="225" t="s">
        <v>791</v>
      </c>
      <c r="C56" s="574">
        <v>4056.61</v>
      </c>
      <c r="E56" s="170" t="s">
        <v>286</v>
      </c>
      <c r="F56" s="667">
        <f>'ВД4 Профессиональные услуги'!P56</f>
        <v>230045.34918000002</v>
      </c>
      <c r="G56" s="667">
        <f t="shared" si="2"/>
        <v>3668.5301303503211</v>
      </c>
      <c r="H56" s="667">
        <f t="shared" si="3"/>
        <v>-388.07986964967904</v>
      </c>
    </row>
    <row r="57" spans="2:9">
      <c r="B57" s="225" t="s">
        <v>364</v>
      </c>
      <c r="C57" s="574">
        <v>250.72</v>
      </c>
      <c r="E57" s="694" t="s">
        <v>585</v>
      </c>
      <c r="F57" s="667">
        <v>0</v>
      </c>
      <c r="G57" s="667">
        <f t="shared" si="2"/>
        <v>0</v>
      </c>
      <c r="H57" s="667">
        <f t="shared" si="3"/>
        <v>-250.72</v>
      </c>
    </row>
    <row r="58" spans="2:9" ht="13">
      <c r="B58" s="693" t="s">
        <v>817</v>
      </c>
      <c r="C58" s="575">
        <v>2506.3200000000002</v>
      </c>
      <c r="E58" s="170" t="s">
        <v>286</v>
      </c>
      <c r="F58" s="667">
        <f>'ВД4 Профессиональные услуги'!P57</f>
        <v>157711.69076</v>
      </c>
      <c r="G58" s="667">
        <f t="shared" si="2"/>
        <v>2515.0262394952724</v>
      </c>
      <c r="H58" s="667">
        <f t="shared" si="3"/>
        <v>8.706239495272257</v>
      </c>
    </row>
    <row r="59" spans="2:9" ht="13">
      <c r="B59" s="689" t="s">
        <v>253</v>
      </c>
      <c r="C59" s="578">
        <f>SUM(C52:C58)</f>
        <v>28782.67</v>
      </c>
      <c r="D59" s="712" t="s">
        <v>753</v>
      </c>
      <c r="F59" s="578">
        <f>SUM(F52:F58)</f>
        <v>1759958.0399399998</v>
      </c>
      <c r="G59" s="578">
        <f t="shared" ref="G59:H59" si="4">SUM(G52:G58)</f>
        <v>28066.027505821465</v>
      </c>
      <c r="H59" s="578">
        <f t="shared" si="4"/>
        <v>-716.64249417853716</v>
      </c>
      <c r="I59" s="695" t="s">
        <v>585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Z183"/>
  <sheetViews>
    <sheetView topLeftCell="A163" zoomScale="80" zoomScaleNormal="80" workbookViewId="0">
      <selection activeCell="D28" sqref="D28"/>
    </sheetView>
  </sheetViews>
  <sheetFormatPr defaultColWidth="19.1796875" defaultRowHeight="12.5"/>
  <cols>
    <col min="1" max="1" width="11.81640625" style="116" customWidth="1"/>
    <col min="2" max="2" width="30.81640625" style="110" customWidth="1"/>
    <col min="3" max="3" width="45" style="110" customWidth="1"/>
    <col min="4" max="5" width="19.1796875" style="110"/>
    <col min="6" max="6" width="21.1796875" style="110" customWidth="1"/>
    <col min="7" max="7" width="19.1796875" style="110"/>
    <col min="8" max="8" width="26" style="110" customWidth="1"/>
    <col min="9" max="9" width="19.1796875" style="110"/>
    <col min="10" max="10" width="13.54296875" style="110" customWidth="1"/>
    <col min="11" max="11" width="26.1796875" style="110" customWidth="1"/>
    <col min="12" max="16384" width="19.1796875" style="110"/>
  </cols>
  <sheetData>
    <row r="1" spans="1:19" ht="13">
      <c r="A1" s="1" t="s">
        <v>798</v>
      </c>
      <c r="D1" s="157" t="s">
        <v>759</v>
      </c>
      <c r="E1" s="111" t="s">
        <v>2</v>
      </c>
      <c r="F1" s="111" t="s">
        <v>3</v>
      </c>
      <c r="G1" s="157" t="s">
        <v>760</v>
      </c>
      <c r="H1" s="111" t="s">
        <v>2</v>
      </c>
      <c r="I1" s="111" t="s">
        <v>3</v>
      </c>
      <c r="K1" s="112"/>
      <c r="L1" s="113" t="s">
        <v>4</v>
      </c>
      <c r="N1" s="6" t="s">
        <v>293</v>
      </c>
      <c r="R1" s="118"/>
      <c r="S1" s="5" t="s">
        <v>282</v>
      </c>
    </row>
    <row r="2" spans="1:19" ht="13">
      <c r="A2" s="109" t="str">
        <f>'ВД0 Рабочая программа'!A2</f>
        <v>31.12.2018</v>
      </c>
      <c r="D2" s="703" t="s">
        <v>635</v>
      </c>
      <c r="E2" s="704">
        <v>24800</v>
      </c>
      <c r="F2" s="705">
        <f>E2*L2</f>
        <v>1523607.8490842495</v>
      </c>
      <c r="G2" s="700" t="s">
        <v>637</v>
      </c>
      <c r="H2" s="701">
        <v>24800</v>
      </c>
      <c r="I2" s="698">
        <f>H2*$L$12</f>
        <v>1555152.7333698627</v>
      </c>
      <c r="K2" s="650" t="s">
        <v>315</v>
      </c>
      <c r="L2" s="436">
        <v>61.435800366300377</v>
      </c>
      <c r="N2" s="4" t="s">
        <v>5</v>
      </c>
      <c r="O2" s="117" t="s">
        <v>9</v>
      </c>
    </row>
    <row r="3" spans="1:19" ht="13">
      <c r="A3" s="2" t="s">
        <v>462</v>
      </c>
      <c r="D3" s="598" t="s">
        <v>636</v>
      </c>
      <c r="E3" s="597">
        <v>2700</v>
      </c>
      <c r="F3" s="599">
        <f>E3*L2</f>
        <v>165876.66098901103</v>
      </c>
      <c r="G3" s="699" t="s">
        <v>638</v>
      </c>
      <c r="H3" s="62">
        <v>2600</v>
      </c>
      <c r="I3" s="601">
        <f t="shared" ref="I3:I6" si="0">H3*$L$12</f>
        <v>163040.2059178082</v>
      </c>
      <c r="K3" s="651" t="s">
        <v>6</v>
      </c>
      <c r="L3" s="437">
        <v>58.255220833333389</v>
      </c>
      <c r="N3" s="4" t="s">
        <v>7</v>
      </c>
      <c r="O3" s="117" t="s">
        <v>10</v>
      </c>
    </row>
    <row r="4" spans="1:19" ht="13">
      <c r="A4" s="3" t="s">
        <v>1</v>
      </c>
      <c r="D4" s="76" t="s">
        <v>258</v>
      </c>
      <c r="E4" s="161">
        <f>E2*25%</f>
        <v>6200</v>
      </c>
      <c r="F4" s="600">
        <f>F2/4</f>
        <v>380901.96227106237</v>
      </c>
      <c r="G4" s="76" t="s">
        <v>258</v>
      </c>
      <c r="H4" s="62">
        <f>H2*0.25</f>
        <v>6200</v>
      </c>
      <c r="I4" s="601">
        <f t="shared" si="0"/>
        <v>388788.18334246567</v>
      </c>
      <c r="K4" s="652" t="s">
        <v>316</v>
      </c>
      <c r="L4" s="437">
        <v>65.590599999999995</v>
      </c>
      <c r="N4" s="4" t="s">
        <v>11</v>
      </c>
      <c r="O4" s="117" t="s">
        <v>12</v>
      </c>
    </row>
    <row r="5" spans="1:19">
      <c r="A5" s="110"/>
      <c r="D5" s="76" t="s">
        <v>308</v>
      </c>
      <c r="E5" s="161">
        <f>E4*3/4</f>
        <v>4650</v>
      </c>
      <c r="F5" s="600">
        <f>F4*0.75</f>
        <v>285676.47170329676</v>
      </c>
      <c r="G5" s="76" t="s">
        <v>308</v>
      </c>
      <c r="H5" s="62">
        <f>H4*3/4</f>
        <v>4650</v>
      </c>
      <c r="I5" s="601">
        <f t="shared" si="0"/>
        <v>291591.13750684925</v>
      </c>
      <c r="K5" s="652" t="s">
        <v>8</v>
      </c>
      <c r="L5" s="437">
        <v>58.0169</v>
      </c>
      <c r="N5" s="4" t="s">
        <v>13</v>
      </c>
      <c r="O5" s="117" t="s">
        <v>14</v>
      </c>
    </row>
    <row r="6" spans="1:19">
      <c r="A6" s="110"/>
      <c r="D6" s="77" t="s">
        <v>600</v>
      </c>
      <c r="E6" s="63">
        <f>E4*0.5</f>
        <v>3100</v>
      </c>
      <c r="F6" s="568">
        <f>F4*0.5</f>
        <v>190450.98113553118</v>
      </c>
      <c r="G6" s="77" t="s">
        <v>600</v>
      </c>
      <c r="H6" s="63">
        <f>H4/2</f>
        <v>3100</v>
      </c>
      <c r="I6" s="568">
        <f t="shared" si="0"/>
        <v>194394.09167123283</v>
      </c>
      <c r="K6" s="653" t="s">
        <v>309</v>
      </c>
      <c r="L6" s="162">
        <v>58.352899999999998</v>
      </c>
      <c r="N6" s="4" t="s">
        <v>15</v>
      </c>
      <c r="O6" s="117" t="s">
        <v>16</v>
      </c>
    </row>
    <row r="7" spans="1:19">
      <c r="A7" s="110"/>
      <c r="D7" s="596"/>
      <c r="E7" s="161"/>
      <c r="F7" s="161"/>
      <c r="G7" s="161"/>
      <c r="K7" s="655" t="s">
        <v>310</v>
      </c>
      <c r="L7" s="435">
        <v>57.600200000000001</v>
      </c>
      <c r="N7" s="4" t="s">
        <v>17</v>
      </c>
      <c r="O7" s="117" t="s">
        <v>18</v>
      </c>
    </row>
    <row r="8" spans="1:19">
      <c r="A8" s="110"/>
      <c r="D8" s="596"/>
      <c r="E8" s="62"/>
      <c r="F8" s="161"/>
      <c r="K8" s="656" t="s">
        <v>515</v>
      </c>
      <c r="L8" s="438">
        <v>56.880256666666668</v>
      </c>
      <c r="N8" s="4" t="s">
        <v>19</v>
      </c>
      <c r="O8" s="117" t="s">
        <v>20</v>
      </c>
    </row>
    <row r="9" spans="1:19" ht="13">
      <c r="A9" s="110"/>
      <c r="B9" s="7" t="s">
        <v>21</v>
      </c>
      <c r="C9" s="116"/>
      <c r="D9" s="596"/>
      <c r="E9" s="8"/>
      <c r="F9" s="116"/>
      <c r="G9" s="116"/>
      <c r="K9" s="656" t="s">
        <v>516</v>
      </c>
      <c r="L9" s="438">
        <v>61.799759340659335</v>
      </c>
    </row>
    <row r="10" spans="1:19">
      <c r="A10" s="110"/>
      <c r="B10" s="116" t="s">
        <v>611</v>
      </c>
      <c r="C10" s="116"/>
      <c r="E10" s="116"/>
      <c r="F10" s="116"/>
      <c r="G10" s="116"/>
      <c r="K10" s="656" t="s">
        <v>517</v>
      </c>
      <c r="L10" s="438">
        <v>65.53230760869566</v>
      </c>
    </row>
    <row r="11" spans="1:19">
      <c r="A11" s="110"/>
      <c r="B11" s="121" t="s">
        <v>615</v>
      </c>
      <c r="C11" s="116"/>
      <c r="E11" s="116"/>
      <c r="F11" s="116"/>
      <c r="G11" s="116"/>
      <c r="K11" s="581" t="s">
        <v>652</v>
      </c>
      <c r="L11" s="162">
        <v>69.470600000000005</v>
      </c>
    </row>
    <row r="12" spans="1:19">
      <c r="A12" s="110"/>
      <c r="B12" s="121" t="s">
        <v>616</v>
      </c>
      <c r="C12" s="116"/>
      <c r="E12" s="116"/>
      <c r="F12" s="116"/>
      <c r="G12" s="116"/>
      <c r="K12" s="581" t="s">
        <v>651</v>
      </c>
      <c r="L12" s="713">
        <v>62.707771506849305</v>
      </c>
    </row>
    <row r="13" spans="1:19">
      <c r="A13" s="110"/>
      <c r="B13" s="9" t="s">
        <v>618</v>
      </c>
      <c r="C13" s="116"/>
      <c r="E13" s="116"/>
      <c r="F13" s="116"/>
      <c r="G13" s="116"/>
      <c r="H13" s="117"/>
      <c r="I13" s="119"/>
      <c r="J13" s="120"/>
      <c r="K13" s="582" t="s">
        <v>769</v>
      </c>
      <c r="L13" s="714">
        <v>59.35359779005524</v>
      </c>
    </row>
    <row r="14" spans="1:19">
      <c r="A14" s="110"/>
      <c r="B14" s="9" t="s">
        <v>617</v>
      </c>
      <c r="C14" s="116"/>
      <c r="E14" s="116"/>
      <c r="F14" s="116"/>
      <c r="G14" s="116"/>
      <c r="H14" s="117"/>
      <c r="I14" s="119"/>
      <c r="J14" s="120"/>
    </row>
    <row r="15" spans="1:19">
      <c r="A15" s="110"/>
      <c r="B15" s="218" t="s">
        <v>463</v>
      </c>
      <c r="C15" s="116"/>
      <c r="E15" s="116"/>
      <c r="F15" s="116"/>
      <c r="G15" s="116"/>
      <c r="H15" s="117"/>
      <c r="I15" s="119"/>
      <c r="J15" s="120"/>
    </row>
    <row r="16" spans="1:19">
      <c r="A16" s="110"/>
      <c r="B16" s="121" t="s">
        <v>643</v>
      </c>
      <c r="C16" s="116"/>
      <c r="E16" s="116"/>
      <c r="F16" s="116"/>
      <c r="G16" s="116"/>
      <c r="H16" s="117"/>
      <c r="I16" s="119"/>
      <c r="J16" s="120"/>
    </row>
    <row r="17" spans="1:10">
      <c r="A17" s="110"/>
      <c r="B17" s="121"/>
      <c r="C17" s="116"/>
      <c r="E17" s="116"/>
      <c r="F17" s="116"/>
      <c r="H17" s="117"/>
      <c r="I17" s="119"/>
      <c r="J17" s="120"/>
    </row>
    <row r="18" spans="1:10" ht="13">
      <c r="A18" s="110"/>
      <c r="B18" s="7" t="s">
        <v>22</v>
      </c>
      <c r="C18" s="116"/>
      <c r="E18" s="116"/>
      <c r="F18" s="116"/>
      <c r="H18" s="117"/>
      <c r="I18" s="119"/>
      <c r="J18" s="120"/>
    </row>
    <row r="19" spans="1:10">
      <c r="A19" s="110"/>
      <c r="B19" s="148" t="s">
        <v>623</v>
      </c>
      <c r="C19" s="116"/>
      <c r="E19" s="116"/>
      <c r="F19" s="116"/>
      <c r="G19" s="156"/>
      <c r="H19" s="117"/>
      <c r="I19" s="119"/>
      <c r="J19" s="120"/>
    </row>
    <row r="20" spans="1:10">
      <c r="A20" s="110"/>
      <c r="B20" s="148" t="s">
        <v>466</v>
      </c>
      <c r="C20" s="116"/>
      <c r="D20" s="116"/>
      <c r="E20" s="116"/>
      <c r="F20" s="116"/>
      <c r="H20" s="117"/>
      <c r="I20" s="119"/>
      <c r="J20" s="120"/>
    </row>
    <row r="21" spans="1:10">
      <c r="A21" s="110"/>
      <c r="B21" s="148" t="s">
        <v>624</v>
      </c>
      <c r="C21" s="116"/>
      <c r="D21" s="116"/>
      <c r="E21" s="116"/>
      <c r="F21" s="116"/>
      <c r="G21" s="458"/>
      <c r="H21" s="117"/>
      <c r="I21" s="119"/>
      <c r="J21" s="120"/>
    </row>
    <row r="22" spans="1:10">
      <c r="A22" s="110"/>
      <c r="B22" s="148" t="s">
        <v>294</v>
      </c>
      <c r="C22" s="116"/>
      <c r="D22" s="116"/>
      <c r="E22" s="116"/>
      <c r="F22" s="116"/>
      <c r="G22" s="458"/>
      <c r="H22" s="117"/>
      <c r="I22" s="119"/>
      <c r="J22" s="120"/>
    </row>
    <row r="23" spans="1:10">
      <c r="A23" s="110"/>
      <c r="B23" s="148" t="s">
        <v>644</v>
      </c>
      <c r="C23" s="116"/>
      <c r="D23" s="116"/>
      <c r="E23" s="116"/>
      <c r="F23" s="116"/>
      <c r="G23" s="458"/>
      <c r="H23" s="117"/>
      <c r="I23" s="119"/>
      <c r="J23" s="120"/>
    </row>
    <row r="24" spans="1:10">
      <c r="A24" s="110"/>
      <c r="B24" s="148" t="s">
        <v>645</v>
      </c>
      <c r="C24" s="116"/>
      <c r="D24" s="116"/>
      <c r="E24" s="116"/>
      <c r="F24" s="116"/>
      <c r="G24" s="458"/>
      <c r="H24" s="117"/>
      <c r="I24" s="119"/>
      <c r="J24" s="120"/>
    </row>
    <row r="25" spans="1:10">
      <c r="A25" s="110"/>
      <c r="B25" s="148" t="s">
        <v>646</v>
      </c>
      <c r="C25" s="116"/>
      <c r="D25" s="116"/>
      <c r="E25" s="116"/>
      <c r="F25" s="116"/>
      <c r="G25" s="458"/>
      <c r="H25" s="117"/>
      <c r="I25" s="119"/>
      <c r="J25" s="120"/>
    </row>
    <row r="26" spans="1:10">
      <c r="A26" s="110"/>
      <c r="B26" s="148"/>
      <c r="C26" s="116"/>
      <c r="D26" s="116"/>
      <c r="E26" s="116"/>
      <c r="F26" s="116"/>
      <c r="G26" s="458"/>
      <c r="H26" s="117"/>
      <c r="I26" s="119"/>
      <c r="J26" s="120"/>
    </row>
    <row r="27" spans="1:10">
      <c r="A27" s="110"/>
      <c r="B27" s="156" t="s">
        <v>799</v>
      </c>
      <c r="C27" s="116"/>
      <c r="D27" s="116"/>
      <c r="E27" s="116"/>
      <c r="F27" s="116"/>
      <c r="G27" s="458"/>
      <c r="H27" s="117"/>
      <c r="I27" s="119"/>
      <c r="J27" s="120"/>
    </row>
    <row r="28" spans="1:10">
      <c r="A28" s="110"/>
      <c r="B28" s="156" t="s">
        <v>792</v>
      </c>
      <c r="C28" s="116"/>
      <c r="D28" s="116"/>
      <c r="E28" s="116"/>
      <c r="F28" s="116"/>
      <c r="G28" s="458"/>
      <c r="H28" s="117"/>
      <c r="I28" s="119"/>
      <c r="J28" s="120"/>
    </row>
    <row r="29" spans="1:10">
      <c r="A29" s="110"/>
      <c r="B29" s="156" t="s">
        <v>800</v>
      </c>
      <c r="C29" s="116"/>
      <c r="D29" s="116"/>
      <c r="E29" s="116"/>
      <c r="F29" s="116"/>
      <c r="G29" s="458"/>
      <c r="H29" s="117"/>
      <c r="I29" s="119"/>
      <c r="J29" s="120"/>
    </row>
    <row r="30" spans="1:10">
      <c r="A30" s="110"/>
      <c r="B30" s="156" t="s">
        <v>801</v>
      </c>
      <c r="C30" s="116"/>
      <c r="D30" s="116"/>
      <c r="E30" s="116"/>
      <c r="F30" s="116"/>
      <c r="G30" s="458"/>
      <c r="H30" s="117"/>
      <c r="I30" s="119"/>
      <c r="J30" s="120"/>
    </row>
    <row r="31" spans="1:10">
      <c r="A31" s="110"/>
      <c r="B31" s="156" t="s">
        <v>802</v>
      </c>
      <c r="C31" s="116"/>
      <c r="D31" s="116"/>
      <c r="E31" s="116"/>
      <c r="F31" s="116"/>
      <c r="G31" s="458"/>
      <c r="H31" s="117"/>
      <c r="I31" s="119"/>
      <c r="J31" s="120"/>
    </row>
    <row r="32" spans="1:10">
      <c r="A32" s="110"/>
      <c r="B32" s="148"/>
      <c r="C32" s="116"/>
      <c r="D32" s="116"/>
      <c r="E32" s="116"/>
      <c r="F32" s="116"/>
      <c r="G32" s="458"/>
      <c r="H32" s="117"/>
      <c r="I32" s="119"/>
      <c r="J32" s="120"/>
    </row>
    <row r="33" spans="1:19" s="116" customFormat="1">
      <c r="B33" s="268" t="s">
        <v>793</v>
      </c>
      <c r="G33" s="10"/>
      <c r="H33" s="117"/>
      <c r="I33" s="117"/>
      <c r="J33" s="459"/>
    </row>
    <row r="34" spans="1:19" s="116" customFormat="1" ht="13">
      <c r="B34" s="148" t="s">
        <v>803</v>
      </c>
      <c r="G34" s="10"/>
      <c r="H34" s="117"/>
      <c r="I34" s="117"/>
      <c r="J34" s="459"/>
    </row>
    <row r="35" spans="1:19" s="116" customFormat="1">
      <c r="B35" s="268"/>
      <c r="G35" s="10"/>
      <c r="H35" s="117"/>
      <c r="I35" s="117"/>
      <c r="J35" s="459"/>
    </row>
    <row r="36" spans="1:19" ht="13">
      <c r="A36" s="110"/>
      <c r="B36" s="122" t="s">
        <v>23</v>
      </c>
      <c r="C36" s="116"/>
      <c r="D36" s="116"/>
      <c r="E36" s="116"/>
      <c r="F36" s="116"/>
      <c r="G36" s="116"/>
      <c r="H36" s="117"/>
      <c r="I36" s="119"/>
      <c r="J36" s="120"/>
    </row>
    <row r="37" spans="1:19" ht="13">
      <c r="A37" s="110"/>
      <c r="B37" s="116" t="s">
        <v>804</v>
      </c>
      <c r="C37" s="116"/>
      <c r="D37" s="116"/>
      <c r="E37" s="116"/>
      <c r="F37" s="116"/>
      <c r="G37" s="116"/>
      <c r="H37" s="117"/>
      <c r="I37" s="119"/>
      <c r="J37" s="120"/>
    </row>
    <row r="38" spans="1:19">
      <c r="A38" s="110"/>
      <c r="B38" s="10"/>
      <c r="C38" s="116"/>
      <c r="D38" s="116"/>
      <c r="E38" s="116"/>
      <c r="F38" s="116"/>
      <c r="G38" s="116"/>
      <c r="H38" s="117"/>
      <c r="I38" s="119"/>
      <c r="J38" s="120"/>
    </row>
    <row r="39" spans="1:19" ht="13">
      <c r="A39" s="110"/>
      <c r="B39" s="7" t="s">
        <v>24</v>
      </c>
      <c r="C39" s="116"/>
      <c r="D39" s="116"/>
      <c r="E39" s="116"/>
      <c r="F39" s="116"/>
      <c r="G39" s="116"/>
      <c r="H39" s="117"/>
      <c r="I39" s="119"/>
      <c r="J39" s="120"/>
    </row>
    <row r="40" spans="1:19">
      <c r="A40" s="110"/>
      <c r="B40" s="9" t="s">
        <v>295</v>
      </c>
      <c r="C40" s="116"/>
      <c r="D40" s="116"/>
      <c r="E40" s="116"/>
      <c r="F40" s="116"/>
      <c r="G40" s="116"/>
      <c r="H40" s="117"/>
      <c r="I40" s="119"/>
      <c r="J40" s="120"/>
    </row>
    <row r="41" spans="1:19" ht="13">
      <c r="A41" s="110"/>
      <c r="B41" s="9" t="s">
        <v>25</v>
      </c>
      <c r="C41" s="116"/>
      <c r="D41" s="116"/>
      <c r="E41" s="116"/>
      <c r="F41" s="116"/>
      <c r="G41" s="116"/>
      <c r="H41" s="117"/>
      <c r="I41" s="119"/>
      <c r="J41" s="120"/>
    </row>
    <row r="42" spans="1:19">
      <c r="A42" s="110"/>
      <c r="B42" s="10" t="s">
        <v>26</v>
      </c>
      <c r="C42" s="116"/>
      <c r="D42" s="116"/>
      <c r="E42" s="116"/>
      <c r="F42" s="116"/>
      <c r="G42" s="116"/>
      <c r="H42" s="117"/>
      <c r="I42" s="119"/>
      <c r="J42" s="120"/>
    </row>
    <row r="43" spans="1:19">
      <c r="A43" s="110"/>
      <c r="B43" s="10" t="s">
        <v>778</v>
      </c>
      <c r="C43" s="116"/>
      <c r="D43" s="116"/>
      <c r="E43" s="116"/>
      <c r="F43" s="116"/>
      <c r="G43" s="116"/>
      <c r="H43" s="117"/>
      <c r="I43" s="119"/>
      <c r="J43" s="120"/>
    </row>
    <row r="44" spans="1:19">
      <c r="A44" s="110"/>
      <c r="B44" s="10"/>
      <c r="C44" s="116"/>
      <c r="D44" s="116"/>
      <c r="E44" s="116"/>
      <c r="F44" s="116"/>
      <c r="G44" s="116"/>
      <c r="H44" s="117"/>
      <c r="I44" s="119"/>
      <c r="J44" s="120"/>
    </row>
    <row r="45" spans="1:19" s="564" customFormat="1" ht="13">
      <c r="A45" s="567" t="s">
        <v>587</v>
      </c>
      <c r="B45" s="563"/>
      <c r="H45" s="565"/>
      <c r="I45" s="565"/>
      <c r="J45" s="566"/>
    </row>
    <row r="46" spans="1:19">
      <c r="A46" s="110"/>
      <c r="B46" s="10"/>
      <c r="C46" s="116"/>
      <c r="D46" s="116"/>
      <c r="E46" s="116"/>
      <c r="F46" s="116"/>
      <c r="G46" s="116"/>
      <c r="H46" s="117"/>
      <c r="I46" s="119"/>
      <c r="J46" s="120"/>
    </row>
    <row r="47" spans="1:19" ht="13">
      <c r="A47" s="110"/>
      <c r="B47" s="11" t="s">
        <v>612</v>
      </c>
      <c r="H47" s="117"/>
      <c r="I47" s="119"/>
      <c r="J47" s="120"/>
    </row>
    <row r="48" spans="1:19" ht="13">
      <c r="A48" s="110"/>
      <c r="B48" s="11"/>
      <c r="H48" s="117"/>
      <c r="I48" s="119"/>
      <c r="J48" s="120"/>
      <c r="S48" s="538"/>
    </row>
    <row r="49" spans="1:26" ht="13">
      <c r="A49" s="110"/>
      <c r="B49" s="314"/>
      <c r="C49" s="569" t="s">
        <v>297</v>
      </c>
      <c r="D49" s="570"/>
      <c r="E49" s="571"/>
      <c r="F49" s="107" t="s">
        <v>465</v>
      </c>
      <c r="G49" s="572" t="s">
        <v>27</v>
      </c>
      <c r="H49" s="117"/>
      <c r="I49" s="119"/>
      <c r="J49" s="120"/>
      <c r="S49" s="605"/>
    </row>
    <row r="50" spans="1:26" ht="13">
      <c r="A50" s="110"/>
      <c r="B50" s="573" t="s">
        <v>296</v>
      </c>
      <c r="C50" s="347">
        <v>119700.97</v>
      </c>
      <c r="D50" s="664" t="s">
        <v>662</v>
      </c>
      <c r="E50" s="620" t="s">
        <v>28</v>
      </c>
      <c r="F50" s="444">
        <f>R58/L12</f>
        <v>119965.37046733228</v>
      </c>
      <c r="G50" s="444">
        <f>F50-C50</f>
        <v>264.40046733227791</v>
      </c>
      <c r="H50" s="621" t="s">
        <v>585</v>
      </c>
      <c r="I50" s="119"/>
      <c r="J50" s="120"/>
      <c r="S50" s="606"/>
    </row>
    <row r="51" spans="1:26">
      <c r="A51" s="110"/>
      <c r="B51" s="10"/>
      <c r="C51" s="116"/>
      <c r="D51" s="116"/>
      <c r="E51" s="116"/>
      <c r="F51" s="116"/>
      <c r="G51" s="116"/>
      <c r="H51" s="117"/>
      <c r="I51" s="119"/>
      <c r="J51" s="120"/>
    </row>
    <row r="52" spans="1:26" ht="13">
      <c r="A52" s="110"/>
      <c r="B52" s="11" t="s">
        <v>613</v>
      </c>
      <c r="D52" s="116"/>
      <c r="E52" s="116"/>
      <c r="F52" s="116"/>
      <c r="G52" s="116"/>
      <c r="H52" s="117"/>
      <c r="I52" s="119"/>
      <c r="J52" s="120"/>
    </row>
    <row r="53" spans="1:26">
      <c r="A53" s="110"/>
      <c r="B53" s="10"/>
      <c r="C53" s="116"/>
      <c r="D53" s="116"/>
      <c r="E53" s="116"/>
      <c r="F53" s="116"/>
      <c r="G53" s="116"/>
      <c r="H53" s="117"/>
      <c r="I53" s="119"/>
      <c r="J53" s="120"/>
    </row>
    <row r="54" spans="1:26" ht="13">
      <c r="A54" s="110"/>
      <c r="B54" s="27"/>
      <c r="C54" s="28"/>
      <c r="D54" s="125" t="s">
        <v>30</v>
      </c>
      <c r="O54" s="225"/>
      <c r="R54" s="171"/>
    </row>
    <row r="55" spans="1:26" ht="13">
      <c r="A55" s="110"/>
      <c r="B55" s="27"/>
      <c r="C55" s="28"/>
      <c r="D55" s="365" t="s">
        <v>31</v>
      </c>
      <c r="E55" s="365" t="s">
        <v>32</v>
      </c>
      <c r="F55" s="365" t="s">
        <v>56</v>
      </c>
      <c r="G55" s="365"/>
      <c r="H55" s="365" t="s">
        <v>454</v>
      </c>
      <c r="J55" s="365" t="s">
        <v>501</v>
      </c>
      <c r="K55" s="365" t="s">
        <v>57</v>
      </c>
      <c r="L55" s="365" t="s">
        <v>58</v>
      </c>
      <c r="M55" s="365" t="s">
        <v>455</v>
      </c>
      <c r="N55" s="365" t="s">
        <v>456</v>
      </c>
      <c r="O55" s="365" t="s">
        <v>502</v>
      </c>
      <c r="P55" s="225"/>
      <c r="Q55" s="366" t="s">
        <v>457</v>
      </c>
      <c r="V55" s="366" t="s">
        <v>457</v>
      </c>
    </row>
    <row r="56" spans="1:26" ht="52">
      <c r="A56" s="110"/>
      <c r="B56" s="32"/>
      <c r="C56" s="32"/>
      <c r="D56" s="22" t="s">
        <v>33</v>
      </c>
      <c r="E56" s="22" t="s">
        <v>34</v>
      </c>
      <c r="F56" s="22" t="s">
        <v>59</v>
      </c>
      <c r="G56" s="23" t="s">
        <v>35</v>
      </c>
      <c r="H56" s="22" t="s">
        <v>36</v>
      </c>
      <c r="I56" s="23" t="s">
        <v>35</v>
      </c>
      <c r="J56" s="22" t="s">
        <v>60</v>
      </c>
      <c r="K56" s="22" t="s">
        <v>61</v>
      </c>
      <c r="L56" s="22" t="s">
        <v>62</v>
      </c>
      <c r="M56" s="22" t="s">
        <v>63</v>
      </c>
      <c r="N56" s="22" t="s">
        <v>64</v>
      </c>
      <c r="O56" s="22" t="s">
        <v>65</v>
      </c>
      <c r="P56" s="33" t="s">
        <v>614</v>
      </c>
      <c r="Q56" s="302" t="s">
        <v>794</v>
      </c>
      <c r="R56" s="33" t="s">
        <v>619</v>
      </c>
      <c r="S56" s="149" t="s">
        <v>27</v>
      </c>
      <c r="T56" s="33" t="s">
        <v>620</v>
      </c>
      <c r="U56" s="33" t="s">
        <v>621</v>
      </c>
      <c r="V56" s="303" t="s">
        <v>639</v>
      </c>
      <c r="W56" s="33" t="s">
        <v>622</v>
      </c>
      <c r="X56" s="128" t="s">
        <v>298</v>
      </c>
      <c r="Y56" s="37" t="s">
        <v>68</v>
      </c>
    </row>
    <row r="57" spans="1:26" ht="26">
      <c r="A57" s="110"/>
      <c r="B57" s="32"/>
      <c r="C57" s="32"/>
      <c r="D57" s="94" t="s">
        <v>780</v>
      </c>
      <c r="E57" s="17" t="s">
        <v>11</v>
      </c>
      <c r="F57" s="17" t="s">
        <v>11</v>
      </c>
      <c r="G57" s="25"/>
      <c r="H57" s="17"/>
      <c r="J57" s="17"/>
      <c r="K57" s="94" t="s">
        <v>416</v>
      </c>
      <c r="L57" s="17" t="s">
        <v>11</v>
      </c>
      <c r="M57" s="17" t="s">
        <v>11</v>
      </c>
      <c r="N57" s="17" t="s">
        <v>11</v>
      </c>
      <c r="O57" s="17" t="s">
        <v>11</v>
      </c>
      <c r="P57" s="576" t="s">
        <v>17</v>
      </c>
      <c r="Q57" s="34" t="s">
        <v>521</v>
      </c>
      <c r="R57" s="34" t="s">
        <v>66</v>
      </c>
      <c r="S57" s="20" t="s">
        <v>37</v>
      </c>
      <c r="T57" s="20" t="s">
        <v>37</v>
      </c>
      <c r="U57" s="35" t="s">
        <v>15</v>
      </c>
      <c r="V57" s="304" t="s">
        <v>413</v>
      </c>
      <c r="W57" s="36" t="s">
        <v>67</v>
      </c>
      <c r="X57" s="20" t="s">
        <v>37</v>
      </c>
      <c r="Y57" s="300" t="s">
        <v>37</v>
      </c>
    </row>
    <row r="58" spans="1:26" ht="13">
      <c r="A58" s="110"/>
      <c r="B58" s="31" t="s">
        <v>503</v>
      </c>
      <c r="C58" s="24" t="s">
        <v>38</v>
      </c>
      <c r="D58" s="376">
        <f>D59+D63+D70</f>
        <v>-163114</v>
      </c>
      <c r="E58" s="376">
        <f>E59+E63+E70</f>
        <v>-132</v>
      </c>
      <c r="F58" s="376">
        <f>F59+F63+F70</f>
        <v>2994</v>
      </c>
      <c r="G58" s="25" t="s">
        <v>37</v>
      </c>
      <c r="H58" s="577">
        <f>H59+H63+H70</f>
        <v>7278201</v>
      </c>
      <c r="I58" s="25" t="s">
        <v>37</v>
      </c>
      <c r="J58" s="376">
        <f>J59+J63+J70</f>
        <v>187940</v>
      </c>
      <c r="K58" s="376">
        <f t="shared" ref="K58:M58" si="1">K59+K63+K70</f>
        <v>160542</v>
      </c>
      <c r="L58" s="376">
        <f t="shared" si="1"/>
        <v>44772.04</v>
      </c>
      <c r="M58" s="376">
        <f t="shared" si="1"/>
        <v>-31594</v>
      </c>
      <c r="N58" s="376">
        <f>N59+N63+N70</f>
        <v>43152</v>
      </c>
      <c r="O58" s="577">
        <v>0</v>
      </c>
      <c r="P58" s="172">
        <f t="shared" ref="P58:P63" si="2">SUM(D58:O58)</f>
        <v>7522761.04</v>
      </c>
      <c r="Q58" s="376">
        <f>Q59+Q63+Q70</f>
        <v>472507</v>
      </c>
      <c r="R58" s="376">
        <f>R59+R63+R70</f>
        <v>7522761.04</v>
      </c>
      <c r="S58" s="172">
        <f>R58-(P58-Q58)</f>
        <v>472507</v>
      </c>
      <c r="T58" s="172">
        <f>(P58+Q58)/$L$12</f>
        <v>127500.43332550433</v>
      </c>
      <c r="U58" s="172">
        <f>U59+U63+U70</f>
        <v>105905.47856233366</v>
      </c>
      <c r="V58" s="507">
        <f>V59+V63+V70</f>
        <v>11739.429999999998</v>
      </c>
      <c r="W58" s="507">
        <f t="shared" ref="W58:W72" si="3">(V58+U58)*$L$6/$L$12</f>
        <v>109474.8134064559</v>
      </c>
      <c r="X58" s="507">
        <f>T58-W58</f>
        <v>18025.619919048433</v>
      </c>
      <c r="Y58" s="327">
        <f>X58/W58</f>
        <v>0.16465540664703646</v>
      </c>
      <c r="Z58" s="39" t="s">
        <v>69</v>
      </c>
    </row>
    <row r="59" spans="1:26" ht="13">
      <c r="A59" s="110"/>
      <c r="B59" s="31" t="s">
        <v>504</v>
      </c>
      <c r="C59" s="24" t="s">
        <v>39</v>
      </c>
      <c r="D59" s="578">
        <v>0</v>
      </c>
      <c r="E59" s="578">
        <v>0</v>
      </c>
      <c r="F59" s="578">
        <v>0</v>
      </c>
      <c r="G59" s="25" t="s">
        <v>37</v>
      </c>
      <c r="H59" s="578">
        <f>SUM(H60:H61)</f>
        <v>1821790</v>
      </c>
      <c r="I59" s="25" t="s">
        <v>37</v>
      </c>
      <c r="J59" s="578">
        <f t="shared" ref="J59:O59" si="4">SUM(J60:J61)</f>
        <v>0</v>
      </c>
      <c r="K59" s="578">
        <f t="shared" si="4"/>
        <v>0</v>
      </c>
      <c r="L59" s="578">
        <f t="shared" si="4"/>
        <v>0</v>
      </c>
      <c r="M59" s="578">
        <f t="shared" si="4"/>
        <v>0</v>
      </c>
      <c r="N59" s="578">
        <f t="shared" si="4"/>
        <v>0</v>
      </c>
      <c r="O59" s="578">
        <f t="shared" si="4"/>
        <v>0</v>
      </c>
      <c r="P59" s="347">
        <f t="shared" si="2"/>
        <v>1821790</v>
      </c>
      <c r="Q59" s="376">
        <f>SUM(Q60:Q62)</f>
        <v>139880</v>
      </c>
      <c r="R59" s="578">
        <v>1821790</v>
      </c>
      <c r="S59" s="347">
        <f t="shared" ref="S59:S72" si="5">R59-(P59-Q59)</f>
        <v>139880</v>
      </c>
      <c r="T59" s="172">
        <f t="shared" ref="T59:T72" si="6">(P59+Q59)/$L$12</f>
        <v>31282.725455898795</v>
      </c>
      <c r="U59" s="466">
        <f>SUM(U60:U61)</f>
        <v>23619.443078236043</v>
      </c>
      <c r="V59" s="510">
        <f>SUM(V60:V62)</f>
        <v>3134.5899999999997</v>
      </c>
      <c r="W59" s="510">
        <f t="shared" si="3"/>
        <v>24896.043652906392</v>
      </c>
      <c r="X59" s="510">
        <f>T59-W59</f>
        <v>6386.6818029924034</v>
      </c>
      <c r="Y59" s="608">
        <f t="shared" ref="Y59:Y72" si="7">X59/W59</f>
        <v>0.25653400564498186</v>
      </c>
      <c r="Z59" s="39" t="s">
        <v>69</v>
      </c>
    </row>
    <row r="60" spans="1:26" ht="13">
      <c r="A60" s="110"/>
      <c r="B60" s="30" t="s">
        <v>40</v>
      </c>
      <c r="C60" s="29" t="s">
        <v>41</v>
      </c>
      <c r="D60" s="574">
        <v>0</v>
      </c>
      <c r="E60" s="577">
        <v>0</v>
      </c>
      <c r="F60" s="577">
        <v>0</v>
      </c>
      <c r="G60" s="150" t="s">
        <v>284</v>
      </c>
      <c r="H60" s="574">
        <f>'ВД5 Услуги УК'!U39</f>
        <v>1372201</v>
      </c>
      <c r="J60" s="577">
        <v>0</v>
      </c>
      <c r="K60" s="577">
        <v>0</v>
      </c>
      <c r="L60" s="577">
        <v>0</v>
      </c>
      <c r="M60" s="577">
        <v>0</v>
      </c>
      <c r="N60" s="577">
        <v>0</v>
      </c>
      <c r="O60" s="577">
        <v>0</v>
      </c>
      <c r="P60" s="62">
        <f t="shared" si="2"/>
        <v>1372201</v>
      </c>
      <c r="Q60" s="129">
        <v>106560</v>
      </c>
      <c r="R60" s="580">
        <v>1372201</v>
      </c>
      <c r="S60" s="62">
        <f>R60-(P60-Q60)</f>
        <v>106560</v>
      </c>
      <c r="T60" s="172">
        <f t="shared" si="6"/>
        <v>23581.782041775812</v>
      </c>
      <c r="U60" s="62">
        <v>16461.958188881788</v>
      </c>
      <c r="V60" s="131">
        <v>1253.8499999999999</v>
      </c>
      <c r="W60" s="131">
        <f t="shared" si="3"/>
        <v>16485.497073549901</v>
      </c>
      <c r="X60" s="131">
        <f t="shared" ref="X60:X72" si="8">T60-W60</f>
        <v>7096.2849682259111</v>
      </c>
      <c r="Y60" s="199">
        <f>X60/W60</f>
        <v>0.43045623292800317</v>
      </c>
      <c r="Z60" s="511" t="str">
        <f>B76</f>
        <v>Ожидание за 12 мес 2018</v>
      </c>
    </row>
    <row r="61" spans="1:26" ht="13">
      <c r="A61" s="110"/>
      <c r="B61" s="30" t="s">
        <v>42</v>
      </c>
      <c r="C61" s="29" t="s">
        <v>43</v>
      </c>
      <c r="D61" s="574">
        <v>0</v>
      </c>
      <c r="E61" s="574">
        <v>0</v>
      </c>
      <c r="F61" s="574">
        <v>0</v>
      </c>
      <c r="G61" s="150" t="s">
        <v>286</v>
      </c>
      <c r="H61" s="574">
        <f>'ВД4 Профессиональные услуги'!I44</f>
        <v>449589</v>
      </c>
      <c r="J61" s="574">
        <v>0</v>
      </c>
      <c r="K61" s="574">
        <v>0</v>
      </c>
      <c r="L61" s="574">
        <v>0</v>
      </c>
      <c r="M61" s="574">
        <v>0</v>
      </c>
      <c r="N61" s="574">
        <v>0</v>
      </c>
      <c r="O61" s="577">
        <v>0</v>
      </c>
      <c r="P61" s="62">
        <f t="shared" si="2"/>
        <v>449589</v>
      </c>
      <c r="Q61" s="62">
        <v>33320</v>
      </c>
      <c r="R61" s="580">
        <v>449589</v>
      </c>
      <c r="S61" s="62">
        <f t="shared" si="5"/>
        <v>33320</v>
      </c>
      <c r="T61" s="62">
        <f t="shared" si="6"/>
        <v>7700.9434141229831</v>
      </c>
      <c r="U61" s="62">
        <v>7157.4848893542567</v>
      </c>
      <c r="V61" s="131">
        <v>1871.26</v>
      </c>
      <c r="W61" s="131">
        <f t="shared" si="3"/>
        <v>8401.7249376571144</v>
      </c>
      <c r="X61" s="131">
        <f>T61-W61</f>
        <v>-700.78152353413134</v>
      </c>
      <c r="Y61" s="199">
        <f t="shared" si="7"/>
        <v>-8.3409243784354312E-2</v>
      </c>
      <c r="Z61" s="511" t="str">
        <f t="shared" ref="Z61:Z62" si="9">IF(AND(ABS(X61)&gt;$E$4,ABS(Y61)&gt;10%),"анализировать","несущ")</f>
        <v>несущ</v>
      </c>
    </row>
    <row r="62" spans="1:26" ht="13">
      <c r="A62" s="110"/>
      <c r="B62" s="30" t="s">
        <v>53</v>
      </c>
      <c r="C62" s="29" t="s">
        <v>54</v>
      </c>
      <c r="D62" s="574">
        <v>0</v>
      </c>
      <c r="E62" s="574">
        <v>0</v>
      </c>
      <c r="F62" s="574">
        <v>0</v>
      </c>
      <c r="G62" s="150"/>
      <c r="H62" s="574">
        <v>0</v>
      </c>
      <c r="J62" s="574">
        <v>0</v>
      </c>
      <c r="K62" s="574">
        <v>0</v>
      </c>
      <c r="L62" s="574">
        <v>0</v>
      </c>
      <c r="M62" s="574">
        <v>0</v>
      </c>
      <c r="N62" s="574">
        <v>0</v>
      </c>
      <c r="O62" s="574">
        <v>0</v>
      </c>
      <c r="P62" s="62">
        <f t="shared" si="2"/>
        <v>0</v>
      </c>
      <c r="Q62" s="49">
        <v>0</v>
      </c>
      <c r="R62" s="574">
        <v>0</v>
      </c>
      <c r="S62" s="62">
        <f t="shared" si="5"/>
        <v>0</v>
      </c>
      <c r="T62" s="62">
        <f t="shared" si="6"/>
        <v>0</v>
      </c>
      <c r="U62" s="574">
        <v>0</v>
      </c>
      <c r="V62" s="131">
        <v>9.48</v>
      </c>
      <c r="W62" s="131">
        <f t="shared" si="3"/>
        <v>8.8216416993797626</v>
      </c>
      <c r="X62" s="131">
        <f t="shared" si="8"/>
        <v>-8.8216416993797626</v>
      </c>
      <c r="Y62" s="199">
        <f t="shared" ref="Y62" si="10">X62/W62</f>
        <v>-1</v>
      </c>
      <c r="Z62" s="511" t="str">
        <f t="shared" si="9"/>
        <v>несущ</v>
      </c>
    </row>
    <row r="63" spans="1:26" ht="13">
      <c r="A63" s="110"/>
      <c r="B63" s="31" t="s">
        <v>505</v>
      </c>
      <c r="C63" s="24" t="s">
        <v>46</v>
      </c>
      <c r="D63" s="578">
        <f t="shared" ref="D63:F63" si="11">SUM(D64:D69)</f>
        <v>-163114</v>
      </c>
      <c r="E63" s="578">
        <f t="shared" si="11"/>
        <v>-132</v>
      </c>
      <c r="F63" s="578">
        <f t="shared" si="11"/>
        <v>2994</v>
      </c>
      <c r="G63" s="679" t="s">
        <v>37</v>
      </c>
      <c r="H63" s="578">
        <f>SUM(H64:H69)</f>
        <v>5442666</v>
      </c>
      <c r="I63" s="679" t="s">
        <v>37</v>
      </c>
      <c r="J63" s="578">
        <f>SUM(J64:J69)</f>
        <v>187940</v>
      </c>
      <c r="K63" s="578">
        <f t="shared" ref="K63:O63" si="12">SUM(K64:K69)</f>
        <v>160542</v>
      </c>
      <c r="L63" s="578">
        <f t="shared" si="12"/>
        <v>44772.04</v>
      </c>
      <c r="M63" s="578">
        <f t="shared" si="12"/>
        <v>-31594</v>
      </c>
      <c r="N63" s="578">
        <f t="shared" si="12"/>
        <v>43152</v>
      </c>
      <c r="O63" s="578">
        <f t="shared" si="12"/>
        <v>0</v>
      </c>
      <c r="P63" s="347">
        <f t="shared" si="2"/>
        <v>5687226.04</v>
      </c>
      <c r="Q63" s="376">
        <f>SUM(Q64:Q69)</f>
        <v>332627</v>
      </c>
      <c r="R63" s="578">
        <v>5687226.04</v>
      </c>
      <c r="S63" s="347">
        <f t="shared" si="5"/>
        <v>332627</v>
      </c>
      <c r="T63" s="172">
        <f t="shared" si="6"/>
        <v>95998.516537020885</v>
      </c>
      <c r="U63" s="466">
        <f>SUM(U64:U69)</f>
        <v>80683.355925755197</v>
      </c>
      <c r="V63" s="510">
        <f>SUM(V64:V69)</f>
        <v>8604.7799999999988</v>
      </c>
      <c r="W63" s="510">
        <f t="shared" si="3"/>
        <v>83087.335774528503</v>
      </c>
      <c r="X63" s="510">
        <f t="shared" si="8"/>
        <v>12911.180762492382</v>
      </c>
      <c r="Y63" s="608">
        <f t="shared" si="7"/>
        <v>0.15539288439250296</v>
      </c>
      <c r="Z63" s="504" t="s">
        <v>69</v>
      </c>
    </row>
    <row r="64" spans="1:26" ht="13">
      <c r="A64" s="110"/>
      <c r="B64" s="30" t="s">
        <v>47</v>
      </c>
      <c r="C64" s="29" t="s">
        <v>48</v>
      </c>
      <c r="D64" s="577">
        <v>0</v>
      </c>
      <c r="E64" s="577">
        <v>0</v>
      </c>
      <c r="F64" s="577">
        <v>0</v>
      </c>
      <c r="G64" s="150" t="s">
        <v>288</v>
      </c>
      <c r="H64" s="574">
        <f>'ВД3 Материальные расходы'!AD78</f>
        <v>231105</v>
      </c>
      <c r="J64" s="577">
        <v>0</v>
      </c>
      <c r="K64" s="577">
        <v>0</v>
      </c>
      <c r="L64" s="577">
        <v>0</v>
      </c>
      <c r="M64" s="577">
        <v>0</v>
      </c>
      <c r="N64" s="577">
        <v>0</v>
      </c>
      <c r="O64" s="577">
        <v>0</v>
      </c>
      <c r="P64" s="62">
        <f t="shared" ref="P64:P69" si="13">SUM(D64:O64)</f>
        <v>231105</v>
      </c>
      <c r="Q64" s="42">
        <v>1447</v>
      </c>
      <c r="R64" s="580">
        <v>231105</v>
      </c>
      <c r="S64" s="62">
        <f t="shared" si="5"/>
        <v>1447</v>
      </c>
      <c r="T64" s="172">
        <f t="shared" si="6"/>
        <v>3708.5036577101027</v>
      </c>
      <c r="U64" s="62">
        <v>3011.8982946862966</v>
      </c>
      <c r="V64" s="131">
        <v>114.23</v>
      </c>
      <c r="W64" s="131">
        <f t="shared" si="3"/>
        <v>2909.027818778015</v>
      </c>
      <c r="X64" s="131">
        <f t="shared" si="8"/>
        <v>799.47583893208775</v>
      </c>
      <c r="Y64" s="199">
        <f t="shared" si="7"/>
        <v>0.27482577986068235</v>
      </c>
      <c r="Z64" s="511" t="str">
        <f t="shared" ref="Z64:Z65" si="14">IF(AND(ABS(X64)&gt;$E$4,ABS(Y64)&gt;10%),"анализировать","несущ")</f>
        <v>несущ</v>
      </c>
    </row>
    <row r="65" spans="1:26" ht="13">
      <c r="A65" s="110"/>
      <c r="B65" s="30" t="s">
        <v>49</v>
      </c>
      <c r="C65" s="29" t="s">
        <v>50</v>
      </c>
      <c r="D65" s="577">
        <v>0</v>
      </c>
      <c r="E65" s="577">
        <v>0</v>
      </c>
      <c r="F65" s="577">
        <v>0</v>
      </c>
      <c r="G65" s="158" t="s">
        <v>255</v>
      </c>
      <c r="H65" s="574">
        <v>2069994</v>
      </c>
      <c r="I65" s="310" t="s">
        <v>11</v>
      </c>
      <c r="J65" s="574">
        <v>36992</v>
      </c>
      <c r="K65" s="577">
        <v>0</v>
      </c>
      <c r="L65" s="577">
        <v>0</v>
      </c>
      <c r="M65" s="577">
        <v>0</v>
      </c>
      <c r="N65" s="577">
        <v>0</v>
      </c>
      <c r="O65" s="577">
        <v>0</v>
      </c>
      <c r="P65" s="62">
        <f t="shared" si="13"/>
        <v>2106986</v>
      </c>
      <c r="Q65" s="129">
        <v>108373</v>
      </c>
      <c r="R65" s="580">
        <v>2106986</v>
      </c>
      <c r="S65" s="62">
        <f t="shared" si="5"/>
        <v>108373</v>
      </c>
      <c r="T65" s="62">
        <f t="shared" si="6"/>
        <v>35328.300572091386</v>
      </c>
      <c r="U65" s="62">
        <v>31402.27820725277</v>
      </c>
      <c r="V65" s="131">
        <v>4337.17</v>
      </c>
      <c r="W65" s="131">
        <f t="shared" si="3"/>
        <v>33257.447955477248</v>
      </c>
      <c r="X65" s="131">
        <f t="shared" si="8"/>
        <v>2070.8526166141382</v>
      </c>
      <c r="Y65" s="199">
        <f t="shared" si="7"/>
        <v>6.2267333903264353E-2</v>
      </c>
      <c r="Z65" s="511" t="str">
        <f t="shared" si="14"/>
        <v>несущ</v>
      </c>
    </row>
    <row r="66" spans="1:26" ht="13">
      <c r="A66" s="110"/>
      <c r="B66" s="30" t="s">
        <v>51</v>
      </c>
      <c r="C66" s="29" t="s">
        <v>52</v>
      </c>
      <c r="D66" s="574">
        <v>-163114</v>
      </c>
      <c r="E66" s="574">
        <v>-132</v>
      </c>
      <c r="F66" s="574">
        <v>0</v>
      </c>
      <c r="G66" s="158" t="s">
        <v>416</v>
      </c>
      <c r="H66" s="574">
        <v>174176</v>
      </c>
      <c r="I66" s="310" t="s">
        <v>11</v>
      </c>
      <c r="J66" s="574">
        <v>25</v>
      </c>
      <c r="K66" s="574">
        <v>160542</v>
      </c>
      <c r="L66" s="574">
        <v>44772.04</v>
      </c>
      <c r="M66" s="577">
        <v>0</v>
      </c>
      <c r="N66" s="574">
        <v>43152</v>
      </c>
      <c r="O66" s="577">
        <v>0</v>
      </c>
      <c r="P66" s="62">
        <f t="shared" si="13"/>
        <v>259421.04</v>
      </c>
      <c r="Q66" s="129">
        <v>18489</v>
      </c>
      <c r="R66" s="580">
        <v>259421.04</v>
      </c>
      <c r="S66" s="62">
        <f t="shared" si="5"/>
        <v>18489</v>
      </c>
      <c r="T66" s="62">
        <f t="shared" si="6"/>
        <v>4431.8277196255503</v>
      </c>
      <c r="U66" s="62">
        <v>2409.525490592584</v>
      </c>
      <c r="V66" s="131">
        <v>20.66</v>
      </c>
      <c r="W66" s="131">
        <f>(V66+U66)*$L$6/$L$12</f>
        <v>2261.41620897038</v>
      </c>
      <c r="X66" s="131">
        <f>T66-W66</f>
        <v>2170.4115106551703</v>
      </c>
      <c r="Y66" s="199">
        <f t="shared" si="7"/>
        <v>0.95975765188459317</v>
      </c>
      <c r="Z66" s="511" t="str">
        <f>IF(AND(ABS(X66)&gt;$E$4,ABS(Y66)&gt;10%),"анализировать","несущ")</f>
        <v>несущ</v>
      </c>
    </row>
    <row r="67" spans="1:26" ht="13">
      <c r="A67" s="110"/>
      <c r="B67" s="30" t="s">
        <v>42</v>
      </c>
      <c r="C67" s="29" t="s">
        <v>43</v>
      </c>
      <c r="D67" s="577">
        <v>0</v>
      </c>
      <c r="E67" s="577">
        <v>0</v>
      </c>
      <c r="F67" s="577">
        <v>0</v>
      </c>
      <c r="G67" s="150" t="s">
        <v>286</v>
      </c>
      <c r="H67" s="574">
        <f>'ВД4 Профессиональные услуги'!I45</f>
        <v>1729906</v>
      </c>
      <c r="I67" s="118" t="s">
        <v>290</v>
      </c>
      <c r="J67" s="574">
        <f>'ВД7 Сверка'!H478</f>
        <v>107277</v>
      </c>
      <c r="K67" s="577">
        <v>0</v>
      </c>
      <c r="L67" s="577">
        <v>0</v>
      </c>
      <c r="M67" s="574">
        <v>-31594</v>
      </c>
      <c r="N67" s="577">
        <v>0</v>
      </c>
      <c r="O67" s="577">
        <v>0</v>
      </c>
      <c r="P67" s="62">
        <f t="shared" si="13"/>
        <v>1805589</v>
      </c>
      <c r="Q67" s="129">
        <v>17572</v>
      </c>
      <c r="R67" s="580">
        <v>1805589</v>
      </c>
      <c r="S67" s="62">
        <f t="shared" si="5"/>
        <v>17572</v>
      </c>
      <c r="T67" s="62">
        <f t="shared" si="6"/>
        <v>29073.924271106713</v>
      </c>
      <c r="U67" s="62">
        <v>23987.513902479568</v>
      </c>
      <c r="V67" s="131">
        <v>1378.23</v>
      </c>
      <c r="W67" s="131">
        <f t="shared" si="3"/>
        <v>23604.167103998072</v>
      </c>
      <c r="X67" s="131">
        <f t="shared" si="8"/>
        <v>5469.7571671086407</v>
      </c>
      <c r="Y67" s="199">
        <f>X67/W67</f>
        <v>0.23172845468384154</v>
      </c>
      <c r="Z67" s="511" t="str">
        <f>B76</f>
        <v>Ожидание за 12 мес 2018</v>
      </c>
    </row>
    <row r="68" spans="1:26" ht="13">
      <c r="A68" s="110"/>
      <c r="B68" s="30" t="s">
        <v>44</v>
      </c>
      <c r="C68" s="29" t="s">
        <v>45</v>
      </c>
      <c r="D68" s="574">
        <v>0</v>
      </c>
      <c r="E68" s="577">
        <v>0</v>
      </c>
      <c r="F68" s="577">
        <v>0</v>
      </c>
      <c r="G68" s="158" t="s">
        <v>292</v>
      </c>
      <c r="H68" s="574">
        <v>965782</v>
      </c>
      <c r="I68" s="310" t="s">
        <v>11</v>
      </c>
      <c r="J68" s="574">
        <v>43399</v>
      </c>
      <c r="K68" s="577">
        <v>0</v>
      </c>
      <c r="L68" s="577">
        <v>0</v>
      </c>
      <c r="M68" s="577">
        <v>0</v>
      </c>
      <c r="N68" s="577">
        <v>0</v>
      </c>
      <c r="O68" s="577">
        <v>0</v>
      </c>
      <c r="P68" s="62">
        <f t="shared" si="13"/>
        <v>1009181</v>
      </c>
      <c r="Q68" s="129">
        <v>182396</v>
      </c>
      <c r="R68" s="580">
        <v>1009181</v>
      </c>
      <c r="S68" s="62">
        <f t="shared" si="5"/>
        <v>182396</v>
      </c>
      <c r="T68" s="62">
        <f t="shared" si="6"/>
        <v>19002.062605108669</v>
      </c>
      <c r="U68" s="62">
        <v>15465.332485617682</v>
      </c>
      <c r="V68" s="131">
        <v>2586.1799999999998</v>
      </c>
      <c r="W68" s="131">
        <f t="shared" si="3"/>
        <v>16797.887687763647</v>
      </c>
      <c r="X68" s="131">
        <f t="shared" si="8"/>
        <v>2204.1749173450225</v>
      </c>
      <c r="Y68" s="199">
        <f t="shared" si="7"/>
        <v>0.13121738627593307</v>
      </c>
      <c r="Z68" s="511" t="str">
        <f t="shared" ref="Z68:Z69" si="15">IF(AND(ABS(X68)&gt;$E$4,ABS(Y68)&gt;10%),"анализировать","несущ")</f>
        <v>несущ</v>
      </c>
    </row>
    <row r="69" spans="1:26" ht="13">
      <c r="A69" s="110"/>
      <c r="B69" s="30" t="s">
        <v>53</v>
      </c>
      <c r="C69" s="29" t="s">
        <v>54</v>
      </c>
      <c r="D69" s="574">
        <v>0</v>
      </c>
      <c r="E69" s="577">
        <v>0</v>
      </c>
      <c r="F69" s="574">
        <v>2994</v>
      </c>
      <c r="G69" s="150" t="s">
        <v>289</v>
      </c>
      <c r="H69" s="574">
        <f>'ВД6 Прочие расходы'!AD73</f>
        <v>271703</v>
      </c>
      <c r="I69" s="310" t="s">
        <v>11</v>
      </c>
      <c r="J69" s="574">
        <v>247</v>
      </c>
      <c r="K69" s="577">
        <v>0</v>
      </c>
      <c r="L69" s="577">
        <v>0</v>
      </c>
      <c r="M69" s="577">
        <v>0</v>
      </c>
      <c r="N69" s="577">
        <v>0</v>
      </c>
      <c r="O69" s="577">
        <v>0</v>
      </c>
      <c r="P69" s="62">
        <f t="shared" si="13"/>
        <v>274944</v>
      </c>
      <c r="Q69" s="383">
        <v>4350</v>
      </c>
      <c r="R69" s="580">
        <v>274944</v>
      </c>
      <c r="S69" s="62">
        <f t="shared" si="5"/>
        <v>4350</v>
      </c>
      <c r="T69" s="62">
        <f t="shared" si="6"/>
        <v>4453.8977113784676</v>
      </c>
      <c r="U69" s="62">
        <v>4406.8075451262921</v>
      </c>
      <c r="V69" s="131">
        <v>168.31</v>
      </c>
      <c r="W69" s="131">
        <f t="shared" si="3"/>
        <v>4257.3889995411473</v>
      </c>
      <c r="X69" s="131">
        <f t="shared" si="8"/>
        <v>196.50871183732033</v>
      </c>
      <c r="Y69" s="199">
        <f t="shared" si="7"/>
        <v>4.6157095783002124E-2</v>
      </c>
      <c r="Z69" s="511" t="str">
        <f t="shared" si="15"/>
        <v>несущ</v>
      </c>
    </row>
    <row r="70" spans="1:26" ht="13">
      <c r="A70" s="110"/>
      <c r="B70" s="31" t="s">
        <v>506</v>
      </c>
      <c r="C70" s="24" t="s">
        <v>55</v>
      </c>
      <c r="D70" s="578">
        <v>0</v>
      </c>
      <c r="E70" s="578">
        <v>0</v>
      </c>
      <c r="F70" s="578">
        <v>0</v>
      </c>
      <c r="G70" s="25" t="s">
        <v>37</v>
      </c>
      <c r="H70" s="578">
        <f>H71</f>
        <v>13745</v>
      </c>
      <c r="I70" s="25" t="s">
        <v>37</v>
      </c>
      <c r="J70" s="578">
        <v>0</v>
      </c>
      <c r="K70" s="578">
        <v>0</v>
      </c>
      <c r="L70" s="578">
        <v>0</v>
      </c>
      <c r="M70" s="578">
        <v>0</v>
      </c>
      <c r="N70" s="578">
        <v>0</v>
      </c>
      <c r="O70" s="578">
        <v>0</v>
      </c>
      <c r="P70" s="347">
        <f>SUM(D70:O70)</f>
        <v>13745</v>
      </c>
      <c r="Q70" s="375">
        <v>0</v>
      </c>
      <c r="R70" s="578">
        <v>13745</v>
      </c>
      <c r="S70" s="347">
        <f t="shared" si="5"/>
        <v>0</v>
      </c>
      <c r="T70" s="172">
        <f t="shared" si="6"/>
        <v>219.19133258464927</v>
      </c>
      <c r="U70" s="466">
        <f>U71</f>
        <v>1602.6795583424303</v>
      </c>
      <c r="V70" s="510">
        <f>SUM(V71:V72)</f>
        <v>0.06</v>
      </c>
      <c r="W70" s="510">
        <f t="shared" si="3"/>
        <v>1491.4339790210006</v>
      </c>
      <c r="X70" s="510">
        <f t="shared" si="8"/>
        <v>-1272.2426464363514</v>
      </c>
      <c r="Y70" s="608">
        <f t="shared" si="7"/>
        <v>-0.85303316427822728</v>
      </c>
      <c r="Z70" s="504" t="s">
        <v>69</v>
      </c>
    </row>
    <row r="71" spans="1:26" ht="13">
      <c r="A71" s="110"/>
      <c r="B71" s="371" t="s">
        <v>42</v>
      </c>
      <c r="C71" s="372" t="s">
        <v>43</v>
      </c>
      <c r="D71" s="579">
        <v>0</v>
      </c>
      <c r="E71" s="579">
        <v>0</v>
      </c>
      <c r="F71" s="579">
        <v>0</v>
      </c>
      <c r="G71" s="373" t="s">
        <v>286</v>
      </c>
      <c r="H71" s="580">
        <f>'ВД4 Профессиональные услуги'!I46</f>
        <v>13745</v>
      </c>
      <c r="I71" s="169"/>
      <c r="J71" s="579">
        <v>0</v>
      </c>
      <c r="K71" s="579">
        <v>0</v>
      </c>
      <c r="L71" s="579">
        <v>0</v>
      </c>
      <c r="M71" s="579">
        <v>0</v>
      </c>
      <c r="N71" s="579">
        <v>0</v>
      </c>
      <c r="O71" s="579">
        <v>0</v>
      </c>
      <c r="P71" s="62">
        <f t="shared" ref="P71:P72" si="16">SUM(D71:O71)</f>
        <v>13745</v>
      </c>
      <c r="Q71" s="49">
        <v>0</v>
      </c>
      <c r="R71" s="580">
        <v>13745</v>
      </c>
      <c r="S71" s="62">
        <f t="shared" si="5"/>
        <v>0</v>
      </c>
      <c r="T71" s="172">
        <f t="shared" si="6"/>
        <v>219.19133258464927</v>
      </c>
      <c r="U71" s="62">
        <v>1602.6795583424303</v>
      </c>
      <c r="V71" s="131">
        <v>0.08</v>
      </c>
      <c r="W71" s="131">
        <f t="shared" si="3"/>
        <v>1491.4525900794383</v>
      </c>
      <c r="X71" s="131">
        <f t="shared" si="8"/>
        <v>-1272.2612574947891</v>
      </c>
      <c r="Y71" s="199">
        <f t="shared" si="7"/>
        <v>-0.85303499820066386</v>
      </c>
      <c r="Z71" s="511" t="str">
        <f t="shared" ref="Z71:Z72" si="17">IF(AND(ABS(X71)&gt;$E$4,ABS(Y71)&gt;10%),"анализировать","несущ")</f>
        <v>несущ</v>
      </c>
    </row>
    <row r="72" spans="1:26" ht="13">
      <c r="A72" s="110"/>
      <c r="B72" s="231" t="s">
        <v>53</v>
      </c>
      <c r="C72" s="607" t="s">
        <v>54</v>
      </c>
      <c r="D72" s="575">
        <v>0</v>
      </c>
      <c r="E72" s="575">
        <v>0</v>
      </c>
      <c r="F72" s="575">
        <v>0</v>
      </c>
      <c r="G72" s="575">
        <v>0</v>
      </c>
      <c r="H72" s="575">
        <v>0</v>
      </c>
      <c r="I72" s="78"/>
      <c r="J72" s="575">
        <v>0</v>
      </c>
      <c r="K72" s="575">
        <v>0</v>
      </c>
      <c r="L72" s="575">
        <v>0</v>
      </c>
      <c r="M72" s="575">
        <v>0</v>
      </c>
      <c r="N72" s="575">
        <v>0</v>
      </c>
      <c r="O72" s="575">
        <v>0</v>
      </c>
      <c r="P72" s="63">
        <f t="shared" si="16"/>
        <v>0</v>
      </c>
      <c r="Q72" s="63">
        <v>0</v>
      </c>
      <c r="R72" s="575">
        <v>0</v>
      </c>
      <c r="S72" s="63">
        <f t="shared" si="5"/>
        <v>0</v>
      </c>
      <c r="T72" s="63">
        <f t="shared" si="6"/>
        <v>0</v>
      </c>
      <c r="U72" s="575">
        <v>0</v>
      </c>
      <c r="V72" s="508">
        <v>-0.02</v>
      </c>
      <c r="W72" s="508">
        <f t="shared" si="3"/>
        <v>-1.8611058437510049E-2</v>
      </c>
      <c r="X72" s="508">
        <f t="shared" si="8"/>
        <v>1.8611058437510049E-2</v>
      </c>
      <c r="Y72" s="328">
        <f t="shared" si="7"/>
        <v>-1</v>
      </c>
      <c r="Z72" s="511" t="str">
        <f t="shared" si="17"/>
        <v>несущ</v>
      </c>
    </row>
    <row r="73" spans="1:26" ht="13">
      <c r="A73" s="110"/>
      <c r="B73" s="30"/>
      <c r="C73" s="29"/>
      <c r="D73" s="580"/>
      <c r="E73" s="580"/>
      <c r="F73" s="580"/>
      <c r="G73" s="580"/>
      <c r="H73" s="580"/>
      <c r="I73" s="580"/>
      <c r="J73" s="580"/>
      <c r="K73" s="580"/>
      <c r="L73" s="580"/>
      <c r="M73" s="580"/>
      <c r="N73" s="580"/>
      <c r="O73" s="580"/>
      <c r="Q73" s="580"/>
      <c r="R73" s="580"/>
      <c r="S73" s="580"/>
      <c r="T73" s="310" t="s">
        <v>640</v>
      </c>
      <c r="U73" s="49">
        <v>11740.29</v>
      </c>
      <c r="V73" s="108" t="s">
        <v>641</v>
      </c>
      <c r="W73" s="131"/>
      <c r="X73" s="199"/>
      <c r="Y73" s="511"/>
    </row>
    <row r="74" spans="1:26" ht="13">
      <c r="A74" s="110"/>
      <c r="B74" s="30"/>
      <c r="C74" s="29"/>
      <c r="D74" s="580"/>
      <c r="E74" s="580"/>
      <c r="F74" s="580"/>
      <c r="G74" s="580"/>
      <c r="H74" s="580"/>
      <c r="I74" s="580"/>
      <c r="J74" s="580"/>
      <c r="K74" s="580"/>
      <c r="L74" s="580"/>
      <c r="M74" s="580"/>
      <c r="N74" s="580"/>
      <c r="O74" s="580"/>
      <c r="P74" s="580"/>
      <c r="Q74" s="580"/>
      <c r="R74" s="580"/>
      <c r="S74" s="580"/>
      <c r="T74" s="67" t="s">
        <v>27</v>
      </c>
      <c r="U74" s="131">
        <f>U73-V58</f>
        <v>0.86000000000240107</v>
      </c>
      <c r="V74" s="648" t="s">
        <v>11</v>
      </c>
      <c r="W74" s="199"/>
      <c r="X74" s="511"/>
    </row>
    <row r="75" spans="1:26" ht="13">
      <c r="A75" s="110"/>
      <c r="B75" s="10"/>
      <c r="C75" s="116"/>
      <c r="D75" s="116"/>
      <c r="E75" s="116"/>
      <c r="F75" s="116"/>
      <c r="G75" s="116"/>
      <c r="H75" s="117"/>
      <c r="I75" s="119"/>
      <c r="J75" s="120"/>
      <c r="S75" s="310"/>
      <c r="T75" s="49"/>
      <c r="U75" s="108"/>
    </row>
    <row r="76" spans="1:26" ht="13">
      <c r="A76" s="110"/>
      <c r="B76" s="266" t="s">
        <v>625</v>
      </c>
      <c r="C76" s="116"/>
      <c r="D76" s="126"/>
      <c r="E76" s="126"/>
      <c r="F76" s="126"/>
      <c r="G76" s="126"/>
      <c r="H76" s="135"/>
      <c r="I76" s="126"/>
      <c r="J76" s="126"/>
      <c r="P76" s="49"/>
      <c r="S76" s="81"/>
      <c r="T76" s="49"/>
      <c r="U76" s="511"/>
    </row>
    <row r="77" spans="1:26" ht="13">
      <c r="A77" s="110"/>
      <c r="C77" s="226" t="s">
        <v>277</v>
      </c>
      <c r="D77" s="226" t="s">
        <v>277</v>
      </c>
      <c r="E77" s="127"/>
      <c r="F77" s="127"/>
      <c r="G77" s="127"/>
      <c r="H77" s="127"/>
      <c r="I77" s="127"/>
      <c r="J77" s="127"/>
    </row>
    <row r="78" spans="1:26" ht="26">
      <c r="A78" s="110"/>
      <c r="B78" s="333" t="s">
        <v>38</v>
      </c>
      <c r="C78" s="334" t="s">
        <v>626</v>
      </c>
      <c r="D78" s="334" t="s">
        <v>627</v>
      </c>
      <c r="E78" s="469" t="s">
        <v>510</v>
      </c>
      <c r="F78" s="335" t="s">
        <v>657</v>
      </c>
      <c r="G78" s="324" t="s">
        <v>658</v>
      </c>
      <c r="H78" s="324" t="s">
        <v>599</v>
      </c>
      <c r="M78" s="579"/>
    </row>
    <row r="79" spans="1:26" ht="13">
      <c r="A79" s="110"/>
      <c r="B79" s="369" t="s">
        <v>50</v>
      </c>
      <c r="C79" s="137">
        <f>W65</f>
        <v>33257.447955477248</v>
      </c>
      <c r="D79" s="137">
        <f>T65</f>
        <v>35328.300572091386</v>
      </c>
      <c r="E79" s="488" t="s">
        <v>255</v>
      </c>
      <c r="F79" s="661">
        <v>38584.271452112174</v>
      </c>
      <c r="G79" s="584">
        <f t="shared" ref="G79:G85" si="18">F79-D79</f>
        <v>3255.9708800207882</v>
      </c>
      <c r="H79" s="592">
        <f t="shared" ref="H79:H84" si="19">G79/F79</f>
        <v>8.4385962400815279E-2</v>
      </c>
      <c r="I79" s="660"/>
      <c r="M79" s="579"/>
    </row>
    <row r="80" spans="1:26" ht="31.5" customHeight="1">
      <c r="A80" s="110"/>
      <c r="B80" s="337" t="s">
        <v>43</v>
      </c>
      <c r="C80" s="137">
        <f>W61+W67+W71</f>
        <v>33497.344631734624</v>
      </c>
      <c r="D80" s="137">
        <f>T67+T61+T71</f>
        <v>36994.059017814339</v>
      </c>
      <c r="E80" s="434" t="s">
        <v>659</v>
      </c>
      <c r="F80" s="584">
        <f>C80*(1+$D$89)</f>
        <v>34937.730450899209</v>
      </c>
      <c r="G80" s="584">
        <f t="shared" si="18"/>
        <v>-2056.3285669151301</v>
      </c>
      <c r="H80" s="592">
        <f t="shared" si="19"/>
        <v>-5.8856958948866278E-2</v>
      </c>
      <c r="I80" s="561"/>
      <c r="M80" s="580"/>
    </row>
    <row r="81" spans="1:13" ht="13">
      <c r="A81" s="110"/>
      <c r="B81" s="340" t="s">
        <v>45</v>
      </c>
      <c r="C81" s="137">
        <f>W68</f>
        <v>16797.887687763647</v>
      </c>
      <c r="D81" s="137">
        <f>T68</f>
        <v>19002.062605108669</v>
      </c>
      <c r="E81" s="434" t="s">
        <v>659</v>
      </c>
      <c r="F81" s="584">
        <f>C81*(1+$D$89)</f>
        <v>17520.196858337484</v>
      </c>
      <c r="G81" s="580">
        <f t="shared" si="18"/>
        <v>-1481.8657467711855</v>
      </c>
      <c r="H81" s="589">
        <f t="shared" si="19"/>
        <v>-8.4580427877212899E-2</v>
      </c>
      <c r="I81" s="561"/>
      <c r="M81" s="580"/>
    </row>
    <row r="82" spans="1:13" ht="13">
      <c r="A82" s="110"/>
      <c r="B82" s="340" t="s">
        <v>41</v>
      </c>
      <c r="C82" s="137">
        <f>W60</f>
        <v>16485.497073549901</v>
      </c>
      <c r="D82" s="137">
        <f>T60</f>
        <v>23581.782041775812</v>
      </c>
      <c r="E82" s="367" t="str">
        <f>A93</f>
        <v>[1]</v>
      </c>
      <c r="F82" s="584">
        <f>F101</f>
        <v>21882.475460160793</v>
      </c>
      <c r="G82" s="580">
        <f t="shared" si="18"/>
        <v>-1699.3065816150192</v>
      </c>
      <c r="H82" s="589">
        <f t="shared" si="19"/>
        <v>-7.7656048773310615E-2</v>
      </c>
      <c r="I82" s="561"/>
      <c r="M82" s="579"/>
    </row>
    <row r="83" spans="1:13" ht="13">
      <c r="A83" s="110"/>
      <c r="B83" s="340" t="s">
        <v>436</v>
      </c>
      <c r="C83" s="137">
        <f>W66</f>
        <v>2261.41620897038</v>
      </c>
      <c r="D83" s="137">
        <f>T66</f>
        <v>4431.8277196255503</v>
      </c>
      <c r="E83" s="486" t="s">
        <v>548</v>
      </c>
      <c r="F83" s="584">
        <v>2471.4319224316228</v>
      </c>
      <c r="G83" s="584">
        <f t="shared" si="18"/>
        <v>-1960.3957971939276</v>
      </c>
      <c r="H83" s="592">
        <f>G83/F83</f>
        <v>-0.79322265744027021</v>
      </c>
      <c r="I83" s="660"/>
      <c r="M83" s="580"/>
    </row>
    <row r="84" spans="1:13" ht="13">
      <c r="A84" s="110"/>
      <c r="B84" s="340" t="s">
        <v>48</v>
      </c>
      <c r="C84" s="137">
        <f>W64</f>
        <v>2909.027818778015</v>
      </c>
      <c r="D84" s="137">
        <f>T64</f>
        <v>3708.5036577101027</v>
      </c>
      <c r="E84" s="434" t="s">
        <v>659</v>
      </c>
      <c r="F84" s="584">
        <f>C84*(1+$D$89)</f>
        <v>3034.1160149854695</v>
      </c>
      <c r="G84" s="580">
        <f t="shared" si="18"/>
        <v>-674.38764272463322</v>
      </c>
      <c r="H84" s="589">
        <f t="shared" si="19"/>
        <v>-0.22226824531225545</v>
      </c>
      <c r="I84" s="561"/>
      <c r="M84" s="580"/>
    </row>
    <row r="85" spans="1:13" ht="13">
      <c r="A85" s="110"/>
      <c r="B85" s="340" t="s">
        <v>54</v>
      </c>
      <c r="C85" s="137">
        <f>W69</f>
        <v>4257.3889995411473</v>
      </c>
      <c r="D85" s="137">
        <f>T69</f>
        <v>4453.8977113784676</v>
      </c>
      <c r="E85" s="434" t="s">
        <v>659</v>
      </c>
      <c r="F85" s="584">
        <f>C85*(1+$D$89)</f>
        <v>4440.4567265214164</v>
      </c>
      <c r="G85" s="580">
        <f t="shared" si="18"/>
        <v>-13.440984857051262</v>
      </c>
      <c r="H85" s="589">
        <f t="shared" ref="H85" si="20">G85/F85</f>
        <v>-3.0269374717183015E-3</v>
      </c>
      <c r="I85" s="561"/>
      <c r="M85" s="580"/>
    </row>
    <row r="86" spans="1:13" ht="29.25" customHeight="1">
      <c r="A86" s="110"/>
      <c r="B86" s="333" t="s">
        <v>437</v>
      </c>
      <c r="C86" s="510">
        <f>SUM(C79:C85)</f>
        <v>109466.01037581498</v>
      </c>
      <c r="D86" s="510">
        <f t="shared" ref="D86" si="21">SUM(D79:D85)</f>
        <v>127500.43332550433</v>
      </c>
      <c r="E86" s="476"/>
      <c r="F86" s="510">
        <f t="shared" ref="F86" si="22">SUM(F79:F85)</f>
        <v>122870.67888544817</v>
      </c>
      <c r="G86" s="510">
        <f>D86-F86</f>
        <v>4629.7544400561601</v>
      </c>
      <c r="H86" s="590">
        <f>G86/F86</f>
        <v>3.7679896310921022E-2</v>
      </c>
      <c r="I86" s="561" t="s">
        <v>660</v>
      </c>
      <c r="M86" s="580"/>
    </row>
    <row r="87" spans="1:13">
      <c r="A87" s="110"/>
      <c r="B87" s="10"/>
      <c r="C87" s="137">
        <f>C86-W58</f>
        <v>-8.8030306409200421</v>
      </c>
      <c r="D87" s="137">
        <f>D86-T58</f>
        <v>0</v>
      </c>
      <c r="E87" s="116"/>
      <c r="F87" s="117"/>
      <c r="G87" s="119"/>
      <c r="H87" s="120"/>
      <c r="M87" s="580"/>
    </row>
    <row r="88" spans="1:13" ht="13">
      <c r="A88" s="110"/>
      <c r="B88" s="10"/>
      <c r="C88" s="116"/>
      <c r="D88" s="513" t="s">
        <v>661</v>
      </c>
      <c r="E88" s="116"/>
      <c r="F88" s="116"/>
      <c r="G88" s="116"/>
      <c r="H88" s="117"/>
      <c r="I88" s="119"/>
      <c r="J88" s="120"/>
      <c r="M88" s="580"/>
    </row>
    <row r="89" spans="1:13" ht="13">
      <c r="A89" s="110"/>
      <c r="B89" s="348" t="s">
        <v>441</v>
      </c>
      <c r="C89" s="649" t="s">
        <v>642</v>
      </c>
      <c r="D89" s="349">
        <v>4.2999999999999997E-2</v>
      </c>
      <c r="E89" s="116"/>
      <c r="F89" s="116"/>
      <c r="G89" s="116"/>
      <c r="H89" s="117"/>
      <c r="I89" s="119"/>
      <c r="J89" s="120"/>
      <c r="M89" s="579"/>
    </row>
    <row r="90" spans="1:13" ht="13">
      <c r="A90" s="110"/>
      <c r="B90" s="144" t="s">
        <v>755</v>
      </c>
      <c r="E90" s="116"/>
      <c r="F90" s="116"/>
      <c r="G90" s="116"/>
      <c r="H90" s="117"/>
      <c r="I90" s="119"/>
      <c r="J90" s="120"/>
      <c r="M90" s="580"/>
    </row>
    <row r="91" spans="1:13" ht="13">
      <c r="A91" s="110"/>
      <c r="B91" s="144"/>
      <c r="E91" s="116"/>
      <c r="F91" s="116"/>
      <c r="G91" s="116"/>
      <c r="H91" s="117"/>
      <c r="I91" s="119"/>
      <c r="J91" s="120"/>
    </row>
    <row r="92" spans="1:13" ht="13">
      <c r="A92" s="110"/>
      <c r="B92" s="144"/>
      <c r="E92" s="116"/>
      <c r="F92" s="116"/>
      <c r="G92" s="116"/>
      <c r="H92" s="117"/>
      <c r="I92" s="119"/>
      <c r="J92" s="120"/>
    </row>
    <row r="93" spans="1:13" ht="13">
      <c r="A93" s="367" t="s">
        <v>278</v>
      </c>
      <c r="B93" s="368" t="s">
        <v>41</v>
      </c>
      <c r="G93" s="116"/>
      <c r="H93" s="117"/>
      <c r="I93" s="119"/>
      <c r="J93" s="120"/>
    </row>
    <row r="94" spans="1:13">
      <c r="A94" s="110"/>
      <c r="B94" s="357" t="s">
        <v>805</v>
      </c>
      <c r="E94" s="350"/>
      <c r="G94" s="116"/>
      <c r="H94" s="117"/>
      <c r="I94" s="119"/>
      <c r="J94" s="120"/>
    </row>
    <row r="95" spans="1:13">
      <c r="B95" s="121" t="s">
        <v>795</v>
      </c>
      <c r="C95" s="116"/>
      <c r="D95" s="116"/>
      <c r="E95" s="116"/>
      <c r="G95" s="116"/>
      <c r="H95" s="117"/>
      <c r="I95" s="119"/>
      <c r="J95" s="120"/>
    </row>
    <row r="96" spans="1:13">
      <c r="G96" s="116"/>
      <c r="H96" s="117"/>
      <c r="I96" s="119"/>
      <c r="J96" s="120"/>
    </row>
    <row r="97" spans="1:10" ht="13">
      <c r="B97" s="358"/>
      <c r="C97" s="358"/>
      <c r="D97" s="358"/>
      <c r="E97" s="585" t="s">
        <v>440</v>
      </c>
      <c r="F97" s="585" t="s">
        <v>440</v>
      </c>
      <c r="G97" s="116"/>
      <c r="H97" s="117"/>
      <c r="I97" s="119"/>
      <c r="J97" s="120"/>
    </row>
    <row r="98" spans="1:10" ht="39">
      <c r="A98" s="318"/>
      <c r="B98" s="468" t="s">
        <v>447</v>
      </c>
      <c r="C98" s="469" t="s">
        <v>448</v>
      </c>
      <c r="D98" s="470" t="s">
        <v>449</v>
      </c>
      <c r="E98" s="586" t="s">
        <v>629</v>
      </c>
      <c r="F98" s="586" t="s">
        <v>630</v>
      </c>
      <c r="G98" s="116"/>
      <c r="H98" s="117"/>
      <c r="I98" s="119"/>
      <c r="J98" s="120"/>
    </row>
    <row r="99" spans="1:10" ht="13">
      <c r="B99" s="359" t="s">
        <v>450</v>
      </c>
      <c r="C99" s="360" t="s">
        <v>453</v>
      </c>
      <c r="D99" s="361">
        <v>80050.211859999996</v>
      </c>
      <c r="E99" s="481">
        <f>D99*6</f>
        <v>480301.27116</v>
      </c>
      <c r="F99" s="587">
        <f>E99/$L$12</f>
        <v>7659.3579969197071</v>
      </c>
      <c r="G99" s="472" t="s">
        <v>542</v>
      </c>
      <c r="H99" s="117"/>
      <c r="I99" s="119"/>
      <c r="J99" s="120"/>
    </row>
    <row r="100" spans="1:10" ht="13">
      <c r="B100" s="308" t="s">
        <v>451</v>
      </c>
      <c r="C100" s="362" t="s">
        <v>452</v>
      </c>
      <c r="D100" s="363">
        <v>148650</v>
      </c>
      <c r="E100" s="482">
        <f>D100*6</f>
        <v>891900</v>
      </c>
      <c r="F100" s="588">
        <f>E100/$L$12</f>
        <v>14223.117463241084</v>
      </c>
      <c r="G100" s="472" t="s">
        <v>628</v>
      </c>
      <c r="H100" s="117"/>
      <c r="I100" s="119"/>
      <c r="J100" s="120"/>
    </row>
    <row r="101" spans="1:10" ht="13">
      <c r="B101" s="364" t="s">
        <v>253</v>
      </c>
      <c r="C101" s="314"/>
      <c r="D101" s="466">
        <f>SUM(D99:D100)</f>
        <v>228700.21185999998</v>
      </c>
      <c r="E101" s="466">
        <f t="shared" ref="E101" si="23">SUM(E99:E100)</f>
        <v>1372201.27116</v>
      </c>
      <c r="F101" s="591">
        <f>E101/$L$12</f>
        <v>21882.475460160793</v>
      </c>
      <c r="G101" s="116"/>
      <c r="H101" s="117"/>
      <c r="I101" s="119"/>
      <c r="J101" s="120"/>
    </row>
    <row r="102" spans="1:10">
      <c r="A102" s="110"/>
      <c r="B102" s="10"/>
      <c r="C102" s="116"/>
      <c r="D102" s="116"/>
      <c r="E102" s="116"/>
      <c r="F102" s="116"/>
      <c r="G102" s="116"/>
      <c r="H102" s="117"/>
      <c r="I102" s="119"/>
      <c r="J102" s="120"/>
    </row>
    <row r="103" spans="1:10">
      <c r="A103" s="110"/>
      <c r="B103" s="10"/>
      <c r="C103" s="116"/>
      <c r="D103" s="116"/>
      <c r="E103" s="116"/>
      <c r="F103" s="116"/>
      <c r="G103" s="116"/>
      <c r="H103" s="117"/>
      <c r="I103" s="119"/>
      <c r="J103" s="120"/>
    </row>
    <row r="104" spans="1:10" s="564" customFormat="1" ht="13">
      <c r="A104" s="562" t="s">
        <v>610</v>
      </c>
      <c r="B104" s="563"/>
      <c r="H104" s="565"/>
      <c r="I104" s="565"/>
      <c r="J104" s="566"/>
    </row>
    <row r="105" spans="1:10">
      <c r="A105" s="110"/>
    </row>
    <row r="106" spans="1:10" ht="13">
      <c r="A106" s="110"/>
      <c r="B106" s="11" t="s">
        <v>806</v>
      </c>
    </row>
    <row r="107" spans="1:10" ht="13">
      <c r="A107" s="110"/>
      <c r="B107" s="11"/>
    </row>
    <row r="108" spans="1:10" ht="13">
      <c r="A108" s="110"/>
      <c r="B108" s="13"/>
      <c r="C108" s="107" t="s">
        <v>297</v>
      </c>
      <c r="D108" s="26"/>
      <c r="E108" s="14"/>
      <c r="F108" s="107" t="s">
        <v>465</v>
      </c>
      <c r="G108" s="15" t="s">
        <v>27</v>
      </c>
    </row>
    <row r="109" spans="1:10" ht="13">
      <c r="A109" s="110"/>
      <c r="B109" s="123" t="s">
        <v>296</v>
      </c>
      <c r="C109" s="16">
        <f>88272.74</f>
        <v>88272.74</v>
      </c>
      <c r="D109" s="14" t="s">
        <v>464</v>
      </c>
      <c r="E109" s="17" t="s">
        <v>28</v>
      </c>
      <c r="F109" s="18">
        <f>Q119/L2</f>
        <v>88430.786082508406</v>
      </c>
      <c r="G109" s="19">
        <f>F109-C109</f>
        <v>158.04608250840101</v>
      </c>
      <c r="H109" s="124" t="s">
        <v>29</v>
      </c>
    </row>
    <row r="110" spans="1:10">
      <c r="A110" s="110"/>
    </row>
    <row r="111" spans="1:10">
      <c r="A111" s="110"/>
    </row>
    <row r="112" spans="1:10">
      <c r="A112" s="110"/>
      <c r="I112" s="171"/>
    </row>
    <row r="113" spans="1:25" ht="13">
      <c r="A113" s="110"/>
      <c r="B113" s="11" t="s">
        <v>807</v>
      </c>
    </row>
    <row r="114" spans="1:25" ht="13">
      <c r="A114" s="110"/>
      <c r="B114" s="12"/>
    </row>
    <row r="115" spans="1:25" ht="13">
      <c r="A115" s="110"/>
      <c r="B115" s="27"/>
      <c r="C115" s="28"/>
      <c r="D115" s="125" t="s">
        <v>30</v>
      </c>
    </row>
    <row r="116" spans="1:25" ht="13">
      <c r="A116" s="110"/>
      <c r="B116" s="27"/>
      <c r="C116" s="28"/>
      <c r="D116" s="365" t="s">
        <v>31</v>
      </c>
      <c r="E116" s="365" t="s">
        <v>32</v>
      </c>
      <c r="F116" s="365" t="s">
        <v>56</v>
      </c>
      <c r="G116" s="365"/>
      <c r="H116" s="365" t="s">
        <v>454</v>
      </c>
      <c r="I116" s="365" t="s">
        <v>501</v>
      </c>
      <c r="J116" s="365" t="s">
        <v>57</v>
      </c>
      <c r="K116" s="365" t="s">
        <v>58</v>
      </c>
      <c r="L116" s="365" t="s">
        <v>455</v>
      </c>
      <c r="M116" s="365" t="s">
        <v>456</v>
      </c>
      <c r="N116" s="365" t="s">
        <v>502</v>
      </c>
      <c r="O116" s="110" t="s">
        <v>518</v>
      </c>
      <c r="P116" s="366" t="s">
        <v>457</v>
      </c>
      <c r="R116" s="34"/>
      <c r="U116" s="366" t="s">
        <v>457</v>
      </c>
      <c r="X116" s="20"/>
    </row>
    <row r="117" spans="1:25" s="116" customFormat="1" ht="39">
      <c r="B117" s="32"/>
      <c r="C117" s="32"/>
      <c r="D117" s="22" t="s">
        <v>33</v>
      </c>
      <c r="E117" s="22" t="s">
        <v>34</v>
      </c>
      <c r="F117" s="22" t="s">
        <v>59</v>
      </c>
      <c r="G117" s="23" t="s">
        <v>35</v>
      </c>
      <c r="H117" s="22" t="s">
        <v>36</v>
      </c>
      <c r="I117" s="22" t="s">
        <v>60</v>
      </c>
      <c r="J117" s="22" t="s">
        <v>61</v>
      </c>
      <c r="K117" s="22" t="s">
        <v>62</v>
      </c>
      <c r="L117" s="22" t="s">
        <v>63</v>
      </c>
      <c r="M117" s="22" t="s">
        <v>64</v>
      </c>
      <c r="N117" s="22" t="s">
        <v>65</v>
      </c>
      <c r="O117" s="33" t="s">
        <v>319</v>
      </c>
      <c r="P117" s="302" t="s">
        <v>794</v>
      </c>
      <c r="Q117" s="33" t="s">
        <v>318</v>
      </c>
      <c r="R117" s="149" t="s">
        <v>27</v>
      </c>
      <c r="S117" s="33" t="s">
        <v>320</v>
      </c>
      <c r="T117" s="33" t="s">
        <v>299</v>
      </c>
      <c r="U117" s="303" t="s">
        <v>412</v>
      </c>
      <c r="V117" s="33" t="s">
        <v>321</v>
      </c>
      <c r="W117" s="128" t="s">
        <v>298</v>
      </c>
      <c r="X117" s="37" t="s">
        <v>68</v>
      </c>
    </row>
    <row r="118" spans="1:25" s="116" customFormat="1" ht="26">
      <c r="B118" s="32"/>
      <c r="C118" s="32"/>
      <c r="D118" s="17" t="s">
        <v>11</v>
      </c>
      <c r="E118" s="17" t="s">
        <v>11</v>
      </c>
      <c r="F118" s="17" t="s">
        <v>11</v>
      </c>
      <c r="G118" s="25"/>
      <c r="H118" s="17"/>
      <c r="I118" s="17" t="s">
        <v>11</v>
      </c>
      <c r="J118" s="17" t="s">
        <v>11</v>
      </c>
      <c r="K118" s="17" t="s">
        <v>11</v>
      </c>
      <c r="L118" s="17" t="s">
        <v>11</v>
      </c>
      <c r="M118" s="17" t="s">
        <v>11</v>
      </c>
      <c r="N118" s="17" t="s">
        <v>11</v>
      </c>
      <c r="O118" s="21" t="s">
        <v>17</v>
      </c>
      <c r="P118" s="34" t="s">
        <v>521</v>
      </c>
      <c r="Q118" s="34" t="s">
        <v>66</v>
      </c>
      <c r="R118" s="20" t="s">
        <v>37</v>
      </c>
      <c r="S118" s="20" t="s">
        <v>37</v>
      </c>
      <c r="T118" s="35" t="s">
        <v>15</v>
      </c>
      <c r="U118" s="304" t="s">
        <v>413</v>
      </c>
      <c r="V118" s="36" t="s">
        <v>67</v>
      </c>
      <c r="W118" s="20" t="s">
        <v>37</v>
      </c>
      <c r="X118" s="300" t="s">
        <v>37</v>
      </c>
    </row>
    <row r="119" spans="1:25" s="145" customFormat="1" ht="13">
      <c r="B119" s="31" t="s">
        <v>503</v>
      </c>
      <c r="C119" s="24" t="s">
        <v>38</v>
      </c>
      <c r="D119" s="376">
        <v>-113340</v>
      </c>
      <c r="E119" s="376">
        <v>-86</v>
      </c>
      <c r="F119" s="376">
        <v>858</v>
      </c>
      <c r="G119" s="25" t="s">
        <v>37</v>
      </c>
      <c r="H119" s="376">
        <f>H120+H123+H130</f>
        <v>5277500</v>
      </c>
      <c r="I119" s="376">
        <v>126042</v>
      </c>
      <c r="J119" s="376">
        <v>110161</v>
      </c>
      <c r="K119" s="376">
        <v>30066.12</v>
      </c>
      <c r="L119" s="376">
        <v>-31594</v>
      </c>
      <c r="M119" s="376">
        <v>34291</v>
      </c>
      <c r="N119" s="376">
        <v>0</v>
      </c>
      <c r="O119" s="297">
        <f>SUM(D119:N119)+P119</f>
        <v>5906405.1200000001</v>
      </c>
      <c r="P119" s="376">
        <f>P120+P123+P131</f>
        <v>472507</v>
      </c>
      <c r="Q119" s="297">
        <v>5432816.1200000001</v>
      </c>
      <c r="R119" s="297">
        <f>Q119-(O119-P119)</f>
        <v>-1082</v>
      </c>
      <c r="S119" s="380">
        <f t="shared" ref="S119:S131" si="24">O119/$L$2</f>
        <v>96139.467294054557</v>
      </c>
      <c r="T119" s="380">
        <f>T120+T123+T130</f>
        <v>78686.369812490986</v>
      </c>
      <c r="U119" s="347">
        <f>SUM(U120,U123,U130)</f>
        <v>8362.19</v>
      </c>
      <c r="V119" s="381">
        <f t="shared" ref="V119:V131" si="25">(T119+U119)*$L$3/$L$2</f>
        <v>82541.987649955423</v>
      </c>
      <c r="W119" s="381">
        <f t="shared" ref="W119:W124" si="26">S119-V119</f>
        <v>13597.479644099134</v>
      </c>
      <c r="X119" s="301">
        <f>W119/V119</f>
        <v>0.16473409511003553</v>
      </c>
      <c r="Y119" s="39" t="s">
        <v>69</v>
      </c>
    </row>
    <row r="120" spans="1:25" s="145" customFormat="1" ht="13">
      <c r="B120" s="31" t="s">
        <v>504</v>
      </c>
      <c r="C120" s="24" t="s">
        <v>39</v>
      </c>
      <c r="D120" s="376">
        <v>0</v>
      </c>
      <c r="E120" s="376">
        <v>0</v>
      </c>
      <c r="F120" s="376">
        <v>0</v>
      </c>
      <c r="G120" s="25" t="s">
        <v>37</v>
      </c>
      <c r="H120" s="376">
        <f>H121+H122</f>
        <v>1247522</v>
      </c>
      <c r="I120" s="376">
        <v>23</v>
      </c>
      <c r="J120" s="376">
        <v>0</v>
      </c>
      <c r="K120" s="376">
        <v>0</v>
      </c>
      <c r="L120" s="376">
        <v>0</v>
      </c>
      <c r="M120" s="376">
        <v>0</v>
      </c>
      <c r="N120" s="376">
        <v>0</v>
      </c>
      <c r="O120" s="376">
        <f t="shared" ref="O120:O131" si="27">SUM(D120:N120)+P120</f>
        <v>1387425</v>
      </c>
      <c r="P120" s="376">
        <v>139880</v>
      </c>
      <c r="Q120" s="376">
        <v>1247545</v>
      </c>
      <c r="R120" s="297">
        <f t="shared" ref="R120:R131" si="28">Q120-(O120-P120)</f>
        <v>0</v>
      </c>
      <c r="S120" s="379">
        <f t="shared" si="24"/>
        <v>22583.330757110958</v>
      </c>
      <c r="T120" s="379">
        <f>SUM(T121:T122)</f>
        <v>17727.921810727534</v>
      </c>
      <c r="U120" s="347">
        <f>SUM(U121:U122)</f>
        <v>1821.06</v>
      </c>
      <c r="V120" s="381">
        <f t="shared" si="25"/>
        <v>18536.915701605107</v>
      </c>
      <c r="W120" s="381">
        <f t="shared" si="26"/>
        <v>4046.4150555058513</v>
      </c>
      <c r="X120" s="301">
        <f t="shared" ref="X120:X131" si="29">W120/V120</f>
        <v>0.21828955370150782</v>
      </c>
      <c r="Y120" s="39" t="s">
        <v>69</v>
      </c>
    </row>
    <row r="121" spans="1:25" s="145" customFormat="1" ht="13">
      <c r="B121" s="30" t="s">
        <v>40</v>
      </c>
      <c r="C121" s="29" t="s">
        <v>41</v>
      </c>
      <c r="D121" s="377">
        <v>0</v>
      </c>
      <c r="E121" s="377">
        <v>0</v>
      </c>
      <c r="F121" s="377">
        <v>0</v>
      </c>
      <c r="G121" s="150" t="s">
        <v>284</v>
      </c>
      <c r="H121" s="377">
        <f>'ВД5 Услуги УК'!M39</f>
        <v>926251</v>
      </c>
      <c r="I121" s="377">
        <v>0</v>
      </c>
      <c r="J121" s="377">
        <v>0</v>
      </c>
      <c r="K121" s="377">
        <v>0</v>
      </c>
      <c r="L121" s="377">
        <v>0</v>
      </c>
      <c r="M121" s="377">
        <v>0</v>
      </c>
      <c r="N121" s="377">
        <v>0</v>
      </c>
      <c r="O121" s="40">
        <f>SUM(D121:N121)+P121</f>
        <v>1032811</v>
      </c>
      <c r="P121" s="129">
        <v>106560</v>
      </c>
      <c r="Q121" s="129">
        <v>926251</v>
      </c>
      <c r="R121" s="297">
        <f>Q121-(O121-P121)</f>
        <v>0</v>
      </c>
      <c r="S121" s="173">
        <f t="shared" si="24"/>
        <v>16811.223974328361</v>
      </c>
      <c r="T121" s="173">
        <v>12367.166233241029</v>
      </c>
      <c r="U121" s="62">
        <v>342.54</v>
      </c>
      <c r="V121" s="382">
        <f t="shared" si="25"/>
        <v>12051.714780790717</v>
      </c>
      <c r="W121" s="382">
        <f>S121-V121</f>
        <v>4759.509193537644</v>
      </c>
      <c r="X121" s="299">
        <f t="shared" si="29"/>
        <v>0.39492381624595424</v>
      </c>
      <c r="Y121" s="38" t="str">
        <f>$B$135</f>
        <v>Ожидание за 9 мес 2018</v>
      </c>
    </row>
    <row r="122" spans="1:25" s="145" customFormat="1" ht="13">
      <c r="B122" s="30" t="s">
        <v>42</v>
      </c>
      <c r="C122" s="29" t="s">
        <v>43</v>
      </c>
      <c r="D122" s="377">
        <v>0</v>
      </c>
      <c r="E122" s="377">
        <v>0</v>
      </c>
      <c r="F122" s="377">
        <v>0</v>
      </c>
      <c r="G122" s="150" t="s">
        <v>286</v>
      </c>
      <c r="H122" s="377">
        <f>'ВД4 Профессиональные услуги'!C44</f>
        <v>321271</v>
      </c>
      <c r="I122" s="377">
        <v>23</v>
      </c>
      <c r="J122" s="377">
        <v>0</v>
      </c>
      <c r="K122" s="377">
        <v>0</v>
      </c>
      <c r="L122" s="377">
        <v>0</v>
      </c>
      <c r="M122" s="377">
        <v>0</v>
      </c>
      <c r="N122" s="377">
        <v>0</v>
      </c>
      <c r="O122" s="40">
        <f>SUM(D122:N122)+P122</f>
        <v>354614</v>
      </c>
      <c r="P122" s="62">
        <v>33320</v>
      </c>
      <c r="Q122" s="62">
        <v>321294</v>
      </c>
      <c r="R122" s="40">
        <f>Q122-(O122-P122)</f>
        <v>0</v>
      </c>
      <c r="S122" s="173">
        <f t="shared" si="24"/>
        <v>5772.1067827825973</v>
      </c>
      <c r="T122" s="173">
        <v>5360.755577486505</v>
      </c>
      <c r="U122" s="173">
        <v>1478.52</v>
      </c>
      <c r="V122" s="382">
        <f t="shared" si="25"/>
        <v>6485.2009208143882</v>
      </c>
      <c r="W122" s="382">
        <f>S122-V122</f>
        <v>-713.09413803179086</v>
      </c>
      <c r="X122" s="299">
        <f t="shared" si="29"/>
        <v>-0.10995713883637749</v>
      </c>
      <c r="Y122" s="38" t="str">
        <f>IF(AND(ABS(W122)&gt;$E$5,ABS(X122)&gt;10%),"анализировать","несущ")</f>
        <v>несущ</v>
      </c>
    </row>
    <row r="123" spans="1:25" s="145" customFormat="1" ht="13">
      <c r="B123" s="31" t="s">
        <v>505</v>
      </c>
      <c r="C123" s="24" t="s">
        <v>46</v>
      </c>
      <c r="D123" s="376">
        <v>-113340</v>
      </c>
      <c r="E123" s="376">
        <v>-86</v>
      </c>
      <c r="F123" s="376">
        <v>858</v>
      </c>
      <c r="G123" s="25" t="s">
        <v>37</v>
      </c>
      <c r="H123" s="376">
        <f>SUM(H124:H129)</f>
        <v>4006969</v>
      </c>
      <c r="I123" s="376">
        <v>126019</v>
      </c>
      <c r="J123" s="376">
        <v>110161</v>
      </c>
      <c r="K123" s="376">
        <v>30066.12</v>
      </c>
      <c r="L123" s="376">
        <v>-31594</v>
      </c>
      <c r="M123" s="376">
        <v>34291</v>
      </c>
      <c r="N123" s="376">
        <v>0</v>
      </c>
      <c r="O123" s="376">
        <f t="shared" si="27"/>
        <v>4495971.12</v>
      </c>
      <c r="P123" s="376">
        <f t="shared" ref="P123" si="30">SUM(P124:P129)</f>
        <v>332627</v>
      </c>
      <c r="Q123" s="376">
        <v>4162262.12</v>
      </c>
      <c r="R123" s="297">
        <f t="shared" si="28"/>
        <v>-1082</v>
      </c>
      <c r="S123" s="379">
        <f t="shared" si="24"/>
        <v>73181.615494443744</v>
      </c>
      <c r="T123" s="379">
        <f>SUM(T124:T129)</f>
        <v>58910.562880165264</v>
      </c>
      <c r="U123" s="347">
        <f>SUM(U124:U129)</f>
        <v>6539.4900000000007</v>
      </c>
      <c r="V123" s="381">
        <f t="shared" si="25"/>
        <v>62061.652348535681</v>
      </c>
      <c r="W123" s="381">
        <f t="shared" si="26"/>
        <v>11119.963145908063</v>
      </c>
      <c r="X123" s="301">
        <f t="shared" si="29"/>
        <v>0.17917607290664464</v>
      </c>
      <c r="Y123" s="39" t="s">
        <v>69</v>
      </c>
    </row>
    <row r="124" spans="1:25" s="145" customFormat="1" ht="13">
      <c r="B124" s="30" t="s">
        <v>47</v>
      </c>
      <c r="C124" s="29" t="s">
        <v>48</v>
      </c>
      <c r="D124" s="377">
        <v>0</v>
      </c>
      <c r="E124" s="377">
        <v>0</v>
      </c>
      <c r="F124" s="377">
        <v>0</v>
      </c>
      <c r="G124" s="150" t="s">
        <v>288</v>
      </c>
      <c r="H124" s="377">
        <f>'ВД3 Материальные расходы'!M78</f>
        <v>151788</v>
      </c>
      <c r="I124" s="377">
        <v>0</v>
      </c>
      <c r="J124" s="377">
        <v>0</v>
      </c>
      <c r="K124" s="377">
        <v>0</v>
      </c>
      <c r="L124" s="377">
        <v>0</v>
      </c>
      <c r="M124" s="377">
        <v>0</v>
      </c>
      <c r="N124" s="377">
        <v>0</v>
      </c>
      <c r="O124" s="40">
        <f>SUM(D124:N124)+P124</f>
        <v>153235</v>
      </c>
      <c r="P124" s="42">
        <v>1447</v>
      </c>
      <c r="Q124" s="129">
        <v>151788</v>
      </c>
      <c r="R124" s="297">
        <f t="shared" si="28"/>
        <v>0</v>
      </c>
      <c r="S124" s="173">
        <f t="shared" si="24"/>
        <v>2494.2297339069842</v>
      </c>
      <c r="T124" s="173">
        <v>2046.2372006285825</v>
      </c>
      <c r="U124" s="62">
        <v>65.06</v>
      </c>
      <c r="V124" s="382">
        <f t="shared" si="25"/>
        <v>2001.9936899020706</v>
      </c>
      <c r="W124" s="382">
        <f t="shared" si="26"/>
        <v>492.23604400491354</v>
      </c>
      <c r="X124" s="299">
        <f t="shared" si="29"/>
        <v>0.24587292481875492</v>
      </c>
      <c r="Y124" s="38" t="str">
        <f t="shared" ref="Y124:Y129" si="31">IF(AND(ABS(W124)&gt;$E$5,ABS(X124)&gt;10%),"анализировать","несущ")</f>
        <v>несущ</v>
      </c>
    </row>
    <row r="125" spans="1:25" s="145" customFormat="1" ht="13">
      <c r="B125" s="30" t="s">
        <v>49</v>
      </c>
      <c r="C125" s="29" t="s">
        <v>50</v>
      </c>
      <c r="D125" s="377">
        <v>0</v>
      </c>
      <c r="E125" s="377">
        <v>0</v>
      </c>
      <c r="F125" s="377">
        <v>0</v>
      </c>
      <c r="G125" s="158" t="s">
        <v>255</v>
      </c>
      <c r="H125" s="377">
        <v>1562453</v>
      </c>
      <c r="I125" s="377">
        <v>15868</v>
      </c>
      <c r="J125" s="377">
        <v>0</v>
      </c>
      <c r="K125" s="377">
        <v>0</v>
      </c>
      <c r="L125" s="377">
        <v>0</v>
      </c>
      <c r="M125" s="377">
        <v>0</v>
      </c>
      <c r="N125" s="377">
        <v>0</v>
      </c>
      <c r="O125" s="40">
        <f>SUM(D125:N125)+P125</f>
        <v>1686694</v>
      </c>
      <c r="P125" s="129">
        <v>108373</v>
      </c>
      <c r="Q125" s="129">
        <v>1578321</v>
      </c>
      <c r="R125" s="40">
        <f t="shared" si="28"/>
        <v>0</v>
      </c>
      <c r="S125" s="173">
        <f t="shared" si="24"/>
        <v>27454.578437057506</v>
      </c>
      <c r="T125" s="173">
        <v>23734.696739984585</v>
      </c>
      <c r="U125" s="62">
        <v>3343.54</v>
      </c>
      <c r="V125" s="382">
        <f t="shared" si="25"/>
        <v>25676.375202403447</v>
      </c>
      <c r="W125" s="382">
        <f>S125-V125</f>
        <v>1778.2032346540582</v>
      </c>
      <c r="X125" s="299">
        <f t="shared" si="29"/>
        <v>6.925444968912936E-2</v>
      </c>
      <c r="Y125" s="38" t="str">
        <f t="shared" si="31"/>
        <v>несущ</v>
      </c>
    </row>
    <row r="126" spans="1:25" s="145" customFormat="1" ht="13">
      <c r="B126" s="30" t="s">
        <v>51</v>
      </c>
      <c r="C126" s="29" t="s">
        <v>52</v>
      </c>
      <c r="D126" s="377">
        <v>-113340</v>
      </c>
      <c r="E126" s="377">
        <v>-86</v>
      </c>
      <c r="F126" s="377">
        <v>0</v>
      </c>
      <c r="G126" s="158" t="s">
        <v>416</v>
      </c>
      <c r="H126" s="377">
        <v>121421</v>
      </c>
      <c r="I126" s="377">
        <v>25</v>
      </c>
      <c r="J126" s="377">
        <v>110161</v>
      </c>
      <c r="K126" s="377">
        <v>30066.12</v>
      </c>
      <c r="L126" s="377">
        <v>0</v>
      </c>
      <c r="M126" s="377">
        <v>34291</v>
      </c>
      <c r="N126" s="377">
        <v>0</v>
      </c>
      <c r="O126" s="40">
        <f>SUM(D126:N126)+P126</f>
        <v>201027.12</v>
      </c>
      <c r="P126" s="129">
        <v>18489</v>
      </c>
      <c r="Q126" s="129">
        <v>182538.12</v>
      </c>
      <c r="R126" s="40">
        <f t="shared" si="28"/>
        <v>0</v>
      </c>
      <c r="S126" s="173">
        <f t="shared" si="24"/>
        <v>3272.1494438325931</v>
      </c>
      <c r="T126" s="173">
        <v>1790.9785338982119</v>
      </c>
      <c r="U126" s="62">
        <v>15.54</v>
      </c>
      <c r="V126" s="382">
        <f t="shared" si="25"/>
        <v>1712.9936536071766</v>
      </c>
      <c r="W126" s="382">
        <f t="shared" ref="W126:W131" si="32">S126-V126</f>
        <v>1559.1557902254165</v>
      </c>
      <c r="X126" s="299">
        <f t="shared" si="29"/>
        <v>0.91019355906088006</v>
      </c>
      <c r="Y126" s="38" t="str">
        <f>IF(AND(ABS(W126)&gt;$E$5,ABS(X126)&gt;10%),"анализировать","несущ")</f>
        <v>несущ</v>
      </c>
    </row>
    <row r="127" spans="1:25" s="145" customFormat="1" ht="13">
      <c r="B127" s="30" t="s">
        <v>42</v>
      </c>
      <c r="C127" s="29" t="s">
        <v>43</v>
      </c>
      <c r="D127" s="377">
        <v>0</v>
      </c>
      <c r="E127" s="377">
        <v>0</v>
      </c>
      <c r="F127" s="377">
        <v>0</v>
      </c>
      <c r="G127" s="150" t="s">
        <v>286</v>
      </c>
      <c r="H127" s="377">
        <f>'ВД4 Профессиональные услуги'!C45</f>
        <v>1262978</v>
      </c>
      <c r="I127" s="377">
        <v>98906</v>
      </c>
      <c r="J127" s="377">
        <v>0</v>
      </c>
      <c r="K127" s="377">
        <v>0</v>
      </c>
      <c r="L127" s="377">
        <v>-31594</v>
      </c>
      <c r="M127" s="377">
        <v>0</v>
      </c>
      <c r="N127" s="377">
        <v>0</v>
      </c>
      <c r="O127" s="40">
        <f t="shared" si="27"/>
        <v>1347862</v>
      </c>
      <c r="P127" s="129">
        <v>17572</v>
      </c>
      <c r="Q127" s="129">
        <v>1330290</v>
      </c>
      <c r="R127" s="40">
        <f t="shared" si="28"/>
        <v>0</v>
      </c>
      <c r="S127" s="173">
        <f t="shared" si="24"/>
        <v>21939.357702896439</v>
      </c>
      <c r="T127" s="173">
        <v>16893.267005467947</v>
      </c>
      <c r="U127" s="62">
        <v>1024.46</v>
      </c>
      <c r="V127" s="382">
        <f t="shared" si="25"/>
        <v>16990.112236048561</v>
      </c>
      <c r="W127" s="382">
        <f t="shared" si="32"/>
        <v>4949.2454668478786</v>
      </c>
      <c r="X127" s="299">
        <f t="shared" si="29"/>
        <v>0.29130151691092881</v>
      </c>
      <c r="Y127" s="38" t="str">
        <f>$B$135</f>
        <v>Ожидание за 9 мес 2018</v>
      </c>
    </row>
    <row r="128" spans="1:25" s="145" customFormat="1" ht="13">
      <c r="B128" s="30" t="s">
        <v>44</v>
      </c>
      <c r="C128" s="29" t="s">
        <v>45</v>
      </c>
      <c r="D128" s="377">
        <v>0</v>
      </c>
      <c r="E128" s="377">
        <v>0</v>
      </c>
      <c r="F128" s="377">
        <v>0</v>
      </c>
      <c r="G128" s="158" t="s">
        <v>292</v>
      </c>
      <c r="H128" s="377">
        <v>724494</v>
      </c>
      <c r="I128" s="377">
        <v>10996</v>
      </c>
      <c r="J128" s="377">
        <v>0</v>
      </c>
      <c r="K128" s="377">
        <v>0</v>
      </c>
      <c r="L128" s="377">
        <v>0</v>
      </c>
      <c r="M128" s="377">
        <v>0</v>
      </c>
      <c r="N128" s="377">
        <v>0</v>
      </c>
      <c r="O128" s="40">
        <f t="shared" si="27"/>
        <v>917886</v>
      </c>
      <c r="P128" s="129">
        <v>182396</v>
      </c>
      <c r="Q128" s="129">
        <v>735490</v>
      </c>
      <c r="R128" s="40">
        <f t="shared" si="28"/>
        <v>0</v>
      </c>
      <c r="S128" s="173">
        <f t="shared" si="24"/>
        <v>14940.572020340955</v>
      </c>
      <c r="T128" s="173">
        <v>11282.387923314158</v>
      </c>
      <c r="U128" s="62">
        <v>1980.71</v>
      </c>
      <c r="V128" s="382">
        <f t="shared" si="25"/>
        <v>12576.456949368787</v>
      </c>
      <c r="W128" s="382">
        <f t="shared" si="32"/>
        <v>2364.1150709721678</v>
      </c>
      <c r="X128" s="299">
        <f t="shared" si="29"/>
        <v>0.18797941904383675</v>
      </c>
      <c r="Y128" s="38" t="str">
        <f t="shared" si="31"/>
        <v>несущ</v>
      </c>
    </row>
    <row r="129" spans="2:25" s="145" customFormat="1" ht="13">
      <c r="B129" s="30" t="s">
        <v>53</v>
      </c>
      <c r="C129" s="29" t="s">
        <v>54</v>
      </c>
      <c r="D129" s="377">
        <v>0</v>
      </c>
      <c r="E129" s="377">
        <v>0</v>
      </c>
      <c r="F129" s="377">
        <v>858</v>
      </c>
      <c r="G129" s="150" t="s">
        <v>289</v>
      </c>
      <c r="H129" s="377">
        <f>'ВД6 Прочие расходы'!M73</f>
        <v>183835</v>
      </c>
      <c r="I129" s="377">
        <v>224</v>
      </c>
      <c r="J129" s="377">
        <v>0</v>
      </c>
      <c r="K129" s="377">
        <v>0</v>
      </c>
      <c r="L129" s="377">
        <v>0</v>
      </c>
      <c r="M129" s="377">
        <v>0</v>
      </c>
      <c r="N129" s="377">
        <v>0</v>
      </c>
      <c r="O129" s="40">
        <f>SUM(D129:N129)+P129</f>
        <v>189267</v>
      </c>
      <c r="P129" s="383">
        <v>4350</v>
      </c>
      <c r="Q129" s="129">
        <v>183835</v>
      </c>
      <c r="R129" s="40">
        <f t="shared" si="28"/>
        <v>-1082</v>
      </c>
      <c r="S129" s="173">
        <f t="shared" si="24"/>
        <v>3080.7281564092618</v>
      </c>
      <c r="T129" s="173">
        <v>3162.9954768717766</v>
      </c>
      <c r="U129" s="62">
        <v>110.18</v>
      </c>
      <c r="V129" s="382">
        <f t="shared" si="25"/>
        <v>3103.7206172056462</v>
      </c>
      <c r="W129" s="382">
        <f t="shared" si="32"/>
        <v>-22.992460796384421</v>
      </c>
      <c r="X129" s="299">
        <f t="shared" si="29"/>
        <v>-7.4080317245451954E-3</v>
      </c>
      <c r="Y129" s="38" t="str">
        <f t="shared" si="31"/>
        <v>несущ</v>
      </c>
    </row>
    <row r="130" spans="2:25" s="145" customFormat="1" ht="13">
      <c r="B130" s="31" t="s">
        <v>506</v>
      </c>
      <c r="C130" s="24" t="s">
        <v>55</v>
      </c>
      <c r="D130" s="376">
        <v>0</v>
      </c>
      <c r="E130" s="376">
        <v>0</v>
      </c>
      <c r="F130" s="376">
        <v>0</v>
      </c>
      <c r="G130" s="25" t="s">
        <v>37</v>
      </c>
      <c r="H130" s="376">
        <f>H131</f>
        <v>23009</v>
      </c>
      <c r="I130" s="376">
        <v>0</v>
      </c>
      <c r="J130" s="376">
        <v>0</v>
      </c>
      <c r="K130" s="376">
        <v>0</v>
      </c>
      <c r="L130" s="376">
        <v>0</v>
      </c>
      <c r="M130" s="376">
        <v>0</v>
      </c>
      <c r="N130" s="376">
        <v>0</v>
      </c>
      <c r="O130" s="376">
        <f t="shared" si="27"/>
        <v>23009</v>
      </c>
      <c r="P130" s="375">
        <v>0</v>
      </c>
      <c r="Q130" s="376">
        <v>23009</v>
      </c>
      <c r="R130" s="297">
        <f t="shared" si="28"/>
        <v>0</v>
      </c>
      <c r="S130" s="379">
        <f t="shared" si="24"/>
        <v>374.52104249985842</v>
      </c>
      <c r="T130" s="379">
        <f>T131</f>
        <v>2047.8851215981838</v>
      </c>
      <c r="U130" s="347">
        <v>1.64</v>
      </c>
      <c r="V130" s="381">
        <f t="shared" si="25"/>
        <v>1943.4195998146249</v>
      </c>
      <c r="W130" s="381">
        <f t="shared" si="32"/>
        <v>-1568.8985573147665</v>
      </c>
      <c r="X130" s="301">
        <f t="shared" si="29"/>
        <v>-0.80728760657987475</v>
      </c>
      <c r="Y130" s="39" t="s">
        <v>69</v>
      </c>
    </row>
    <row r="131" spans="2:25" s="145" customFormat="1" ht="13">
      <c r="B131" s="371" t="s">
        <v>42</v>
      </c>
      <c r="C131" s="372" t="s">
        <v>43</v>
      </c>
      <c r="D131" s="378">
        <v>0</v>
      </c>
      <c r="E131" s="378">
        <v>0</v>
      </c>
      <c r="F131" s="378">
        <v>0</v>
      </c>
      <c r="G131" s="373" t="s">
        <v>286</v>
      </c>
      <c r="H131" s="378">
        <v>23009</v>
      </c>
      <c r="I131" s="378">
        <v>0</v>
      </c>
      <c r="J131" s="378">
        <v>0</v>
      </c>
      <c r="K131" s="378">
        <v>0</v>
      </c>
      <c r="L131" s="378">
        <v>0</v>
      </c>
      <c r="M131" s="378">
        <v>0</v>
      </c>
      <c r="N131" s="378">
        <v>0</v>
      </c>
      <c r="O131" s="297">
        <f t="shared" si="27"/>
        <v>23009</v>
      </c>
      <c r="P131" s="384">
        <v>0</v>
      </c>
      <c r="Q131" s="384">
        <v>23009</v>
      </c>
      <c r="R131" s="297">
        <f t="shared" si="28"/>
        <v>0</v>
      </c>
      <c r="S131" s="385">
        <f t="shared" si="24"/>
        <v>374.52104249985842</v>
      </c>
      <c r="T131" s="385">
        <v>2047.8851215981838</v>
      </c>
      <c r="U131" s="172">
        <v>0.08</v>
      </c>
      <c r="V131" s="386">
        <f t="shared" si="25"/>
        <v>1941.9403622372163</v>
      </c>
      <c r="W131" s="386">
        <f t="shared" si="32"/>
        <v>-1567.4193197373579</v>
      </c>
      <c r="X131" s="374">
        <f t="shared" si="29"/>
        <v>-0.80714081143645899</v>
      </c>
      <c r="Y131" s="38" t="str">
        <f>IF(AND(ABS(W131)&gt;$E$5,ABS(X131)&gt;10%),"анализировать","несущ")</f>
        <v>несущ</v>
      </c>
    </row>
    <row r="132" spans="2:25" s="116" customFormat="1" ht="13">
      <c r="P132" s="126"/>
      <c r="R132" s="467" t="s">
        <v>11</v>
      </c>
      <c r="X132" s="38"/>
    </row>
    <row r="133" spans="2:25" ht="13">
      <c r="B133" s="116"/>
      <c r="Q133" s="173">
        <f>Q119/$L$2</f>
        <v>88430.786082508406</v>
      </c>
      <c r="R133" s="108" t="s">
        <v>464</v>
      </c>
    </row>
    <row r="134" spans="2:25">
      <c r="B134" s="116"/>
      <c r="F134" s="133"/>
      <c r="G134" s="135"/>
    </row>
    <row r="135" spans="2:25" ht="13">
      <c r="B135" s="266" t="s">
        <v>322</v>
      </c>
      <c r="C135" s="116"/>
      <c r="D135" s="126"/>
      <c r="E135" s="126"/>
      <c r="F135" s="126"/>
      <c r="G135" s="126"/>
      <c r="H135" s="135"/>
      <c r="I135" s="126"/>
      <c r="J135" s="126"/>
      <c r="K135" s="126"/>
      <c r="L135" s="126"/>
      <c r="M135" s="126"/>
      <c r="N135" s="126"/>
      <c r="O135" s="126"/>
    </row>
    <row r="136" spans="2:25" ht="13">
      <c r="C136" s="226" t="s">
        <v>277</v>
      </c>
      <c r="E136" s="127"/>
      <c r="F136" s="127"/>
      <c r="G136" s="127"/>
      <c r="H136" s="127"/>
      <c r="I136" s="127"/>
      <c r="J136" s="127"/>
      <c r="K136" s="127"/>
      <c r="L136" s="127"/>
      <c r="M136" s="127"/>
      <c r="N136" s="127"/>
      <c r="O136" s="127"/>
      <c r="P136" s="127"/>
      <c r="Q136" s="127"/>
      <c r="R136" s="127"/>
      <c r="S136" s="127"/>
      <c r="T136" s="127"/>
    </row>
    <row r="137" spans="2:25" ht="26">
      <c r="B137" s="333" t="s">
        <v>38</v>
      </c>
      <c r="C137" s="334" t="s">
        <v>438</v>
      </c>
      <c r="D137" s="334" t="s">
        <v>439</v>
      </c>
      <c r="E137" s="439" t="s">
        <v>509</v>
      </c>
      <c r="F137" s="439" t="s">
        <v>509</v>
      </c>
      <c r="G137" s="487" t="s">
        <v>510</v>
      </c>
      <c r="H137" s="335" t="s">
        <v>512</v>
      </c>
      <c r="I137" s="324" t="s">
        <v>513</v>
      </c>
      <c r="J137" s="324" t="s">
        <v>514</v>
      </c>
      <c r="N137" s="127"/>
      <c r="O137" s="127"/>
      <c r="P137" s="127"/>
      <c r="Q137" s="127"/>
      <c r="R137" s="127"/>
      <c r="S137" s="127"/>
      <c r="T137" s="127"/>
    </row>
    <row r="138" spans="2:25" ht="13">
      <c r="B138" s="369" t="s">
        <v>50</v>
      </c>
      <c r="C138" s="370">
        <f>V125</f>
        <v>25676.375202403447</v>
      </c>
      <c r="D138" s="336">
        <f>S125</f>
        <v>27454.578437057506</v>
      </c>
      <c r="E138" s="133">
        <f>D138-C138</f>
        <v>1778.2032346540582</v>
      </c>
      <c r="F138" s="290">
        <f>E138/D138</f>
        <v>6.4768914180590137E-2</v>
      </c>
      <c r="G138" s="488" t="s">
        <v>255</v>
      </c>
      <c r="H138" s="370">
        <v>26443.267436913287</v>
      </c>
      <c r="I138" s="441">
        <f>H138-D138</f>
        <v>-1011.3110001442183</v>
      </c>
      <c r="J138" s="339">
        <f>I138/H138</f>
        <v>-3.8244555161609343E-2</v>
      </c>
      <c r="K138" s="124" t="s">
        <v>520</v>
      </c>
      <c r="N138" s="127"/>
      <c r="O138" s="127"/>
      <c r="P138" s="127"/>
      <c r="Q138" s="127"/>
      <c r="R138" s="127"/>
      <c r="S138" s="127"/>
      <c r="T138" s="127"/>
    </row>
    <row r="139" spans="2:25" ht="13">
      <c r="B139" s="337" t="s">
        <v>43</v>
      </c>
      <c r="C139" s="338">
        <f>V127+V122+V131</f>
        <v>25417.253519100163</v>
      </c>
      <c r="D139" s="336">
        <f>S127+S122+S131</f>
        <v>28085.985528178895</v>
      </c>
      <c r="E139" s="133">
        <f>D139-C139</f>
        <v>2668.7320090787325</v>
      </c>
      <c r="F139" s="290">
        <f t="shared" ref="F139:F145" si="33">E139/D139</f>
        <v>9.5020059253436998E-2</v>
      </c>
      <c r="G139" s="434" t="s">
        <v>511</v>
      </c>
      <c r="H139" s="338">
        <f>C139*(1+$D$149)</f>
        <v>26276.356688045751</v>
      </c>
      <c r="I139" s="441">
        <f t="shared" ref="I139:I145" si="34">H139-D139</f>
        <v>-1809.628840133144</v>
      </c>
      <c r="J139" s="339">
        <f t="shared" ref="J139:J145" si="35">I139/H139</f>
        <v>-6.8869092531249676E-2</v>
      </c>
      <c r="K139" s="124" t="s">
        <v>520</v>
      </c>
      <c r="N139" s="174"/>
      <c r="O139" s="174"/>
      <c r="P139" s="174"/>
      <c r="Q139" s="174"/>
      <c r="R139" s="174"/>
      <c r="S139" s="174"/>
      <c r="T139" s="174"/>
    </row>
    <row r="140" spans="2:25" ht="13">
      <c r="B140" s="340" t="s">
        <v>45</v>
      </c>
      <c r="C140" s="338">
        <f>V128</f>
        <v>12576.456949368787</v>
      </c>
      <c r="D140" s="336">
        <f>S128</f>
        <v>14940.572020340955</v>
      </c>
      <c r="E140" s="133">
        <f t="shared" ref="E140:E145" si="36">D140-C140</f>
        <v>2364.1150709721678</v>
      </c>
      <c r="F140" s="290">
        <f t="shared" si="33"/>
        <v>0.15823457547365158</v>
      </c>
      <c r="G140" s="434" t="s">
        <v>511</v>
      </c>
      <c r="H140" s="338">
        <f>C140*(1+$D$149)</f>
        <v>13001.541194257452</v>
      </c>
      <c r="I140" s="441">
        <f t="shared" si="34"/>
        <v>-1939.0308260835027</v>
      </c>
      <c r="J140" s="339">
        <f t="shared" si="35"/>
        <v>-0.1491385365098053</v>
      </c>
      <c r="K140" s="124" t="s">
        <v>520</v>
      </c>
      <c r="N140" s="127"/>
      <c r="O140" s="127"/>
      <c r="P140" s="127"/>
      <c r="Q140" s="127"/>
      <c r="R140" s="127"/>
      <c r="S140" s="127"/>
      <c r="T140" s="127"/>
    </row>
    <row r="141" spans="2:25" ht="13">
      <c r="B141" s="340" t="s">
        <v>41</v>
      </c>
      <c r="C141" s="338">
        <f>V121</f>
        <v>12051.714780790717</v>
      </c>
      <c r="D141" s="336">
        <f>S121</f>
        <v>16811.223974328361</v>
      </c>
      <c r="E141" s="133">
        <f t="shared" si="36"/>
        <v>4759.509193537644</v>
      </c>
      <c r="F141" s="290">
        <f t="shared" si="33"/>
        <v>0.28311497133139557</v>
      </c>
      <c r="G141" s="433" t="str">
        <f>A172</f>
        <v>[1]</v>
      </c>
      <c r="H141" s="338">
        <f>C183</f>
        <v>16811.228388041513</v>
      </c>
      <c r="I141" s="441">
        <f t="shared" si="34"/>
        <v>4.4137131517345551E-3</v>
      </c>
      <c r="J141" s="339">
        <f t="shared" si="35"/>
        <v>2.6254554693184722E-7</v>
      </c>
      <c r="K141" s="124" t="s">
        <v>520</v>
      </c>
      <c r="N141" s="135"/>
      <c r="O141" s="135"/>
      <c r="P141" s="135"/>
      <c r="Q141" s="135"/>
      <c r="R141" s="135"/>
      <c r="S141" s="135"/>
      <c r="T141" s="135"/>
    </row>
    <row r="142" spans="2:25" ht="13">
      <c r="B142" s="340" t="s">
        <v>436</v>
      </c>
      <c r="C142" s="338">
        <f>V126</f>
        <v>1712.9936536071766</v>
      </c>
      <c r="D142" s="336">
        <f>S126</f>
        <v>3272.1494438325931</v>
      </c>
      <c r="E142" s="133">
        <f t="shared" si="36"/>
        <v>1559.1557902254165</v>
      </c>
      <c r="F142" s="290">
        <f t="shared" si="33"/>
        <v>0.47649284269828868</v>
      </c>
      <c r="G142" s="486" t="s">
        <v>548</v>
      </c>
      <c r="H142" s="338">
        <v>2630.14427731768</v>
      </c>
      <c r="I142" s="441">
        <f t="shared" si="34"/>
        <v>-642.00516651491307</v>
      </c>
      <c r="J142" s="339">
        <f t="shared" si="35"/>
        <v>-0.24409503769491081</v>
      </c>
      <c r="K142" s="124" t="s">
        <v>520</v>
      </c>
      <c r="N142" s="135"/>
      <c r="O142" s="135"/>
      <c r="P142" s="135"/>
      <c r="Q142" s="135"/>
      <c r="R142" s="135"/>
      <c r="S142" s="135"/>
      <c r="T142" s="135"/>
    </row>
    <row r="143" spans="2:25" ht="13">
      <c r="B143" s="340" t="s">
        <v>48</v>
      </c>
      <c r="C143" s="338">
        <f>V124</f>
        <v>2001.9936899020706</v>
      </c>
      <c r="D143" s="336">
        <f>S124</f>
        <v>2494.2297339069842</v>
      </c>
      <c r="E143" s="133">
        <f t="shared" si="36"/>
        <v>492.23604400491354</v>
      </c>
      <c r="F143" s="290">
        <f t="shared" si="33"/>
        <v>0.19734992222784167</v>
      </c>
      <c r="G143" s="434" t="s">
        <v>511</v>
      </c>
      <c r="H143" s="338">
        <f>C143*(1+$D$149)</f>
        <v>2069.6610766207609</v>
      </c>
      <c r="I143" s="441">
        <f t="shared" si="34"/>
        <v>-424.56865728622324</v>
      </c>
      <c r="J143" s="339">
        <f t="shared" si="35"/>
        <v>-0.20513921920947448</v>
      </c>
      <c r="K143" s="124" t="s">
        <v>520</v>
      </c>
      <c r="N143" s="135"/>
      <c r="O143" s="135"/>
    </row>
    <row r="144" spans="2:25" ht="13">
      <c r="B144" s="340" t="s">
        <v>257</v>
      </c>
      <c r="C144" s="341">
        <f>V129</f>
        <v>3103.7206172056462</v>
      </c>
      <c r="D144" s="336">
        <f>S129</f>
        <v>3080.7281564092618</v>
      </c>
      <c r="E144" s="133">
        <f t="shared" si="36"/>
        <v>-22.992460796384421</v>
      </c>
      <c r="F144" s="290">
        <f t="shared" si="33"/>
        <v>-7.4633202376360435E-3</v>
      </c>
      <c r="G144" s="434" t="s">
        <v>511</v>
      </c>
      <c r="H144" s="342">
        <f>C144*(1+$D$149)</f>
        <v>3208.626374067197</v>
      </c>
      <c r="I144" s="441">
        <f t="shared" si="34"/>
        <v>127.89821765793522</v>
      </c>
      <c r="J144" s="343">
        <f t="shared" si="35"/>
        <v>3.98607387546384E-2</v>
      </c>
      <c r="K144" s="124" t="s">
        <v>520</v>
      </c>
    </row>
    <row r="145" spans="1:11" ht="26">
      <c r="B145" s="333" t="s">
        <v>437</v>
      </c>
      <c r="C145" s="344">
        <f>SUM(C138:C144)</f>
        <v>82540.508412378011</v>
      </c>
      <c r="D145" s="344">
        <f>SUM(D138:D144)</f>
        <v>96139.467294054542</v>
      </c>
      <c r="E145" s="440">
        <f t="shared" si="36"/>
        <v>13598.958881676532</v>
      </c>
      <c r="F145" s="305">
        <f t="shared" si="33"/>
        <v>0.14145032487107945</v>
      </c>
      <c r="G145" s="345"/>
      <c r="H145" s="344">
        <f>SUM(H138:H144)</f>
        <v>90440.825435263658</v>
      </c>
      <c r="I145" s="442">
        <f t="shared" si="34"/>
        <v>-5698.6418587908847</v>
      </c>
      <c r="J145" s="346">
        <f t="shared" si="35"/>
        <v>-6.3009617961413869E-2</v>
      </c>
      <c r="K145" s="124"/>
    </row>
    <row r="146" spans="1:11" s="388" customFormat="1">
      <c r="A146" s="387"/>
      <c r="C146" s="389">
        <f>C145-V119</f>
        <v>-1.4792375774122775</v>
      </c>
      <c r="D146" s="389">
        <f>D145-S119</f>
        <v>0</v>
      </c>
      <c r="J146" s="443"/>
    </row>
    <row r="147" spans="1:11">
      <c r="J147" s="443"/>
    </row>
    <row r="149" spans="1:11" ht="13">
      <c r="B149" s="348" t="s">
        <v>441</v>
      </c>
      <c r="C149" s="390" t="s">
        <v>458</v>
      </c>
      <c r="D149" s="349">
        <v>3.3799999999999997E-2</v>
      </c>
    </row>
    <row r="150" spans="1:11" ht="13">
      <c r="B150" s="144" t="s">
        <v>442</v>
      </c>
    </row>
    <row r="151" spans="1:11" ht="13">
      <c r="B151" s="144" t="s">
        <v>444</v>
      </c>
    </row>
    <row r="152" spans="1:11" ht="13">
      <c r="B152" s="144" t="s">
        <v>443</v>
      </c>
    </row>
    <row r="153" spans="1:11" ht="13">
      <c r="B153" s="144"/>
    </row>
    <row r="154" spans="1:11" ht="13">
      <c r="B154" s="144"/>
    </row>
    <row r="155" spans="1:11" ht="13">
      <c r="B155" s="144"/>
    </row>
    <row r="156" spans="1:11" ht="13">
      <c r="B156" s="144"/>
    </row>
    <row r="157" spans="1:11" ht="13">
      <c r="B157" s="144"/>
    </row>
    <row r="158" spans="1:11" ht="13">
      <c r="B158" s="144"/>
    </row>
    <row r="159" spans="1:11" ht="13">
      <c r="B159" s="144"/>
    </row>
    <row r="160" spans="1:11" ht="13">
      <c r="B160" s="144"/>
    </row>
    <row r="161" spans="1:6" ht="13">
      <c r="B161" s="144"/>
    </row>
    <row r="162" spans="1:6" ht="13">
      <c r="B162" s="144"/>
    </row>
    <row r="163" spans="1:6" ht="13">
      <c r="B163" s="144"/>
    </row>
    <row r="164" spans="1:6" ht="13">
      <c r="B164" s="144"/>
    </row>
    <row r="165" spans="1:6" ht="13">
      <c r="B165" s="144"/>
    </row>
    <row r="166" spans="1:6" ht="13">
      <c r="B166" s="144"/>
    </row>
    <row r="167" spans="1:6" ht="13">
      <c r="B167" s="144"/>
    </row>
    <row r="168" spans="1:6" ht="13">
      <c r="B168" s="144"/>
    </row>
    <row r="169" spans="1:6" ht="13">
      <c r="B169" s="144"/>
    </row>
    <row r="170" spans="1:6" ht="13">
      <c r="B170" s="144"/>
    </row>
    <row r="172" spans="1:6" ht="13">
      <c r="A172" s="367" t="s">
        <v>278</v>
      </c>
      <c r="B172" s="368" t="s">
        <v>41</v>
      </c>
    </row>
    <row r="173" spans="1:6">
      <c r="A173" s="110"/>
      <c r="B173" s="357" t="s">
        <v>805</v>
      </c>
      <c r="E173" s="350"/>
    </row>
    <row r="174" spans="1:6">
      <c r="B174" s="121" t="s">
        <v>795</v>
      </c>
      <c r="C174" s="116"/>
      <c r="D174" s="116"/>
      <c r="E174" s="116"/>
    </row>
    <row r="176" spans="1:6" ht="13">
      <c r="B176" s="358"/>
      <c r="C176" s="358"/>
      <c r="D176" s="358"/>
      <c r="E176" s="226" t="s">
        <v>440</v>
      </c>
      <c r="F176" s="226"/>
    </row>
    <row r="177" spans="1:6" s="109" customFormat="1" ht="39">
      <c r="A177" s="318"/>
      <c r="B177" s="468" t="s">
        <v>447</v>
      </c>
      <c r="C177" s="469" t="s">
        <v>448</v>
      </c>
      <c r="D177" s="470" t="s">
        <v>449</v>
      </c>
      <c r="E177" s="470" t="s">
        <v>459</v>
      </c>
      <c r="F177" s="471"/>
    </row>
    <row r="178" spans="1:6" ht="13">
      <c r="B178" s="359" t="s">
        <v>450</v>
      </c>
      <c r="C178" s="360" t="s">
        <v>453</v>
      </c>
      <c r="D178" s="361">
        <v>80050.211859999996</v>
      </c>
      <c r="E178" s="481">
        <f>D178*6</f>
        <v>480301.27116</v>
      </c>
      <c r="F178" s="472" t="s">
        <v>542</v>
      </c>
    </row>
    <row r="179" spans="1:6" ht="13">
      <c r="B179" s="308" t="s">
        <v>451</v>
      </c>
      <c r="C179" s="362" t="s">
        <v>452</v>
      </c>
      <c r="D179" s="363">
        <v>148650</v>
      </c>
      <c r="E179" s="482">
        <f>D179*3</f>
        <v>445950</v>
      </c>
      <c r="F179" s="472" t="s">
        <v>543</v>
      </c>
    </row>
    <row r="180" spans="1:6" ht="13">
      <c r="B180" s="364" t="s">
        <v>253</v>
      </c>
      <c r="C180" s="314"/>
      <c r="D180" s="347">
        <f>SUM(D178:D179)</f>
        <v>228700.21185999998</v>
      </c>
      <c r="E180" s="347">
        <f t="shared" ref="E180" si="37">SUM(E178:E179)</f>
        <v>926251.27116</v>
      </c>
      <c r="F180" s="62"/>
    </row>
    <row r="182" spans="1:6" ht="13">
      <c r="A182" s="226" t="s">
        <v>440</v>
      </c>
      <c r="B182" s="314" t="s">
        <v>519</v>
      </c>
      <c r="C182" s="474">
        <f>P121/L2</f>
        <v>1734.4935585546921</v>
      </c>
    </row>
    <row r="183" spans="1:6" s="109" customFormat="1" ht="26">
      <c r="A183" s="318"/>
      <c r="B183" s="473" t="s">
        <v>460</v>
      </c>
      <c r="C183" s="475">
        <f>E180/L2+C182</f>
        <v>16811.228388041513</v>
      </c>
      <c r="D183" s="401"/>
    </row>
  </sheetData>
  <autoFilter ref="A117:XFC131" xr:uid="{00000000-0009-0000-0000-000002000000}"/>
  <hyperlinks>
    <hyperlink ref="C149" r:id="rId1" xr:uid="{00000000-0004-0000-0200-000000000000}"/>
    <hyperlink ref="C89" r:id="rId2" display="Сайт:федстат.ру" xr:uid="{00000000-0004-0000-0200-000001000000}"/>
  </hyperlinks>
  <pageMargins left="0.7" right="0.7" top="0.75" bottom="0.75" header="0.3" footer="0.3"/>
  <pageSetup paperSize="9" orientation="portrait" r:id="rId3"/>
  <ignoredErrors>
    <ignoredError sqref="D116:F116" numberStoredAsText="1"/>
  </ignoredError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4"/>
  <sheetViews>
    <sheetView zoomScale="80" zoomScaleNormal="80" workbookViewId="0"/>
  </sheetViews>
  <sheetFormatPr defaultColWidth="9.1796875" defaultRowHeight="12.5"/>
  <cols>
    <col min="1" max="1" width="15.1796875" style="110" customWidth="1"/>
    <col min="2" max="2" width="30.81640625" style="110" customWidth="1"/>
    <col min="3" max="3" width="11.81640625" style="110" customWidth="1"/>
    <col min="4" max="4" width="19.81640625" style="110" customWidth="1"/>
    <col min="5" max="5" width="12.54296875" style="110" customWidth="1"/>
    <col min="6" max="6" width="11.81640625" style="110" customWidth="1"/>
    <col min="7" max="7" width="19.453125" style="110" customWidth="1"/>
    <col min="8" max="8" width="24.81640625" style="110" customWidth="1"/>
    <col min="9" max="9" width="13.81640625" style="110" customWidth="1"/>
    <col min="10" max="10" width="10.1796875" style="110" customWidth="1"/>
    <col min="11" max="11" width="25.54296875" style="110" customWidth="1"/>
    <col min="12" max="16384" width="9.1796875" style="110"/>
  </cols>
  <sheetData>
    <row r="1" spans="1:20" ht="13">
      <c r="A1" s="1" t="s">
        <v>798</v>
      </c>
      <c r="D1" s="157" t="s">
        <v>759</v>
      </c>
      <c r="E1" s="111" t="s">
        <v>2</v>
      </c>
      <c r="F1" s="111" t="s">
        <v>3</v>
      </c>
      <c r="G1" s="157" t="s">
        <v>760</v>
      </c>
      <c r="H1" s="111" t="s">
        <v>2</v>
      </c>
      <c r="I1" s="111" t="s">
        <v>3</v>
      </c>
      <c r="K1" s="610"/>
      <c r="L1" s="611" t="s">
        <v>4</v>
      </c>
      <c r="M1" s="49"/>
      <c r="N1" s="612" t="s">
        <v>293</v>
      </c>
      <c r="O1" s="49"/>
      <c r="P1" s="49"/>
      <c r="R1" s="118"/>
      <c r="S1" s="170"/>
      <c r="T1" s="5" t="s">
        <v>347</v>
      </c>
    </row>
    <row r="2" spans="1:20" ht="13">
      <c r="A2" s="109" t="str">
        <f>'ВД0 Рабочая программа'!A2</f>
        <v>31.12.2018</v>
      </c>
      <c r="D2" s="703" t="s">
        <v>635</v>
      </c>
      <c r="E2" s="704">
        <v>24800</v>
      </c>
      <c r="F2" s="705">
        <f>E2*L2</f>
        <v>1523607.8490842495</v>
      </c>
      <c r="G2" s="700" t="s">
        <v>637</v>
      </c>
      <c r="H2" s="701">
        <v>24800</v>
      </c>
      <c r="I2" s="698">
        <f>H2*$L$9</f>
        <v>1555152.7333698627</v>
      </c>
      <c r="K2" s="650" t="s">
        <v>315</v>
      </c>
      <c r="L2" s="615">
        <v>61.435800366300377</v>
      </c>
      <c r="M2" s="49"/>
      <c r="N2" s="613" t="s">
        <v>5</v>
      </c>
      <c r="O2" s="584" t="s">
        <v>9</v>
      </c>
      <c r="P2" s="49"/>
      <c r="S2" s="135"/>
    </row>
    <row r="3" spans="1:20" ht="13">
      <c r="A3" s="2" t="s">
        <v>407</v>
      </c>
      <c r="D3" s="598" t="s">
        <v>636</v>
      </c>
      <c r="E3" s="597">
        <v>2700</v>
      </c>
      <c r="F3" s="599">
        <f>E3*L2</f>
        <v>165876.66098901103</v>
      </c>
      <c r="G3" s="699" t="s">
        <v>638</v>
      </c>
      <c r="H3" s="62">
        <v>2600</v>
      </c>
      <c r="I3" s="601">
        <f t="shared" ref="I3:I6" si="0">H3*$L$9</f>
        <v>163040.2059178082</v>
      </c>
      <c r="K3" s="651" t="s">
        <v>6</v>
      </c>
      <c r="L3" s="616">
        <v>58.255220833333389</v>
      </c>
      <c r="M3" s="49"/>
      <c r="N3" s="613" t="s">
        <v>7</v>
      </c>
      <c r="O3" s="584" t="s">
        <v>10</v>
      </c>
      <c r="P3" s="49"/>
      <c r="S3" s="135"/>
    </row>
    <row r="4" spans="1:20" ht="13">
      <c r="A4" s="3" t="s">
        <v>1</v>
      </c>
      <c r="D4" s="76" t="s">
        <v>258</v>
      </c>
      <c r="E4" s="161">
        <f>E2*25%</f>
        <v>6200</v>
      </c>
      <c r="F4" s="600">
        <f>F2/4</f>
        <v>380901.96227106237</v>
      </c>
      <c r="G4" s="76" t="s">
        <v>258</v>
      </c>
      <c r="H4" s="62">
        <f>H2*0.25</f>
        <v>6200</v>
      </c>
      <c r="I4" s="601">
        <f t="shared" si="0"/>
        <v>388788.18334246567</v>
      </c>
      <c r="K4" s="652" t="s">
        <v>316</v>
      </c>
      <c r="L4" s="616">
        <v>65.590599999999995</v>
      </c>
      <c r="M4" s="49"/>
      <c r="N4" s="613" t="s">
        <v>11</v>
      </c>
      <c r="O4" s="584" t="s">
        <v>12</v>
      </c>
      <c r="P4" s="49"/>
      <c r="S4" s="135"/>
    </row>
    <row r="5" spans="1:20">
      <c r="D5" s="76" t="s">
        <v>308</v>
      </c>
      <c r="E5" s="161">
        <f>E4*3/4</f>
        <v>4650</v>
      </c>
      <c r="F5" s="600">
        <f>F4*0.75</f>
        <v>285676.47170329676</v>
      </c>
      <c r="G5" s="76" t="s">
        <v>308</v>
      </c>
      <c r="H5" s="62">
        <f>H4*3/4</f>
        <v>4650</v>
      </c>
      <c r="I5" s="601">
        <f t="shared" si="0"/>
        <v>291591.13750684925</v>
      </c>
      <c r="K5" s="652" t="s">
        <v>8</v>
      </c>
      <c r="L5" s="616">
        <v>58.0169</v>
      </c>
      <c r="M5" s="49"/>
      <c r="N5" s="613" t="s">
        <v>13</v>
      </c>
      <c r="O5" s="584" t="s">
        <v>14</v>
      </c>
      <c r="P5" s="49"/>
      <c r="S5" s="135"/>
    </row>
    <row r="6" spans="1:20">
      <c r="D6" s="77" t="s">
        <v>600</v>
      </c>
      <c r="E6" s="63">
        <f>E4*0.5</f>
        <v>3100</v>
      </c>
      <c r="F6" s="568">
        <f>F4*0.5</f>
        <v>190450.98113553118</v>
      </c>
      <c r="G6" s="77" t="s">
        <v>600</v>
      </c>
      <c r="H6" s="63">
        <f>H4/2</f>
        <v>3100</v>
      </c>
      <c r="I6" s="568">
        <f t="shared" si="0"/>
        <v>194394.09167123283</v>
      </c>
      <c r="K6" s="653" t="s">
        <v>309</v>
      </c>
      <c r="L6" s="617">
        <v>58.352899999999998</v>
      </c>
      <c r="M6" s="49"/>
      <c r="N6" s="613" t="s">
        <v>15</v>
      </c>
      <c r="O6" s="584" t="s">
        <v>16</v>
      </c>
      <c r="P6" s="49"/>
      <c r="S6" s="135"/>
    </row>
    <row r="7" spans="1:20">
      <c r="D7" s="596"/>
      <c r="E7" s="161"/>
      <c r="F7" s="161"/>
      <c r="G7" s="161"/>
      <c r="K7" s="654" t="s">
        <v>310</v>
      </c>
      <c r="L7" s="618">
        <v>57.600200000000001</v>
      </c>
      <c r="M7" s="49"/>
      <c r="N7" s="613" t="s">
        <v>17</v>
      </c>
      <c r="O7" s="584" t="s">
        <v>18</v>
      </c>
      <c r="P7" s="613"/>
      <c r="Q7" s="117"/>
      <c r="S7" s="135"/>
    </row>
    <row r="8" spans="1:20" ht="13">
      <c r="B8" s="142"/>
      <c r="D8" s="596"/>
      <c r="E8" s="62"/>
      <c r="F8" s="161"/>
      <c r="K8" s="581" t="s">
        <v>652</v>
      </c>
      <c r="L8" s="617">
        <v>69.470600000000005</v>
      </c>
      <c r="M8" s="49"/>
      <c r="N8" s="613" t="s">
        <v>19</v>
      </c>
      <c r="O8" s="584" t="s">
        <v>20</v>
      </c>
      <c r="P8" s="49"/>
      <c r="S8" s="135"/>
    </row>
    <row r="9" spans="1:20">
      <c r="B9" s="181"/>
      <c r="K9" s="582" t="s">
        <v>651</v>
      </c>
      <c r="L9" s="619">
        <v>62.707771506849305</v>
      </c>
      <c r="M9" s="49"/>
      <c r="N9" s="49"/>
      <c r="O9" s="49"/>
      <c r="P9" s="49"/>
    </row>
    <row r="10" spans="1:20" ht="13">
      <c r="B10" s="142" t="s">
        <v>22</v>
      </c>
    </row>
    <row r="11" spans="1:20">
      <c r="B11" s="181" t="s">
        <v>348</v>
      </c>
    </row>
    <row r="12" spans="1:20">
      <c r="B12" s="181"/>
    </row>
    <row r="13" spans="1:20" ht="13">
      <c r="B13" s="142" t="s">
        <v>24</v>
      </c>
    </row>
    <row r="14" spans="1:20">
      <c r="B14" s="181" t="s">
        <v>349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83"/>
  <sheetViews>
    <sheetView zoomScale="80" zoomScaleNormal="80" workbookViewId="0">
      <selection activeCell="C82" sqref="C82"/>
    </sheetView>
  </sheetViews>
  <sheetFormatPr defaultColWidth="16.1796875" defaultRowHeight="12.5" outlineLevelRow="1" outlineLevelCol="1"/>
  <cols>
    <col min="1" max="1" width="12.81640625" style="110" customWidth="1"/>
    <col min="2" max="2" width="25.81640625" style="110" bestFit="1" customWidth="1"/>
    <col min="3" max="3" width="39.81640625" style="110" customWidth="1"/>
    <col min="4" max="4" width="18.453125" style="110" customWidth="1"/>
    <col min="5" max="5" width="14.81640625" style="110" customWidth="1"/>
    <col min="6" max="6" width="18.1796875" style="110" customWidth="1"/>
    <col min="7" max="7" width="18.81640625" style="110" customWidth="1"/>
    <col min="8" max="8" width="15.81640625" style="110" customWidth="1"/>
    <col min="9" max="9" width="17.1796875" style="110" customWidth="1"/>
    <col min="10" max="10" width="10.1796875" style="110" customWidth="1"/>
    <col min="11" max="11" width="28.54296875" style="110" customWidth="1"/>
    <col min="12" max="12" width="22.54296875" style="110" customWidth="1"/>
    <col min="13" max="15" width="16.1796875" style="110"/>
    <col min="16" max="20" width="0" style="110" hidden="1" customWidth="1" outlineLevel="1"/>
    <col min="21" max="21" width="16.1796875" style="110" collapsed="1"/>
    <col min="22" max="16384" width="16.1796875" style="110"/>
  </cols>
  <sheetData>
    <row r="1" spans="1:19" ht="13">
      <c r="A1" s="1" t="s">
        <v>798</v>
      </c>
      <c r="D1" s="157" t="s">
        <v>759</v>
      </c>
      <c r="E1" s="111" t="s">
        <v>2</v>
      </c>
      <c r="F1" s="111" t="s">
        <v>3</v>
      </c>
      <c r="G1" s="157" t="s">
        <v>760</v>
      </c>
      <c r="H1" s="111" t="s">
        <v>2</v>
      </c>
      <c r="I1" s="111" t="s">
        <v>3</v>
      </c>
      <c r="K1" s="112"/>
      <c r="L1" s="113" t="s">
        <v>4</v>
      </c>
      <c r="N1" s="6" t="s">
        <v>293</v>
      </c>
      <c r="Q1" s="118"/>
      <c r="R1" s="170"/>
      <c r="S1" s="5" t="s">
        <v>288</v>
      </c>
    </row>
    <row r="2" spans="1:19" ht="13">
      <c r="A2" s="109" t="str">
        <f>'ВД0 Рабочая программа'!A2</f>
        <v>31.12.2018</v>
      </c>
      <c r="D2" s="706" t="s">
        <v>635</v>
      </c>
      <c r="E2" s="704">
        <v>24800</v>
      </c>
      <c r="F2" s="705">
        <f>E2*L2</f>
        <v>1523607.8490842495</v>
      </c>
      <c r="G2" s="700" t="s">
        <v>637</v>
      </c>
      <c r="H2" s="701">
        <v>24800</v>
      </c>
      <c r="I2" s="698">
        <f>H2*$L$9</f>
        <v>1555152.7333698627</v>
      </c>
      <c r="K2" s="650" t="s">
        <v>315</v>
      </c>
      <c r="L2" s="146">
        <v>61.435800366300377</v>
      </c>
      <c r="N2" s="4" t="s">
        <v>5</v>
      </c>
      <c r="O2" s="117" t="s">
        <v>9</v>
      </c>
      <c r="R2" s="135"/>
    </row>
    <row r="3" spans="1:19" ht="13">
      <c r="A3" s="2" t="s">
        <v>48</v>
      </c>
      <c r="D3" s="707" t="s">
        <v>636</v>
      </c>
      <c r="E3" s="597">
        <v>2600</v>
      </c>
      <c r="F3" s="599">
        <f>E3*L2</f>
        <v>159733.08095238099</v>
      </c>
      <c r="G3" s="699" t="s">
        <v>638</v>
      </c>
      <c r="H3" s="62">
        <v>2600</v>
      </c>
      <c r="I3" s="601">
        <f t="shared" ref="I3:I6" si="0">H3*$L$9</f>
        <v>163040.2059178082</v>
      </c>
      <c r="K3" s="651" t="s">
        <v>6</v>
      </c>
      <c r="L3" s="147">
        <v>58.255220833333389</v>
      </c>
      <c r="N3" s="4" t="s">
        <v>7</v>
      </c>
      <c r="O3" s="117" t="s">
        <v>10</v>
      </c>
      <c r="R3" s="135"/>
    </row>
    <row r="4" spans="1:19" ht="13">
      <c r="A4" s="3" t="s">
        <v>1</v>
      </c>
      <c r="D4" s="76" t="s">
        <v>258</v>
      </c>
      <c r="E4" s="161">
        <v>6200</v>
      </c>
      <c r="F4" s="600">
        <f>F2/4</f>
        <v>380901.96227106237</v>
      </c>
      <c r="G4" s="76" t="s">
        <v>258</v>
      </c>
      <c r="H4" s="62">
        <f>H2*0.25</f>
        <v>6200</v>
      </c>
      <c r="I4" s="601">
        <f t="shared" si="0"/>
        <v>388788.18334246567</v>
      </c>
      <c r="K4" s="652" t="s">
        <v>316</v>
      </c>
      <c r="L4" s="147">
        <v>65.590599999999995</v>
      </c>
      <c r="N4" s="4" t="s">
        <v>11</v>
      </c>
      <c r="O4" s="117" t="s">
        <v>12</v>
      </c>
      <c r="R4" s="135"/>
    </row>
    <row r="5" spans="1:19">
      <c r="D5" s="76" t="s">
        <v>308</v>
      </c>
      <c r="E5" s="161">
        <v>4650</v>
      </c>
      <c r="F5" s="600">
        <f>F4*0.75</f>
        <v>285676.47170329676</v>
      </c>
      <c r="G5" s="76" t="s">
        <v>308</v>
      </c>
      <c r="H5" s="62">
        <f>H4*3/4</f>
        <v>4650</v>
      </c>
      <c r="I5" s="601">
        <f t="shared" si="0"/>
        <v>291591.13750684925</v>
      </c>
      <c r="K5" s="652" t="s">
        <v>8</v>
      </c>
      <c r="L5" s="147">
        <v>58.0169</v>
      </c>
      <c r="N5" s="4" t="s">
        <v>13</v>
      </c>
      <c r="O5" s="117" t="s">
        <v>14</v>
      </c>
      <c r="R5" s="135"/>
    </row>
    <row r="6" spans="1:19">
      <c r="D6" s="77" t="s">
        <v>600</v>
      </c>
      <c r="E6" s="63">
        <f>E4*0.5</f>
        <v>3100</v>
      </c>
      <c r="F6" s="568">
        <f>F4*0.5</f>
        <v>190450.98113553118</v>
      </c>
      <c r="G6" s="77" t="s">
        <v>600</v>
      </c>
      <c r="H6" s="63">
        <f>H4/2</f>
        <v>3100</v>
      </c>
      <c r="I6" s="568">
        <f t="shared" si="0"/>
        <v>194394.09167123283</v>
      </c>
      <c r="K6" s="653" t="s">
        <v>309</v>
      </c>
      <c r="L6" s="162">
        <v>58.352899999999998</v>
      </c>
      <c r="N6" s="4" t="s">
        <v>15</v>
      </c>
      <c r="O6" s="117" t="s">
        <v>16</v>
      </c>
      <c r="R6" s="135"/>
    </row>
    <row r="7" spans="1:19">
      <c r="D7" s="596"/>
      <c r="E7" s="161"/>
      <c r="F7" s="62"/>
      <c r="G7" s="161"/>
      <c r="K7" s="654" t="s">
        <v>310</v>
      </c>
      <c r="L7" s="298">
        <v>57.600200000000001</v>
      </c>
      <c r="N7" s="4" t="s">
        <v>17</v>
      </c>
      <c r="O7" s="117" t="s">
        <v>18</v>
      </c>
      <c r="R7" s="135"/>
    </row>
    <row r="8" spans="1:19">
      <c r="D8" s="596"/>
      <c r="E8" s="62"/>
      <c r="F8" s="62"/>
      <c r="K8" s="581" t="s">
        <v>652</v>
      </c>
      <c r="L8" s="162">
        <v>69.470600000000005</v>
      </c>
      <c r="N8" s="4" t="s">
        <v>19</v>
      </c>
      <c r="O8" s="117" t="s">
        <v>20</v>
      </c>
      <c r="R8" s="135"/>
    </row>
    <row r="9" spans="1:19">
      <c r="K9" s="582" t="s">
        <v>651</v>
      </c>
      <c r="L9" s="583">
        <v>62.707771506849305</v>
      </c>
    </row>
    <row r="12" spans="1:19">
      <c r="B12" s="183"/>
    </row>
    <row r="13" spans="1:19" ht="13">
      <c r="B13" s="182" t="s">
        <v>21</v>
      </c>
    </row>
    <row r="14" spans="1:19">
      <c r="B14" s="183" t="s">
        <v>647</v>
      </c>
    </row>
    <row r="15" spans="1:19">
      <c r="B15" s="183" t="s">
        <v>350</v>
      </c>
    </row>
    <row r="16" spans="1:19">
      <c r="B16" s="183"/>
    </row>
    <row r="17" spans="2:4" ht="13">
      <c r="B17" s="184" t="s">
        <v>22</v>
      </c>
    </row>
    <row r="18" spans="2:4">
      <c r="B18" s="218" t="s">
        <v>648</v>
      </c>
    </row>
    <row r="19" spans="2:4">
      <c r="B19" s="218" t="s">
        <v>414</v>
      </c>
    </row>
    <row r="20" spans="2:4">
      <c r="B20" s="218" t="s">
        <v>351</v>
      </c>
    </row>
    <row r="21" spans="2:4">
      <c r="B21" s="218" t="s">
        <v>317</v>
      </c>
    </row>
    <row r="22" spans="2:4">
      <c r="B22" s="218" t="s">
        <v>352</v>
      </c>
    </row>
    <row r="23" spans="2:4">
      <c r="B23" s="219" t="s">
        <v>601</v>
      </c>
    </row>
    <row r="24" spans="2:4">
      <c r="B24" s="219"/>
    </row>
    <row r="25" spans="2:4" ht="13">
      <c r="B25" s="184" t="s">
        <v>24</v>
      </c>
    </row>
    <row r="26" spans="2:4" ht="13">
      <c r="B26" s="220" t="s">
        <v>353</v>
      </c>
    </row>
    <row r="27" spans="2:4">
      <c r="B27" s="220" t="s">
        <v>354</v>
      </c>
    </row>
    <row r="28" spans="2:4">
      <c r="B28" s="220"/>
    </row>
    <row r="29" spans="2:4" ht="13">
      <c r="B29" s="498" t="s">
        <v>586</v>
      </c>
    </row>
    <row r="30" spans="2:4">
      <c r="B30" s="135"/>
    </row>
    <row r="31" spans="2:4">
      <c r="B31" s="220"/>
    </row>
    <row r="32" spans="2:4" ht="25.5">
      <c r="B32" s="499" t="s">
        <v>596</v>
      </c>
      <c r="C32" s="500" t="s">
        <v>440</v>
      </c>
      <c r="D32" s="729">
        <f>D33*3</f>
        <v>53167.239623333349</v>
      </c>
    </row>
    <row r="33" spans="1:32" ht="25.5">
      <c r="B33" s="537" t="s">
        <v>655</v>
      </c>
      <c r="C33" s="501" t="s">
        <v>440</v>
      </c>
      <c r="D33" s="62">
        <f>AVERAGE(D77:L77)</f>
        <v>17722.413207777783</v>
      </c>
    </row>
    <row r="34" spans="1:32" ht="13">
      <c r="B34" s="185" t="s">
        <v>602</v>
      </c>
      <c r="C34" s="501" t="s">
        <v>277</v>
      </c>
      <c r="D34" s="62">
        <f>Y77</f>
        <v>87835.296220000018</v>
      </c>
    </row>
    <row r="35" spans="1:32" ht="13">
      <c r="B35" s="185" t="s">
        <v>563</v>
      </c>
      <c r="C35" s="538"/>
      <c r="D35" s="62">
        <f>D34-D32</f>
        <v>34668.056596666669</v>
      </c>
      <c r="E35" s="504" t="str">
        <f>IF(ABS(D35)&gt;I6, "Более 1/2 от 25% ДО, анализировать", "Менее 1/2 от 25% ДО, несущ.")</f>
        <v>Менее 1/2 от 25% ДО, несущ.</v>
      </c>
      <c r="F35" s="116"/>
    </row>
    <row r="36" spans="1:32" ht="13">
      <c r="B36" s="311" t="s">
        <v>564</v>
      </c>
      <c r="C36" s="539"/>
      <c r="D36" s="201">
        <f>D35/D34</f>
        <v>0.39469391108824864</v>
      </c>
      <c r="E36" s="504" t="str">
        <f>B38</f>
        <v>Примечание 1</v>
      </c>
      <c r="F36" s="116"/>
    </row>
    <row r="37" spans="1:32">
      <c r="B37" s="220"/>
    </row>
    <row r="38" spans="1:32" ht="13">
      <c r="B38" s="522" t="s">
        <v>406</v>
      </c>
    </row>
    <row r="39" spans="1:32">
      <c r="B39" s="185" t="s">
        <v>776</v>
      </c>
    </row>
    <row r="40" spans="1:32">
      <c r="B40" s="135" t="s">
        <v>777</v>
      </c>
    </row>
    <row r="42" spans="1:32" ht="13">
      <c r="B42" s="186" t="s">
        <v>556</v>
      </c>
    </row>
    <row r="43" spans="1:32" ht="13">
      <c r="A43" s="187" t="s">
        <v>290</v>
      </c>
      <c r="B43" s="186"/>
      <c r="M43" s="188" t="s">
        <v>37</v>
      </c>
      <c r="N43" s="188" t="s">
        <v>37</v>
      </c>
      <c r="P43" s="61" t="s">
        <v>15</v>
      </c>
      <c r="Q43" s="188" t="s">
        <v>37</v>
      </c>
      <c r="S43" s="188" t="s">
        <v>37</v>
      </c>
      <c r="T43" s="188" t="s">
        <v>37</v>
      </c>
      <c r="U43" s="187" t="s">
        <v>290</v>
      </c>
      <c r="V43" s="186"/>
    </row>
    <row r="44" spans="1:32" ht="26">
      <c r="B44" s="320" t="s">
        <v>71</v>
      </c>
      <c r="C44" s="320" t="s">
        <v>72</v>
      </c>
      <c r="D44" s="320" t="s">
        <v>73</v>
      </c>
      <c r="E44" s="320" t="s">
        <v>74</v>
      </c>
      <c r="F44" s="321" t="s">
        <v>75</v>
      </c>
      <c r="G44" s="320" t="s">
        <v>76</v>
      </c>
      <c r="H44" s="320" t="s">
        <v>77</v>
      </c>
      <c r="I44" s="320" t="s">
        <v>78</v>
      </c>
      <c r="J44" s="322" t="s">
        <v>79</v>
      </c>
      <c r="K44" s="322" t="s">
        <v>80</v>
      </c>
      <c r="L44" s="322" t="s">
        <v>81</v>
      </c>
      <c r="M44" s="323" t="s">
        <v>342</v>
      </c>
      <c r="N44" s="324" t="s">
        <v>369</v>
      </c>
      <c r="P44" s="325" t="s">
        <v>368</v>
      </c>
      <c r="Q44" s="324" t="s">
        <v>355</v>
      </c>
      <c r="S44" s="326" t="s">
        <v>356</v>
      </c>
      <c r="T44" s="326" t="s">
        <v>357</v>
      </c>
      <c r="V44" s="492" t="s">
        <v>551</v>
      </c>
      <c r="W44" s="493" t="s">
        <v>552</v>
      </c>
      <c r="X44" s="493" t="s">
        <v>553</v>
      </c>
      <c r="Y44" s="468" t="s">
        <v>554</v>
      </c>
      <c r="Z44" s="468" t="s">
        <v>597</v>
      </c>
      <c r="AA44" s="468" t="s">
        <v>598</v>
      </c>
      <c r="AB44" s="468" t="s">
        <v>599</v>
      </c>
      <c r="AD44" s="323" t="s">
        <v>555</v>
      </c>
      <c r="AE44" s="135"/>
      <c r="AF44" s="135"/>
    </row>
    <row r="45" spans="1:32" ht="13" outlineLevel="1">
      <c r="A45" s="196" t="s">
        <v>307</v>
      </c>
      <c r="B45" s="191">
        <v>3201040050</v>
      </c>
      <c r="C45" s="192" t="s">
        <v>84</v>
      </c>
      <c r="D45" s="215">
        <v>3110.7163300000002</v>
      </c>
      <c r="E45" s="215">
        <v>2613.6379700000002</v>
      </c>
      <c r="F45" s="215">
        <v>2745.6569599999998</v>
      </c>
      <c r="G45" s="216">
        <v>2080.0374699999998</v>
      </c>
      <c r="H45" s="216">
        <v>1682.21306</v>
      </c>
      <c r="I45" s="216">
        <v>1428.3771200000001</v>
      </c>
      <c r="J45" s="216">
        <v>882.31997999999999</v>
      </c>
      <c r="K45" s="216">
        <v>973.55041999999992</v>
      </c>
      <c r="L45" s="216">
        <v>883.28397000000007</v>
      </c>
      <c r="M45" s="294">
        <f>SUM(D45:L45)</f>
        <v>16399.793280000002</v>
      </c>
      <c r="N45" s="194">
        <f t="shared" ref="N45:N77" si="1">M45/$M$77</f>
        <v>0.10281891252448794</v>
      </c>
      <c r="O45" s="135"/>
      <c r="P45" s="172">
        <v>16371.527180000001</v>
      </c>
      <c r="Q45" s="217">
        <f t="shared" ref="Q45:Q76" si="2">P45/$P$77</f>
        <v>0.12806794483867012</v>
      </c>
      <c r="R45" s="135"/>
      <c r="S45" s="172">
        <f t="shared" ref="S45:T47" si="3">M45-P45</f>
        <v>28.266100000000733</v>
      </c>
      <c r="T45" s="194">
        <f t="shared" si="3"/>
        <v>-2.5249032314182185E-2</v>
      </c>
      <c r="U45" s="397"/>
      <c r="V45" s="49">
        <v>1627.2930700000002</v>
      </c>
      <c r="W45" s="49">
        <v>2907.8054499999998</v>
      </c>
      <c r="X45" s="49">
        <v>3116.1213200000002</v>
      </c>
      <c r="Y45" s="49">
        <f>SUM(V45:X45)</f>
        <v>7651.2198399999997</v>
      </c>
      <c r="Z45" s="558">
        <f>M45/9*3</f>
        <v>5466.5977600000006</v>
      </c>
      <c r="AA45" s="49">
        <f>Y45-Z45</f>
        <v>2184.6220799999992</v>
      </c>
      <c r="AB45" s="548">
        <v>-1</v>
      </c>
      <c r="AD45" s="49">
        <f t="shared" ref="AD45:AD76" si="4">Y45+M45</f>
        <v>24051.013120000003</v>
      </c>
      <c r="AE45" s="556"/>
      <c r="AF45" s="62"/>
    </row>
    <row r="46" spans="1:32" ht="13" outlineLevel="1">
      <c r="A46" s="196" t="s">
        <v>307</v>
      </c>
      <c r="B46" s="50">
        <v>3201040020</v>
      </c>
      <c r="C46" s="51" t="s">
        <v>83</v>
      </c>
      <c r="D46" s="211">
        <v>0.50532999999999995</v>
      </c>
      <c r="E46" s="211">
        <v>0.50024000000000002</v>
      </c>
      <c r="F46" s="211">
        <v>0</v>
      </c>
      <c r="G46" s="212">
        <v>0</v>
      </c>
      <c r="H46" s="212">
        <v>0</v>
      </c>
      <c r="I46" s="212">
        <v>0</v>
      </c>
      <c r="J46" s="212">
        <v>0</v>
      </c>
      <c r="K46" s="212">
        <v>0</v>
      </c>
      <c r="L46" s="212">
        <v>0</v>
      </c>
      <c r="M46" s="62">
        <f>SUM(D46:L46)</f>
        <v>1.0055700000000001</v>
      </c>
      <c r="N46" s="197">
        <f t="shared" si="1"/>
        <v>6.3044461659976081E-6</v>
      </c>
      <c r="O46" s="135"/>
      <c r="P46" s="62">
        <v>0.51195000000000002</v>
      </c>
      <c r="Q46" s="193">
        <f t="shared" si="2"/>
        <v>4.004781205766362E-6</v>
      </c>
      <c r="R46" s="135"/>
      <c r="S46" s="62">
        <f t="shared" si="3"/>
        <v>0.49362000000000006</v>
      </c>
      <c r="T46" s="197">
        <f t="shared" si="3"/>
        <v>2.2996649602312461E-6</v>
      </c>
      <c r="U46" s="397"/>
      <c r="V46" s="49">
        <v>0</v>
      </c>
      <c r="W46" s="49">
        <v>0</v>
      </c>
      <c r="X46" s="49">
        <v>0</v>
      </c>
      <c r="Y46" s="49">
        <f>SUM(V46:X46)</f>
        <v>0</v>
      </c>
      <c r="Z46" s="443">
        <f t="shared" ref="Z46:Z76" si="5">M46/9*3</f>
        <v>0.33519000000000004</v>
      </c>
      <c r="AA46" s="49">
        <f t="shared" ref="AA46:AA76" si="6">Y46-Z46</f>
        <v>-0.33519000000000004</v>
      </c>
      <c r="AB46" s="548">
        <v>-1</v>
      </c>
      <c r="AD46" s="49">
        <f t="shared" si="4"/>
        <v>1.0055700000000001</v>
      </c>
      <c r="AE46" s="556"/>
      <c r="AF46" s="62"/>
    </row>
    <row r="47" spans="1:32" ht="13" outlineLevel="1">
      <c r="A47" s="196" t="s">
        <v>307</v>
      </c>
      <c r="B47" s="50">
        <v>3201040080</v>
      </c>
      <c r="C47" s="51" t="s">
        <v>85</v>
      </c>
      <c r="D47" s="211">
        <v>2.3300000000000001E-2</v>
      </c>
      <c r="E47" s="211">
        <v>1.2E-2</v>
      </c>
      <c r="F47" s="211">
        <v>7.7300000000000008E-3</v>
      </c>
      <c r="G47" s="212">
        <v>1.5269999999999999E-2</v>
      </c>
      <c r="H47" s="212">
        <v>2.1319999999999999E-2</v>
      </c>
      <c r="I47" s="212">
        <v>2.7170000000000003E-2</v>
      </c>
      <c r="J47" s="212">
        <v>2.7570000000000001E-2</v>
      </c>
      <c r="K47" s="212">
        <v>2.231E-2</v>
      </c>
      <c r="L47" s="212">
        <v>1.4160000000000001E-2</v>
      </c>
      <c r="M47" s="62">
        <f>SUM(D47:L47)</f>
        <v>0.17083000000000001</v>
      </c>
      <c r="N47" s="197">
        <f t="shared" si="1"/>
        <v>1.0710229407573529E-6</v>
      </c>
      <c r="O47" s="135"/>
      <c r="P47" s="62">
        <v>0.22362000000000001</v>
      </c>
      <c r="Q47" s="193">
        <f t="shared" si="2"/>
        <v>1.7492903081032793E-6</v>
      </c>
      <c r="R47" s="135"/>
      <c r="S47" s="62">
        <f t="shared" si="3"/>
        <v>-5.2790000000000004E-2</v>
      </c>
      <c r="T47" s="197">
        <f t="shared" si="3"/>
        <v>-6.7826736734592638E-7</v>
      </c>
      <c r="U47" s="397"/>
      <c r="V47" s="49">
        <v>1.2199999999999999E-3</v>
      </c>
      <c r="W47" s="49">
        <v>1.393E-2</v>
      </c>
      <c r="X47" s="49">
        <v>1.2330000000000001E-2</v>
      </c>
      <c r="Y47" s="49">
        <f>SUM(V47:X47)</f>
        <v>2.7480000000000001E-2</v>
      </c>
      <c r="Z47" s="443">
        <f t="shared" si="5"/>
        <v>5.6943333333333332E-2</v>
      </c>
      <c r="AA47" s="49">
        <f t="shared" si="6"/>
        <v>-2.9463333333333331E-2</v>
      </c>
      <c r="AB47" s="548">
        <v>-1</v>
      </c>
      <c r="AD47" s="49">
        <f t="shared" si="4"/>
        <v>0.19831000000000001</v>
      </c>
      <c r="AE47" s="556"/>
      <c r="AF47" s="62"/>
    </row>
    <row r="48" spans="1:32" s="109" customFormat="1" ht="13">
      <c r="A48" s="196"/>
      <c r="B48" s="549"/>
      <c r="C48" s="52" t="s">
        <v>86</v>
      </c>
      <c r="D48" s="213">
        <f t="shared" ref="D48:L48" si="7">SUM(D45:D47)</f>
        <v>3111.24496</v>
      </c>
      <c r="E48" s="213">
        <f t="shared" si="7"/>
        <v>2614.1502100000002</v>
      </c>
      <c r="F48" s="213">
        <f t="shared" si="7"/>
        <v>2745.6646899999996</v>
      </c>
      <c r="G48" s="213">
        <f t="shared" si="7"/>
        <v>2080.0527399999996</v>
      </c>
      <c r="H48" s="213">
        <f t="shared" si="7"/>
        <v>1682.2343800000001</v>
      </c>
      <c r="I48" s="213">
        <f t="shared" si="7"/>
        <v>1428.4042900000002</v>
      </c>
      <c r="J48" s="213">
        <f t="shared" si="7"/>
        <v>882.34754999999996</v>
      </c>
      <c r="K48" s="213">
        <f t="shared" si="7"/>
        <v>973.57272999999986</v>
      </c>
      <c r="L48" s="213">
        <f t="shared" si="7"/>
        <v>883.29813000000001</v>
      </c>
      <c r="M48" s="198">
        <f t="shared" ref="M48:M77" si="8">SUM(D48:L48)</f>
        <v>16400.969679999998</v>
      </c>
      <c r="N48" s="550">
        <f t="shared" si="1"/>
        <v>0.10282628799359468</v>
      </c>
      <c r="O48" s="58"/>
      <c r="P48" s="213">
        <f>SUM(P45:P47)</f>
        <v>16372.262750000002</v>
      </c>
      <c r="Q48" s="551">
        <f t="shared" si="2"/>
        <v>0.128073698910184</v>
      </c>
      <c r="R48" s="58"/>
      <c r="S48" s="198">
        <f t="shared" ref="S48:S72" si="9">M48-P48</f>
        <v>28.706929999996646</v>
      </c>
      <c r="T48" s="550">
        <f t="shared" ref="T48:T77" si="10">N48-Q48</f>
        <v>-2.5247410916589316E-2</v>
      </c>
      <c r="U48" s="552"/>
      <c r="V48" s="401">
        <f>SUM(V45:V47)</f>
        <v>1627.2942900000003</v>
      </c>
      <c r="W48" s="401">
        <f t="shared" ref="W48:X48" si="11">SUM(W45:W47)</f>
        <v>2907.8193799999999</v>
      </c>
      <c r="X48" s="401">
        <f t="shared" si="11"/>
        <v>3116.1336500000002</v>
      </c>
      <c r="Y48" s="401">
        <f t="shared" ref="Y48:Y76" si="12">SUM(V48:X48)</f>
        <v>7651.2473200000004</v>
      </c>
      <c r="Z48" s="555">
        <f t="shared" si="5"/>
        <v>5466.9898933333325</v>
      </c>
      <c r="AA48" s="401">
        <f t="shared" si="6"/>
        <v>2184.2574266666679</v>
      </c>
      <c r="AB48" s="553">
        <v>-1</v>
      </c>
      <c r="AD48" s="401">
        <f t="shared" si="4"/>
        <v>24052.216999999997</v>
      </c>
      <c r="AE48" s="557"/>
      <c r="AF48" s="198"/>
    </row>
    <row r="49" spans="1:32" s="116" customFormat="1" ht="13" outlineLevel="1">
      <c r="A49" s="196" t="s">
        <v>307</v>
      </c>
      <c r="B49" s="50">
        <v>3201060010</v>
      </c>
      <c r="C49" s="51" t="s">
        <v>94</v>
      </c>
      <c r="D49" s="211">
        <v>4462.8580000000002</v>
      </c>
      <c r="E49" s="211">
        <v>2585.38436</v>
      </c>
      <c r="F49" s="211">
        <v>3926.6674900000003</v>
      </c>
      <c r="G49" s="212">
        <v>3849.6750400000001</v>
      </c>
      <c r="H49" s="212">
        <v>7878.8663200000001</v>
      </c>
      <c r="I49" s="212">
        <v>5221.5164299999997</v>
      </c>
      <c r="J49" s="212">
        <v>5105.8050300000004</v>
      </c>
      <c r="K49" s="212">
        <v>5861.1012499999997</v>
      </c>
      <c r="L49" s="212">
        <v>6256.4335999999994</v>
      </c>
      <c r="M49" s="131">
        <f t="shared" ref="M49:M72" si="13">SUM(D49:L49)</f>
        <v>45148.307519999995</v>
      </c>
      <c r="N49" s="199">
        <f t="shared" si="1"/>
        <v>0.28305843874195225</v>
      </c>
      <c r="O49" s="126"/>
      <c r="P49" s="131">
        <v>33002.594989999998</v>
      </c>
      <c r="Q49" s="193">
        <f t="shared" si="2"/>
        <v>0.25816617278537179</v>
      </c>
      <c r="R49" s="126"/>
      <c r="S49" s="131">
        <f t="shared" si="9"/>
        <v>12145.712529999997</v>
      </c>
      <c r="T49" s="199">
        <f t="shared" ref="T49:T72" si="14">N49-Q49</f>
        <v>2.489226595658045E-2</v>
      </c>
      <c r="U49" s="397"/>
      <c r="V49" s="49">
        <v>3977.2371899999994</v>
      </c>
      <c r="W49" s="49">
        <v>6950.1139700000003</v>
      </c>
      <c r="X49" s="49">
        <v>7949.3296500000006</v>
      </c>
      <c r="Y49" s="49">
        <f t="shared" ref="Y49:Y72" si="15">SUM(V49:X49)</f>
        <v>18876.680810000002</v>
      </c>
      <c r="Z49" s="443">
        <f t="shared" si="5"/>
        <v>15049.435839999998</v>
      </c>
      <c r="AA49" s="49">
        <f t="shared" si="6"/>
        <v>3827.2449700000034</v>
      </c>
      <c r="AB49" s="548">
        <f>AA49/Y49</f>
        <v>0.20274989064669166</v>
      </c>
      <c r="AD49" s="49">
        <f t="shared" si="4"/>
        <v>64024.988329999993</v>
      </c>
      <c r="AE49" s="556"/>
      <c r="AF49" s="62"/>
    </row>
    <row r="50" spans="1:32" s="116" customFormat="1" ht="13" outlineLevel="1">
      <c r="A50" s="196" t="s">
        <v>307</v>
      </c>
      <c r="B50" s="50">
        <v>3201070010</v>
      </c>
      <c r="C50" s="51" t="s">
        <v>98</v>
      </c>
      <c r="D50" s="211">
        <v>1093.7487900000001</v>
      </c>
      <c r="E50" s="211">
        <v>1779.3922299999999</v>
      </c>
      <c r="F50" s="211">
        <v>1602.96228</v>
      </c>
      <c r="G50" s="212">
        <v>2501.9724799999999</v>
      </c>
      <c r="H50" s="212">
        <v>1610.0609100000001</v>
      </c>
      <c r="I50" s="212">
        <v>9152.247519999999</v>
      </c>
      <c r="J50" s="212">
        <v>7316.1122700000005</v>
      </c>
      <c r="K50" s="212">
        <v>4520.2724700000008</v>
      </c>
      <c r="L50" s="212">
        <v>15486.170450000001</v>
      </c>
      <c r="M50" s="131">
        <f t="shared" si="13"/>
        <v>45062.939400000003</v>
      </c>
      <c r="N50" s="199">
        <f t="shared" si="1"/>
        <v>0.28252322118690149</v>
      </c>
      <c r="O50" s="126"/>
      <c r="P50" s="131">
        <v>31279.54679</v>
      </c>
      <c r="Q50" s="193">
        <f t="shared" si="2"/>
        <v>0.24468745211345155</v>
      </c>
      <c r="R50" s="126"/>
      <c r="S50" s="131">
        <f t="shared" si="9"/>
        <v>13783.392610000003</v>
      </c>
      <c r="T50" s="199">
        <f t="shared" si="14"/>
        <v>3.7835769073449932E-2</v>
      </c>
      <c r="U50" s="397"/>
      <c r="V50" s="137">
        <v>8642.6694100000004</v>
      </c>
      <c r="W50" s="137">
        <v>8171.3794300000009</v>
      </c>
      <c r="X50" s="137">
        <v>18875.241550000002</v>
      </c>
      <c r="Y50" s="137">
        <f t="shared" si="15"/>
        <v>35689.290390000009</v>
      </c>
      <c r="Z50" s="558">
        <f>M50/9*3</f>
        <v>15020.979800000001</v>
      </c>
      <c r="AA50" s="137">
        <f t="shared" si="6"/>
        <v>20668.310590000008</v>
      </c>
      <c r="AB50" s="647">
        <f t="shared" ref="AB50:AB76" si="16">AA50/Y50</f>
        <v>0.57911800330418406</v>
      </c>
      <c r="AD50" s="137">
        <f t="shared" si="4"/>
        <v>80752.229790000012</v>
      </c>
      <c r="AE50" s="556"/>
      <c r="AF50" s="131"/>
    </row>
    <row r="51" spans="1:32" s="116" customFormat="1" ht="13" outlineLevel="1">
      <c r="A51" s="196" t="s">
        <v>307</v>
      </c>
      <c r="B51" s="50">
        <v>3201030010</v>
      </c>
      <c r="C51" s="51" t="s">
        <v>90</v>
      </c>
      <c r="D51" s="211">
        <v>1951.7198900000001</v>
      </c>
      <c r="E51" s="211">
        <v>1814.5456100000001</v>
      </c>
      <c r="F51" s="211">
        <v>1920.3169700000003</v>
      </c>
      <c r="G51" s="212">
        <v>2485.8595599999994</v>
      </c>
      <c r="H51" s="212">
        <v>2460.7400899999998</v>
      </c>
      <c r="I51" s="212">
        <v>2635.9566800000002</v>
      </c>
      <c r="J51" s="212">
        <v>2108.9494599999998</v>
      </c>
      <c r="K51" s="212">
        <v>3965.0544799999998</v>
      </c>
      <c r="L51" s="212">
        <v>4956.8860500000001</v>
      </c>
      <c r="M51" s="131">
        <f t="shared" si="13"/>
        <v>24300.02879</v>
      </c>
      <c r="N51" s="199">
        <f t="shared" si="1"/>
        <v>0.15234963586696798</v>
      </c>
      <c r="O51" s="126"/>
      <c r="P51" s="173">
        <v>20422.348300000001</v>
      </c>
      <c r="Q51" s="193">
        <f t="shared" si="2"/>
        <v>0.15975590711877061</v>
      </c>
      <c r="R51" s="126"/>
      <c r="S51" s="131">
        <f t="shared" si="9"/>
        <v>3877.6804899999988</v>
      </c>
      <c r="T51" s="199">
        <f t="shared" si="14"/>
        <v>-7.4062712518026264E-3</v>
      </c>
      <c r="U51" s="397"/>
      <c r="V51" s="137">
        <v>3179.20876</v>
      </c>
      <c r="W51" s="137">
        <v>4328.1563499999993</v>
      </c>
      <c r="X51" s="137">
        <v>4394.8745600000002</v>
      </c>
      <c r="Y51" s="137">
        <f t="shared" si="15"/>
        <v>11902.239669999999</v>
      </c>
      <c r="Z51" s="443">
        <f t="shared" si="5"/>
        <v>8100.0095966666668</v>
      </c>
      <c r="AA51" s="137">
        <f t="shared" si="6"/>
        <v>3802.2300733333323</v>
      </c>
      <c r="AB51" s="647">
        <f t="shared" si="16"/>
        <v>0.31945500836426466</v>
      </c>
      <c r="AD51" s="137">
        <f t="shared" si="4"/>
        <v>36202.268459999999</v>
      </c>
      <c r="AE51" s="556"/>
      <c r="AF51" s="131"/>
    </row>
    <row r="52" spans="1:32" s="116" customFormat="1" ht="13" outlineLevel="1">
      <c r="A52" s="196" t="s">
        <v>307</v>
      </c>
      <c r="B52" s="50">
        <v>3201100010</v>
      </c>
      <c r="C52" s="51" t="s">
        <v>100</v>
      </c>
      <c r="D52" s="211">
        <v>371.00471999999996</v>
      </c>
      <c r="E52" s="211">
        <v>535.47717999999998</v>
      </c>
      <c r="F52" s="211">
        <v>436.02906999999993</v>
      </c>
      <c r="G52" s="212">
        <v>429.48493000000008</v>
      </c>
      <c r="H52" s="212">
        <v>626.02883999999995</v>
      </c>
      <c r="I52" s="212">
        <v>336.15224000000001</v>
      </c>
      <c r="J52" s="212">
        <v>503.87223999999998</v>
      </c>
      <c r="K52" s="212">
        <v>518.71998999999994</v>
      </c>
      <c r="L52" s="212">
        <v>572.30557999999996</v>
      </c>
      <c r="M52" s="131">
        <f t="shared" si="13"/>
        <v>4329.0747899999997</v>
      </c>
      <c r="N52" s="199">
        <f t="shared" si="1"/>
        <v>2.7141242242839779E-2</v>
      </c>
      <c r="O52" s="126"/>
      <c r="P52" s="173">
        <v>3972.4336400000002</v>
      </c>
      <c r="Q52" s="193">
        <f t="shared" si="2"/>
        <v>3.1074768205149053E-2</v>
      </c>
      <c r="R52" s="126"/>
      <c r="S52" s="131">
        <f t="shared" si="9"/>
        <v>356.64114999999947</v>
      </c>
      <c r="T52" s="199">
        <f t="shared" si="14"/>
        <v>-3.9335259623092741E-3</v>
      </c>
      <c r="U52" s="397"/>
      <c r="V52" s="49">
        <v>834.40521999999999</v>
      </c>
      <c r="W52" s="49">
        <v>947.51291999999989</v>
      </c>
      <c r="X52" s="49">
        <v>841.04536000000007</v>
      </c>
      <c r="Y52" s="49">
        <f t="shared" si="15"/>
        <v>2622.9634999999998</v>
      </c>
      <c r="Z52" s="443">
        <f t="shared" si="5"/>
        <v>1443.0249299999998</v>
      </c>
      <c r="AA52" s="49">
        <f t="shared" si="6"/>
        <v>1179.93857</v>
      </c>
      <c r="AB52" s="548">
        <f t="shared" si="16"/>
        <v>0.44984940507178239</v>
      </c>
      <c r="AD52" s="49">
        <f t="shared" si="4"/>
        <v>6952.0382899999995</v>
      </c>
      <c r="AE52" s="556"/>
      <c r="AF52" s="62"/>
    </row>
    <row r="53" spans="1:32" s="116" customFormat="1" ht="13" outlineLevel="1">
      <c r="A53" s="196" t="s">
        <v>307</v>
      </c>
      <c r="B53" s="50">
        <v>3201090010</v>
      </c>
      <c r="C53" s="51" t="s">
        <v>99</v>
      </c>
      <c r="D53" s="211">
        <v>51.522350000000003</v>
      </c>
      <c r="E53" s="211">
        <v>61.078150000000001</v>
      </c>
      <c r="F53" s="211">
        <v>69.339160000000007</v>
      </c>
      <c r="G53" s="212">
        <v>36.42286</v>
      </c>
      <c r="H53" s="212">
        <v>377.93475999999998</v>
      </c>
      <c r="I53" s="212">
        <v>42.83717</v>
      </c>
      <c r="J53" s="212">
        <v>148.55458999999999</v>
      </c>
      <c r="K53" s="212">
        <v>409.84490999999997</v>
      </c>
      <c r="L53" s="212">
        <v>250.23275000000001</v>
      </c>
      <c r="M53" s="131">
        <f t="shared" si="13"/>
        <v>1447.7667000000001</v>
      </c>
      <c r="N53" s="199">
        <f t="shared" si="1"/>
        <v>9.0768093927563569E-3</v>
      </c>
      <c r="O53" s="126"/>
      <c r="P53" s="173">
        <v>1537.11825</v>
      </c>
      <c r="Q53" s="193">
        <f t="shared" si="2"/>
        <v>1.202426463256271E-2</v>
      </c>
      <c r="R53" s="126"/>
      <c r="S53" s="131">
        <f t="shared" si="9"/>
        <v>-89.351549999999861</v>
      </c>
      <c r="T53" s="199">
        <f t="shared" si="14"/>
        <v>-2.9474552398063535E-3</v>
      </c>
      <c r="U53" s="397"/>
      <c r="V53" s="49">
        <v>273.79980999999998</v>
      </c>
      <c r="W53" s="49">
        <v>276.95524999999998</v>
      </c>
      <c r="X53" s="49">
        <v>571.39194000000009</v>
      </c>
      <c r="Y53" s="49">
        <f t="shared" si="15"/>
        <v>1122.1469999999999</v>
      </c>
      <c r="Z53" s="443">
        <f t="shared" si="5"/>
        <v>482.58890000000008</v>
      </c>
      <c r="AA53" s="49">
        <f t="shared" si="6"/>
        <v>639.55809999999985</v>
      </c>
      <c r="AB53" s="548">
        <f t="shared" si="16"/>
        <v>0.56994146043254568</v>
      </c>
      <c r="AD53" s="49">
        <f t="shared" si="4"/>
        <v>2569.9137000000001</v>
      </c>
      <c r="AE53" s="556"/>
      <c r="AF53" s="62"/>
    </row>
    <row r="54" spans="1:32" s="116" customFormat="1" ht="13" outlineLevel="1">
      <c r="A54" s="196" t="s">
        <v>307</v>
      </c>
      <c r="B54" s="50">
        <v>3201140030</v>
      </c>
      <c r="C54" s="51" t="s">
        <v>102</v>
      </c>
      <c r="D54" s="211">
        <v>34.647390000000001</v>
      </c>
      <c r="E54" s="211">
        <v>34.952550000000002</v>
      </c>
      <c r="F54" s="211">
        <v>29.880590000000002</v>
      </c>
      <c r="G54" s="212">
        <v>38.40025</v>
      </c>
      <c r="H54" s="212">
        <v>94.716929999999991</v>
      </c>
      <c r="I54" s="212">
        <v>50.371559999999995</v>
      </c>
      <c r="J54" s="212">
        <v>56.02808000000001</v>
      </c>
      <c r="K54" s="212">
        <v>96.250209999999996</v>
      </c>
      <c r="L54" s="212">
        <v>27.602229999999995</v>
      </c>
      <c r="M54" s="131">
        <f t="shared" si="13"/>
        <v>462.84978999999998</v>
      </c>
      <c r="N54" s="199">
        <f t="shared" si="1"/>
        <v>2.9018482890284096E-3</v>
      </c>
      <c r="O54" s="126"/>
      <c r="P54" s="173">
        <v>391.12585999999999</v>
      </c>
      <c r="Q54" s="193">
        <f t="shared" si="2"/>
        <v>3.0596220201527594E-3</v>
      </c>
      <c r="R54" s="126"/>
      <c r="S54" s="131">
        <f t="shared" si="9"/>
        <v>71.723929999999996</v>
      </c>
      <c r="T54" s="199">
        <f t="shared" si="14"/>
        <v>-1.5777373112434981E-4</v>
      </c>
      <c r="U54" s="397"/>
      <c r="V54" s="49">
        <v>55.216900000000003</v>
      </c>
      <c r="W54" s="49">
        <v>29.585099999999997</v>
      </c>
      <c r="X54" s="49">
        <v>111.89127000000001</v>
      </c>
      <c r="Y54" s="49">
        <f t="shared" si="15"/>
        <v>196.69326999999998</v>
      </c>
      <c r="Z54" s="443">
        <f t="shared" si="5"/>
        <v>154.28326333333334</v>
      </c>
      <c r="AA54" s="49">
        <f t="shared" si="6"/>
        <v>42.410006666666646</v>
      </c>
      <c r="AB54" s="548">
        <f t="shared" si="16"/>
        <v>0.21561493520681541</v>
      </c>
      <c r="AD54" s="49">
        <f t="shared" si="4"/>
        <v>659.54305999999997</v>
      </c>
      <c r="AE54" s="556"/>
      <c r="AF54" s="62"/>
    </row>
    <row r="55" spans="1:32" s="116" customFormat="1" ht="13" outlineLevel="1">
      <c r="A55" s="196" t="s">
        <v>307</v>
      </c>
      <c r="B55" s="50">
        <v>3201030020</v>
      </c>
      <c r="C55" s="51" t="s">
        <v>92</v>
      </c>
      <c r="D55" s="211">
        <v>44.270129999999995</v>
      </c>
      <c r="E55" s="211">
        <v>42.125089999999993</v>
      </c>
      <c r="F55" s="211">
        <v>30.919689999999999</v>
      </c>
      <c r="G55" s="212">
        <v>23.37388</v>
      </c>
      <c r="H55" s="212">
        <v>62.1511</v>
      </c>
      <c r="I55" s="212">
        <v>44.310209999999998</v>
      </c>
      <c r="J55" s="212">
        <v>12.078340000000001</v>
      </c>
      <c r="K55" s="212">
        <v>41.45675</v>
      </c>
      <c r="L55" s="212">
        <v>53.194269999999996</v>
      </c>
      <c r="M55" s="131">
        <f t="shared" si="13"/>
        <v>353.87945999999999</v>
      </c>
      <c r="N55" s="199">
        <f t="shared" si="1"/>
        <v>2.2186560903987825E-3</v>
      </c>
      <c r="O55" s="126"/>
      <c r="P55" s="173">
        <v>176.70828</v>
      </c>
      <c r="Q55" s="193">
        <f t="shared" si="2"/>
        <v>1.3823185831571439E-3</v>
      </c>
      <c r="R55" s="126"/>
      <c r="S55" s="131">
        <f t="shared" si="9"/>
        <v>177.17117999999999</v>
      </c>
      <c r="T55" s="199">
        <f t="shared" si="14"/>
        <v>8.363375072416386E-4</v>
      </c>
      <c r="U55" s="397"/>
      <c r="V55" s="49">
        <v>207.04973999999999</v>
      </c>
      <c r="W55" s="49">
        <v>59.581029999999998</v>
      </c>
      <c r="X55" s="49">
        <v>63.896349999999998</v>
      </c>
      <c r="Y55" s="49">
        <f t="shared" si="15"/>
        <v>330.52711999999997</v>
      </c>
      <c r="Z55" s="443">
        <f t="shared" si="5"/>
        <v>117.95982000000001</v>
      </c>
      <c r="AA55" s="49">
        <f t="shared" si="6"/>
        <v>212.56729999999996</v>
      </c>
      <c r="AB55" s="548">
        <f t="shared" si="16"/>
        <v>0.6431160626093253</v>
      </c>
      <c r="AD55" s="49">
        <f t="shared" si="4"/>
        <v>684.40657999999996</v>
      </c>
      <c r="AE55" s="556"/>
      <c r="AF55" s="62"/>
    </row>
    <row r="56" spans="1:32" s="116" customFormat="1" ht="13" outlineLevel="1">
      <c r="A56" s="196"/>
      <c r="B56" s="50">
        <v>3201100020</v>
      </c>
      <c r="C56" s="54" t="s">
        <v>101</v>
      </c>
      <c r="D56" s="211">
        <v>1.5889000000000002</v>
      </c>
      <c r="E56" s="211">
        <v>7.59802</v>
      </c>
      <c r="F56" s="211">
        <v>20.6557</v>
      </c>
      <c r="G56" s="212">
        <v>6.3556000000000008</v>
      </c>
      <c r="H56" s="212">
        <v>22.620979999999999</v>
      </c>
      <c r="I56" s="212">
        <v>13.809670000000001</v>
      </c>
      <c r="J56" s="212">
        <v>22.224499999999999</v>
      </c>
      <c r="K56" s="212">
        <v>23.83183</v>
      </c>
      <c r="L56" s="212">
        <v>19.040230000000001</v>
      </c>
      <c r="M56" s="131">
        <f t="shared" si="13"/>
        <v>137.72542999999999</v>
      </c>
      <c r="N56" s="199">
        <f t="shared" si="1"/>
        <v>8.6347301443347733E-4</v>
      </c>
      <c r="O56" s="126"/>
      <c r="P56" s="173">
        <v>321.00713999999999</v>
      </c>
      <c r="Q56" s="193">
        <f t="shared" si="2"/>
        <v>2.5111111655216549E-3</v>
      </c>
      <c r="R56" s="126"/>
      <c r="S56" s="131">
        <f t="shared" si="9"/>
        <v>-183.28171</v>
      </c>
      <c r="T56" s="199">
        <f t="shared" si="14"/>
        <v>-1.6476381510881774E-3</v>
      </c>
      <c r="U56" s="397"/>
      <c r="V56" s="49">
        <v>3.1778000000000004</v>
      </c>
      <c r="W56" s="49">
        <v>6.3537400000000002</v>
      </c>
      <c r="X56" s="49">
        <v>5.3938800000000002</v>
      </c>
      <c r="Y56" s="49">
        <f t="shared" si="15"/>
        <v>14.925419999999999</v>
      </c>
      <c r="Z56" s="443">
        <f t="shared" si="5"/>
        <v>45.908476666666658</v>
      </c>
      <c r="AA56" s="49">
        <f t="shared" si="6"/>
        <v>-30.983056666666659</v>
      </c>
      <c r="AB56" s="548">
        <v>-1</v>
      </c>
      <c r="AD56" s="49">
        <f t="shared" si="4"/>
        <v>152.65084999999999</v>
      </c>
      <c r="AE56" s="556"/>
      <c r="AF56" s="62"/>
    </row>
    <row r="57" spans="1:32" s="116" customFormat="1" ht="13" outlineLevel="1">
      <c r="A57" s="196" t="s">
        <v>307</v>
      </c>
      <c r="B57" s="50">
        <v>3201050010</v>
      </c>
      <c r="C57" s="51" t="s">
        <v>93</v>
      </c>
      <c r="D57" s="211">
        <v>14.64296</v>
      </c>
      <c r="E57" s="211">
        <v>6.4405000000000001</v>
      </c>
      <c r="F57" s="211">
        <v>0.14354</v>
      </c>
      <c r="G57" s="212">
        <v>0.35494999999999999</v>
      </c>
      <c r="H57" s="212">
        <v>43.192459999999997</v>
      </c>
      <c r="I57" s="212">
        <v>8.9704300000000003</v>
      </c>
      <c r="J57" s="212">
        <v>3.0114500000000004</v>
      </c>
      <c r="K57" s="212">
        <v>3.5099999999999997E-3</v>
      </c>
      <c r="L57" s="212">
        <v>56.7911</v>
      </c>
      <c r="M57" s="131">
        <f t="shared" si="13"/>
        <v>133.55090000000001</v>
      </c>
      <c r="N57" s="199">
        <f t="shared" si="1"/>
        <v>8.3730069460159903E-4</v>
      </c>
      <c r="O57" s="126"/>
      <c r="P57" s="173">
        <v>125.62552000000001</v>
      </c>
      <c r="Q57" s="193">
        <f t="shared" si="2"/>
        <v>9.8271847145351343E-4</v>
      </c>
      <c r="R57" s="126"/>
      <c r="S57" s="131">
        <f t="shared" si="9"/>
        <v>7.9253800000000041</v>
      </c>
      <c r="T57" s="199">
        <f t="shared" si="14"/>
        <v>-1.454177768519144E-4</v>
      </c>
      <c r="U57" s="397"/>
      <c r="V57" s="137">
        <v>18.104580000000002</v>
      </c>
      <c r="W57" s="137">
        <v>6.5076999999999998</v>
      </c>
      <c r="X57" s="137">
        <v>0.97372000000000003</v>
      </c>
      <c r="Y57" s="137">
        <f t="shared" si="15"/>
        <v>25.586000000000002</v>
      </c>
      <c r="Z57" s="443">
        <f t="shared" si="5"/>
        <v>44.516966666666669</v>
      </c>
      <c r="AA57" s="137">
        <f t="shared" si="6"/>
        <v>-18.930966666666666</v>
      </c>
      <c r="AB57" s="647">
        <f t="shared" si="16"/>
        <v>-0.73989551577685708</v>
      </c>
      <c r="AD57" s="137">
        <f t="shared" si="4"/>
        <v>159.13690000000003</v>
      </c>
      <c r="AE57" s="556"/>
      <c r="AF57" s="131"/>
    </row>
    <row r="58" spans="1:32" s="116" customFormat="1" ht="13" outlineLevel="1">
      <c r="A58" s="196"/>
      <c r="B58" s="50">
        <v>3201060030</v>
      </c>
      <c r="C58" s="51" t="s">
        <v>97</v>
      </c>
      <c r="D58" s="211">
        <v>0</v>
      </c>
      <c r="E58" s="211">
        <v>0</v>
      </c>
      <c r="F58" s="211">
        <v>0</v>
      </c>
      <c r="G58" s="212">
        <v>0</v>
      </c>
      <c r="H58" s="212">
        <v>0</v>
      </c>
      <c r="I58" s="212">
        <v>0</v>
      </c>
      <c r="J58" s="212">
        <v>0</v>
      </c>
      <c r="K58" s="212">
        <v>117.48209</v>
      </c>
      <c r="L58" s="212">
        <v>0</v>
      </c>
      <c r="M58" s="131">
        <f t="shared" si="13"/>
        <v>117.48209</v>
      </c>
      <c r="N58" s="199">
        <f t="shared" si="1"/>
        <v>7.3655688999660482E-4</v>
      </c>
      <c r="O58" s="126"/>
      <c r="P58" s="173">
        <v>52.5</v>
      </c>
      <c r="Q58" s="193">
        <f t="shared" si="2"/>
        <v>4.1068661647179213E-4</v>
      </c>
      <c r="R58" s="126"/>
      <c r="S58" s="131">
        <f t="shared" si="9"/>
        <v>64.982089999999999</v>
      </c>
      <c r="T58" s="199">
        <f t="shared" si="14"/>
        <v>3.2587027352481269E-4</v>
      </c>
      <c r="U58" s="397"/>
      <c r="V58" s="49">
        <v>0</v>
      </c>
      <c r="W58" s="49">
        <v>0</v>
      </c>
      <c r="X58" s="49">
        <v>0</v>
      </c>
      <c r="Y58" s="49">
        <f t="shared" si="15"/>
        <v>0</v>
      </c>
      <c r="Z58" s="443">
        <f t="shared" si="5"/>
        <v>39.160696666666666</v>
      </c>
      <c r="AA58" s="49">
        <f t="shared" si="6"/>
        <v>-39.160696666666666</v>
      </c>
      <c r="AB58" s="548">
        <v>-1</v>
      </c>
      <c r="AD58" s="49">
        <f t="shared" si="4"/>
        <v>117.48209</v>
      </c>
      <c r="AE58" s="556"/>
      <c r="AF58" s="62"/>
    </row>
    <row r="59" spans="1:32" s="116" customFormat="1" ht="13" outlineLevel="1">
      <c r="A59" s="196" t="s">
        <v>307</v>
      </c>
      <c r="B59" s="50"/>
      <c r="C59" s="51" t="s">
        <v>323</v>
      </c>
      <c r="D59" s="211">
        <v>0</v>
      </c>
      <c r="E59" s="211">
        <v>0</v>
      </c>
      <c r="F59" s="211">
        <v>0</v>
      </c>
      <c r="G59" s="212">
        <v>0</v>
      </c>
      <c r="H59" s="212">
        <v>0</v>
      </c>
      <c r="I59" s="212">
        <v>0</v>
      </c>
      <c r="J59" s="212">
        <v>0</v>
      </c>
      <c r="K59" s="212">
        <v>0</v>
      </c>
      <c r="L59" s="212">
        <v>29.148820000000001</v>
      </c>
      <c r="M59" s="131">
        <f t="shared" si="13"/>
        <v>29.148820000000001</v>
      </c>
      <c r="N59" s="199">
        <f t="shared" si="1"/>
        <v>1.8274925315229609E-4</v>
      </c>
      <c r="O59" s="126"/>
      <c r="P59" s="173"/>
      <c r="Q59" s="193">
        <f t="shared" si="2"/>
        <v>0</v>
      </c>
      <c r="R59" s="126"/>
      <c r="S59" s="131">
        <f t="shared" si="9"/>
        <v>29.148820000000001</v>
      </c>
      <c r="T59" s="199">
        <f t="shared" si="14"/>
        <v>1.8274925315229609E-4</v>
      </c>
      <c r="U59" s="397"/>
      <c r="V59" s="49">
        <v>0</v>
      </c>
      <c r="W59" s="49">
        <v>0</v>
      </c>
      <c r="X59" s="49">
        <v>0</v>
      </c>
      <c r="Y59" s="49">
        <f t="shared" si="15"/>
        <v>0</v>
      </c>
      <c r="Z59" s="443">
        <f t="shared" si="5"/>
        <v>9.7162733333333335</v>
      </c>
      <c r="AA59" s="49">
        <f t="shared" si="6"/>
        <v>-9.7162733333333335</v>
      </c>
      <c r="AB59" s="548">
        <v>-1</v>
      </c>
      <c r="AD59" s="49">
        <f t="shared" si="4"/>
        <v>29.148820000000001</v>
      </c>
      <c r="AE59" s="556"/>
      <c r="AF59" s="62"/>
    </row>
    <row r="60" spans="1:32" s="116" customFormat="1" ht="13" outlineLevel="1">
      <c r="A60" s="196"/>
      <c r="B60" s="53">
        <v>3201010055</v>
      </c>
      <c r="C60" s="51" t="s">
        <v>89</v>
      </c>
      <c r="D60" s="211">
        <v>0</v>
      </c>
      <c r="E60" s="213">
        <v>0</v>
      </c>
      <c r="F60" s="211">
        <v>0</v>
      </c>
      <c r="G60" s="212">
        <v>0</v>
      </c>
      <c r="H60" s="212">
        <v>4.6242999999999999</v>
      </c>
      <c r="I60" s="212">
        <v>0</v>
      </c>
      <c r="J60" s="212">
        <v>0</v>
      </c>
      <c r="K60" s="212">
        <v>6.8068800000000005</v>
      </c>
      <c r="L60" s="212">
        <v>0.46162999999999998</v>
      </c>
      <c r="M60" s="131">
        <f t="shared" si="13"/>
        <v>11.892810000000001</v>
      </c>
      <c r="N60" s="199">
        <f t="shared" si="1"/>
        <v>7.4562268571494791E-5</v>
      </c>
      <c r="O60" s="126"/>
      <c r="P60" s="173">
        <v>13.120800000000001</v>
      </c>
      <c r="Q60" s="193">
        <f t="shared" si="2"/>
        <v>1.026387991886303E-4</v>
      </c>
      <c r="R60" s="126"/>
      <c r="S60" s="131">
        <f t="shared" si="9"/>
        <v>-1.2279900000000001</v>
      </c>
      <c r="T60" s="199">
        <f t="shared" si="14"/>
        <v>-2.807653061713551E-5</v>
      </c>
      <c r="U60" s="397"/>
      <c r="V60" s="49">
        <v>0</v>
      </c>
      <c r="W60" s="49">
        <v>0.92583000000000004</v>
      </c>
      <c r="X60" s="49">
        <v>5.9950799999999997</v>
      </c>
      <c r="Y60" s="49">
        <f t="shared" si="15"/>
        <v>6.9209100000000001</v>
      </c>
      <c r="Z60" s="443">
        <f t="shared" si="5"/>
        <v>3.96427</v>
      </c>
      <c r="AA60" s="49">
        <f t="shared" si="6"/>
        <v>2.9566400000000002</v>
      </c>
      <c r="AB60" s="548">
        <f t="shared" si="16"/>
        <v>0.42720393705452031</v>
      </c>
      <c r="AD60" s="49">
        <f t="shared" si="4"/>
        <v>18.81372</v>
      </c>
      <c r="AE60" s="556"/>
      <c r="AF60" s="62"/>
    </row>
    <row r="61" spans="1:32" s="116" customFormat="1" ht="13" outlineLevel="1">
      <c r="A61" s="196"/>
      <c r="B61" s="50">
        <v>3201030030</v>
      </c>
      <c r="C61" s="51" t="s">
        <v>311</v>
      </c>
      <c r="D61" s="211">
        <v>0</v>
      </c>
      <c r="E61" s="211">
        <v>0</v>
      </c>
      <c r="F61" s="211">
        <v>0</v>
      </c>
      <c r="G61" s="212">
        <v>0</v>
      </c>
      <c r="H61" s="212">
        <v>0</v>
      </c>
      <c r="I61" s="212">
        <v>0</v>
      </c>
      <c r="J61" s="212">
        <v>0</v>
      </c>
      <c r="K61" s="212">
        <v>0</v>
      </c>
      <c r="L61" s="212">
        <v>7.9779499999999999</v>
      </c>
      <c r="M61" s="131">
        <f t="shared" si="13"/>
        <v>7.9779499999999999</v>
      </c>
      <c r="N61" s="199">
        <f t="shared" si="1"/>
        <v>5.0017956273576789E-5</v>
      </c>
      <c r="O61" s="126"/>
      <c r="P61" s="173"/>
      <c r="Q61" s="193">
        <f t="shared" si="2"/>
        <v>0</v>
      </c>
      <c r="R61" s="126"/>
      <c r="S61" s="131">
        <f t="shared" si="9"/>
        <v>7.9779499999999999</v>
      </c>
      <c r="T61" s="199">
        <f t="shared" si="14"/>
        <v>5.0017956273576789E-5</v>
      </c>
      <c r="U61" s="397"/>
      <c r="V61" s="49">
        <v>0</v>
      </c>
      <c r="W61" s="49">
        <v>0</v>
      </c>
      <c r="X61" s="49">
        <v>0</v>
      </c>
      <c r="Y61" s="49">
        <f t="shared" si="15"/>
        <v>0</v>
      </c>
      <c r="Z61" s="443">
        <f t="shared" si="5"/>
        <v>2.6593166666666668</v>
      </c>
      <c r="AA61" s="49">
        <f t="shared" si="6"/>
        <v>-2.6593166666666668</v>
      </c>
      <c r="AB61" s="548">
        <v>-1</v>
      </c>
      <c r="AD61" s="49">
        <f t="shared" si="4"/>
        <v>7.9779499999999999</v>
      </c>
      <c r="AE61" s="556"/>
      <c r="AF61" s="62"/>
    </row>
    <row r="62" spans="1:32" s="116" customFormat="1" ht="13" outlineLevel="1">
      <c r="A62" s="196"/>
      <c r="B62" s="50">
        <v>3201060020</v>
      </c>
      <c r="C62" s="51" t="s">
        <v>96</v>
      </c>
      <c r="D62" s="211">
        <v>0</v>
      </c>
      <c r="E62" s="211">
        <v>0</v>
      </c>
      <c r="F62" s="211">
        <v>1.165</v>
      </c>
      <c r="G62" s="212">
        <v>0</v>
      </c>
      <c r="H62" s="212">
        <v>3.7879999999999998</v>
      </c>
      <c r="I62" s="212">
        <v>1.1579999999999999</v>
      </c>
      <c r="J62" s="212">
        <v>0</v>
      </c>
      <c r="K62" s="212">
        <v>0</v>
      </c>
      <c r="L62" s="212">
        <v>0</v>
      </c>
      <c r="M62" s="131">
        <f t="shared" si="13"/>
        <v>6.1109999999999989</v>
      </c>
      <c r="N62" s="199">
        <f t="shared" si="1"/>
        <v>3.831306673867694E-5</v>
      </c>
      <c r="O62" s="126"/>
      <c r="P62" s="173">
        <v>1026.50299</v>
      </c>
      <c r="Q62" s="193">
        <f t="shared" si="2"/>
        <v>8.0299245668814835E-3</v>
      </c>
      <c r="R62" s="126"/>
      <c r="S62" s="131">
        <f t="shared" si="9"/>
        <v>-1020.39199</v>
      </c>
      <c r="T62" s="199">
        <f t="shared" si="14"/>
        <v>-7.9916115001428065E-3</v>
      </c>
      <c r="U62" s="397"/>
      <c r="V62" s="49">
        <v>0</v>
      </c>
      <c r="W62" s="49">
        <v>0</v>
      </c>
      <c r="X62" s="49">
        <v>63.310120000000005</v>
      </c>
      <c r="Y62" s="49">
        <f t="shared" si="15"/>
        <v>63.310120000000005</v>
      </c>
      <c r="Z62" s="443">
        <f t="shared" si="5"/>
        <v>2.0369999999999995</v>
      </c>
      <c r="AA62" s="49">
        <f t="shared" si="6"/>
        <v>61.273120000000006</v>
      </c>
      <c r="AB62" s="548">
        <f t="shared" si="16"/>
        <v>0.96782504913906342</v>
      </c>
      <c r="AD62" s="49">
        <f t="shared" si="4"/>
        <v>69.421120000000002</v>
      </c>
      <c r="AE62" s="556"/>
      <c r="AF62" s="62"/>
    </row>
    <row r="63" spans="1:32" s="116" customFormat="1" ht="13" outlineLevel="1">
      <c r="A63" s="196"/>
      <c r="B63" s="50">
        <v>3201030015</v>
      </c>
      <c r="C63" s="51" t="s">
        <v>91</v>
      </c>
      <c r="D63" s="211">
        <v>0</v>
      </c>
      <c r="E63" s="211">
        <v>0</v>
      </c>
      <c r="F63" s="211">
        <v>0</v>
      </c>
      <c r="G63" s="212">
        <v>0</v>
      </c>
      <c r="H63" s="212">
        <v>0</v>
      </c>
      <c r="I63" s="212">
        <v>0</v>
      </c>
      <c r="J63" s="212">
        <v>0</v>
      </c>
      <c r="K63" s="212">
        <v>0.46379999999999999</v>
      </c>
      <c r="L63" s="212">
        <v>2.0087299999999999</v>
      </c>
      <c r="M63" s="131">
        <f t="shared" si="13"/>
        <v>2.4725299999999999</v>
      </c>
      <c r="N63" s="199">
        <f t="shared" si="1"/>
        <v>1.550158843125199E-5</v>
      </c>
      <c r="O63" s="126"/>
      <c r="P63" s="173">
        <v>216.76531</v>
      </c>
      <c r="Q63" s="193">
        <f t="shared" si="2"/>
        <v>1.6956687949020786E-3</v>
      </c>
      <c r="R63" s="126"/>
      <c r="S63" s="131">
        <f t="shared" si="9"/>
        <v>-214.29277999999999</v>
      </c>
      <c r="T63" s="199">
        <f t="shared" si="14"/>
        <v>-1.6801672064708265E-3</v>
      </c>
      <c r="U63" s="397"/>
      <c r="V63" s="137">
        <v>0.48327999999999999</v>
      </c>
      <c r="W63" s="137">
        <v>0</v>
      </c>
      <c r="X63" s="137">
        <v>0</v>
      </c>
      <c r="Y63" s="137">
        <f t="shared" si="15"/>
        <v>0.48327999999999999</v>
      </c>
      <c r="Z63" s="443">
        <f t="shared" si="5"/>
        <v>0.82417666666666667</v>
      </c>
      <c r="AA63" s="137">
        <f t="shared" si="6"/>
        <v>-0.34089666666666668</v>
      </c>
      <c r="AB63" s="647">
        <f t="shared" si="16"/>
        <v>-0.70538128345196716</v>
      </c>
      <c r="AD63" s="137">
        <f t="shared" si="4"/>
        <v>2.95581</v>
      </c>
      <c r="AE63" s="556"/>
      <c r="AF63" s="131"/>
    </row>
    <row r="64" spans="1:32" s="116" customFormat="1" ht="13" outlineLevel="1">
      <c r="A64" s="196"/>
      <c r="B64" s="53">
        <v>3201010030</v>
      </c>
      <c r="C64" s="51" t="s">
        <v>88</v>
      </c>
      <c r="D64" s="211">
        <v>0</v>
      </c>
      <c r="E64" s="213">
        <v>0</v>
      </c>
      <c r="F64" s="211">
        <v>0</v>
      </c>
      <c r="G64" s="212">
        <v>0</v>
      </c>
      <c r="H64" s="212">
        <v>9.5230000000000009E-2</v>
      </c>
      <c r="I64" s="212">
        <v>1.4014800000000001</v>
      </c>
      <c r="J64" s="212">
        <v>0</v>
      </c>
      <c r="K64" s="212">
        <v>0</v>
      </c>
      <c r="L64" s="212">
        <v>0</v>
      </c>
      <c r="M64" s="131">
        <f t="shared" si="13"/>
        <v>1.49671</v>
      </c>
      <c r="N64" s="199">
        <f t="shared" si="1"/>
        <v>9.3836606313934176E-6</v>
      </c>
      <c r="O64" s="126"/>
      <c r="P64" s="131">
        <v>3.93228</v>
      </c>
      <c r="Q64" s="193">
        <f t="shared" si="2"/>
        <v>3.0760662251803787E-5</v>
      </c>
      <c r="R64" s="126"/>
      <c r="S64" s="131">
        <f t="shared" si="9"/>
        <v>-2.4355700000000002</v>
      </c>
      <c r="T64" s="199">
        <f t="shared" si="14"/>
        <v>-2.1377001620410371E-5</v>
      </c>
      <c r="U64" s="397"/>
      <c r="V64" s="49">
        <v>0</v>
      </c>
      <c r="W64" s="49">
        <v>0</v>
      </c>
      <c r="X64" s="49">
        <v>0</v>
      </c>
      <c r="Y64" s="49">
        <f t="shared" si="15"/>
        <v>0</v>
      </c>
      <c r="Z64" s="443">
        <f t="shared" si="5"/>
        <v>0.49890333333333337</v>
      </c>
      <c r="AA64" s="49">
        <f t="shared" si="6"/>
        <v>-0.49890333333333337</v>
      </c>
      <c r="AB64" s="548">
        <v>-1</v>
      </c>
      <c r="AD64" s="49">
        <f t="shared" si="4"/>
        <v>1.49671</v>
      </c>
      <c r="AE64" s="556"/>
      <c r="AF64" s="62"/>
    </row>
    <row r="65" spans="1:32" s="116" customFormat="1" ht="13" outlineLevel="1">
      <c r="A65" s="196" t="s">
        <v>307</v>
      </c>
      <c r="B65" s="53">
        <v>3201010020</v>
      </c>
      <c r="C65" s="51" t="s">
        <v>87</v>
      </c>
      <c r="D65" s="211">
        <v>0</v>
      </c>
      <c r="E65" s="213">
        <v>0</v>
      </c>
      <c r="F65" s="211">
        <v>0</v>
      </c>
      <c r="G65" s="212">
        <v>3.5E-4</v>
      </c>
      <c r="H65" s="212">
        <v>2.2000000000000001E-4</v>
      </c>
      <c r="I65" s="212">
        <v>0</v>
      </c>
      <c r="J65" s="212">
        <v>0</v>
      </c>
      <c r="K65" s="212">
        <v>0</v>
      </c>
      <c r="L65" s="212">
        <v>0</v>
      </c>
      <c r="M65" s="131">
        <f t="shared" si="13"/>
        <v>5.6999999999999998E-4</v>
      </c>
      <c r="N65" s="199">
        <f t="shared" si="1"/>
        <v>3.5736291999747767E-9</v>
      </c>
      <c r="O65" s="126"/>
      <c r="P65" s="131">
        <v>1.25234</v>
      </c>
      <c r="Q65" s="193">
        <f t="shared" si="2"/>
        <v>9.7965576623292217E-6</v>
      </c>
      <c r="R65" s="126"/>
      <c r="S65" s="131">
        <f t="shared" si="9"/>
        <v>-1.25177</v>
      </c>
      <c r="T65" s="199">
        <f t="shared" si="14"/>
        <v>-9.7929840331292463E-6</v>
      </c>
      <c r="U65" s="397"/>
      <c r="V65" s="49">
        <v>0.49532999999999999</v>
      </c>
      <c r="W65" s="49">
        <v>0</v>
      </c>
      <c r="X65" s="49">
        <v>5.5799999999999999E-3</v>
      </c>
      <c r="Y65" s="49">
        <f t="shared" si="15"/>
        <v>0.50090999999999997</v>
      </c>
      <c r="Z65" s="443">
        <f t="shared" si="5"/>
        <v>1.9000000000000001E-4</v>
      </c>
      <c r="AA65" s="49">
        <f t="shared" si="6"/>
        <v>0.50071999999999994</v>
      </c>
      <c r="AB65" s="548">
        <v>-1</v>
      </c>
      <c r="AD65" s="49">
        <f t="shared" si="4"/>
        <v>0.50147999999999993</v>
      </c>
      <c r="AE65" s="556"/>
      <c r="AF65" s="62"/>
    </row>
    <row r="66" spans="1:32" s="116" customFormat="1" ht="13" outlineLevel="1">
      <c r="A66" s="196" t="s">
        <v>307</v>
      </c>
      <c r="B66" s="50">
        <v>3201060015</v>
      </c>
      <c r="C66" s="51" t="s">
        <v>95</v>
      </c>
      <c r="D66" s="211">
        <v>0</v>
      </c>
      <c r="E66" s="211">
        <v>0</v>
      </c>
      <c r="F66" s="211">
        <v>0</v>
      </c>
      <c r="G66" s="212">
        <v>0</v>
      </c>
      <c r="H66" s="212">
        <v>0</v>
      </c>
      <c r="I66" s="212">
        <v>0</v>
      </c>
      <c r="J66" s="212">
        <v>0</v>
      </c>
      <c r="K66" s="212">
        <v>0</v>
      </c>
      <c r="L66" s="212">
        <v>0</v>
      </c>
      <c r="M66" s="131">
        <f t="shared" si="13"/>
        <v>0</v>
      </c>
      <c r="N66" s="199">
        <f t="shared" si="1"/>
        <v>0</v>
      </c>
      <c r="O66" s="126"/>
      <c r="P66" s="173">
        <v>2.3411200000000001</v>
      </c>
      <c r="Q66" s="193">
        <f t="shared" si="2"/>
        <v>1.8313650505798898E-5</v>
      </c>
      <c r="R66" s="126"/>
      <c r="S66" s="131">
        <f t="shared" si="9"/>
        <v>-2.3411200000000001</v>
      </c>
      <c r="T66" s="199">
        <f t="shared" si="14"/>
        <v>-1.8313650505798898E-5</v>
      </c>
      <c r="U66" s="397"/>
      <c r="V66" s="49">
        <v>0</v>
      </c>
      <c r="W66" s="49">
        <v>0</v>
      </c>
      <c r="X66" s="49">
        <v>0</v>
      </c>
      <c r="Y66" s="49">
        <f t="shared" si="15"/>
        <v>0</v>
      </c>
      <c r="Z66" s="443">
        <f t="shared" si="5"/>
        <v>0</v>
      </c>
      <c r="AA66" s="49">
        <f t="shared" si="6"/>
        <v>0</v>
      </c>
      <c r="AB66" s="548">
        <v>0</v>
      </c>
      <c r="AD66" s="49">
        <f t="shared" si="4"/>
        <v>0</v>
      </c>
      <c r="AE66" s="556"/>
      <c r="AF66" s="62"/>
    </row>
    <row r="67" spans="1:32" s="116" customFormat="1" ht="13" outlineLevel="1">
      <c r="A67" s="196" t="s">
        <v>307</v>
      </c>
      <c r="B67" s="50">
        <v>3201070035</v>
      </c>
      <c r="C67" s="51" t="s">
        <v>312</v>
      </c>
      <c r="D67" s="211">
        <v>0</v>
      </c>
      <c r="E67" s="211">
        <v>0</v>
      </c>
      <c r="F67" s="211">
        <v>0</v>
      </c>
      <c r="G67" s="212">
        <v>0</v>
      </c>
      <c r="H67" s="212">
        <v>0</v>
      </c>
      <c r="I67" s="212">
        <v>0</v>
      </c>
      <c r="J67" s="212">
        <v>0</v>
      </c>
      <c r="K67" s="212">
        <v>0</v>
      </c>
      <c r="L67" s="212">
        <v>0</v>
      </c>
      <c r="M67" s="131">
        <f t="shared" si="13"/>
        <v>0</v>
      </c>
      <c r="N67" s="199">
        <f t="shared" si="1"/>
        <v>0</v>
      </c>
      <c r="O67" s="126"/>
      <c r="P67" s="173"/>
      <c r="Q67" s="193">
        <f t="shared" si="2"/>
        <v>0</v>
      </c>
      <c r="R67" s="126"/>
      <c r="S67" s="131">
        <f t="shared" si="9"/>
        <v>0</v>
      </c>
      <c r="T67" s="199">
        <f t="shared" si="14"/>
        <v>0</v>
      </c>
      <c r="U67" s="397"/>
      <c r="V67" s="49">
        <v>0</v>
      </c>
      <c r="W67" s="49">
        <v>0</v>
      </c>
      <c r="X67" s="49">
        <v>0</v>
      </c>
      <c r="Y67" s="49">
        <f t="shared" si="15"/>
        <v>0</v>
      </c>
      <c r="Z67" s="443">
        <f t="shared" si="5"/>
        <v>0</v>
      </c>
      <c r="AA67" s="49">
        <f t="shared" si="6"/>
        <v>0</v>
      </c>
      <c r="AB67" s="548">
        <v>0</v>
      </c>
      <c r="AD67" s="49">
        <f t="shared" si="4"/>
        <v>0</v>
      </c>
      <c r="AE67" s="556"/>
      <c r="AF67" s="62"/>
    </row>
    <row r="68" spans="1:32" s="116" customFormat="1" ht="13" outlineLevel="1">
      <c r="A68" s="196"/>
      <c r="B68" s="50">
        <v>3299000608</v>
      </c>
      <c r="C68" s="51" t="s">
        <v>324</v>
      </c>
      <c r="D68" s="211">
        <v>0</v>
      </c>
      <c r="E68" s="211">
        <v>0</v>
      </c>
      <c r="F68" s="211">
        <v>0</v>
      </c>
      <c r="G68" s="212">
        <v>0</v>
      </c>
      <c r="H68" s="212">
        <v>0</v>
      </c>
      <c r="I68" s="212">
        <v>0</v>
      </c>
      <c r="J68" s="212">
        <v>-0.88983000000000001</v>
      </c>
      <c r="K68" s="212">
        <v>0</v>
      </c>
      <c r="L68" s="212">
        <v>0</v>
      </c>
      <c r="M68" s="131">
        <f t="shared" si="13"/>
        <v>-0.88983000000000001</v>
      </c>
      <c r="N68" s="199">
        <f t="shared" si="1"/>
        <v>-5.5788113526553608E-6</v>
      </c>
      <c r="O68" s="126"/>
      <c r="P68" s="173">
        <v>0</v>
      </c>
      <c r="Q68" s="193">
        <f t="shared" si="2"/>
        <v>0</v>
      </c>
      <c r="R68" s="126"/>
      <c r="S68" s="131">
        <f t="shared" si="9"/>
        <v>-0.88983000000000001</v>
      </c>
      <c r="T68" s="199">
        <f t="shared" si="14"/>
        <v>-5.5788113526553608E-6</v>
      </c>
      <c r="U68" s="397"/>
      <c r="V68" s="49">
        <v>0</v>
      </c>
      <c r="W68" s="49">
        <v>0</v>
      </c>
      <c r="X68" s="49">
        <v>0</v>
      </c>
      <c r="Y68" s="49">
        <f t="shared" si="15"/>
        <v>0</v>
      </c>
      <c r="Z68" s="443">
        <f t="shared" si="5"/>
        <v>-0.29660999999999998</v>
      </c>
      <c r="AA68" s="49">
        <f t="shared" si="6"/>
        <v>0.29660999999999998</v>
      </c>
      <c r="AB68" s="548">
        <v>1</v>
      </c>
      <c r="AD68" s="49">
        <f t="shared" si="4"/>
        <v>-0.88983000000000001</v>
      </c>
      <c r="AE68" s="556"/>
      <c r="AF68" s="62"/>
    </row>
    <row r="69" spans="1:32" s="116" customFormat="1" ht="13" outlineLevel="1">
      <c r="A69" s="196"/>
      <c r="B69" s="50">
        <v>3299000060</v>
      </c>
      <c r="C69" s="51" t="s">
        <v>325</v>
      </c>
      <c r="D69" s="211">
        <v>0</v>
      </c>
      <c r="E69" s="211">
        <v>0</v>
      </c>
      <c r="F69" s="211">
        <v>0</v>
      </c>
      <c r="G69" s="212">
        <v>0</v>
      </c>
      <c r="H69" s="212">
        <v>0</v>
      </c>
      <c r="I69" s="212">
        <v>0</v>
      </c>
      <c r="J69" s="212">
        <v>-13.17008</v>
      </c>
      <c r="K69" s="212">
        <v>0</v>
      </c>
      <c r="L69" s="212">
        <v>0</v>
      </c>
      <c r="M69" s="131">
        <f t="shared" si="13"/>
        <v>-13.17008</v>
      </c>
      <c r="N69" s="199">
        <f t="shared" si="1"/>
        <v>-8.2570144656147037E-5</v>
      </c>
      <c r="O69" s="126"/>
      <c r="P69" s="173">
        <v>0</v>
      </c>
      <c r="Q69" s="193">
        <f t="shared" si="2"/>
        <v>0</v>
      </c>
      <c r="R69" s="126"/>
      <c r="S69" s="131">
        <f t="shared" si="9"/>
        <v>-13.17008</v>
      </c>
      <c r="T69" s="199">
        <f t="shared" si="14"/>
        <v>-8.2570144656147037E-5</v>
      </c>
      <c r="U69" s="397"/>
      <c r="V69" s="49">
        <v>0</v>
      </c>
      <c r="W69" s="49">
        <v>0</v>
      </c>
      <c r="X69" s="49">
        <v>0</v>
      </c>
      <c r="Y69" s="49">
        <f t="shared" si="15"/>
        <v>0</v>
      </c>
      <c r="Z69" s="443">
        <f t="shared" si="5"/>
        <v>-4.3900266666666674</v>
      </c>
      <c r="AA69" s="49">
        <f t="shared" si="6"/>
        <v>4.3900266666666674</v>
      </c>
      <c r="AB69" s="548">
        <v>1</v>
      </c>
      <c r="AD69" s="49">
        <f t="shared" si="4"/>
        <v>-13.17008</v>
      </c>
      <c r="AE69" s="556"/>
      <c r="AF69" s="62"/>
    </row>
    <row r="70" spans="1:32" s="116" customFormat="1" ht="13" outlineLevel="1">
      <c r="A70" s="196"/>
      <c r="B70" s="50">
        <v>3299000003</v>
      </c>
      <c r="C70" s="51" t="s">
        <v>103</v>
      </c>
      <c r="D70" s="211">
        <v>0</v>
      </c>
      <c r="E70" s="211">
        <v>0</v>
      </c>
      <c r="F70" s="211">
        <v>0</v>
      </c>
      <c r="G70" s="212">
        <v>0</v>
      </c>
      <c r="H70" s="212">
        <v>0</v>
      </c>
      <c r="I70" s="212">
        <v>-18.850000000000001</v>
      </c>
      <c r="J70" s="212">
        <v>0</v>
      </c>
      <c r="K70" s="212">
        <v>0</v>
      </c>
      <c r="L70" s="212">
        <v>0</v>
      </c>
      <c r="M70" s="131">
        <f t="shared" si="13"/>
        <v>-18.850000000000001</v>
      </c>
      <c r="N70" s="199">
        <f t="shared" si="1"/>
        <v>-1.181805445956571E-4</v>
      </c>
      <c r="O70" s="126"/>
      <c r="P70" s="59">
        <v>-27.519930000000002</v>
      </c>
      <c r="Q70" s="193">
        <f t="shared" si="2"/>
        <v>-2.1527746547124891E-4</v>
      </c>
      <c r="R70" s="319"/>
      <c r="S70" s="131">
        <f t="shared" si="9"/>
        <v>8.6699300000000008</v>
      </c>
      <c r="T70" s="199">
        <f t="shared" si="14"/>
        <v>9.7096920875591812E-5</v>
      </c>
      <c r="U70" s="397"/>
      <c r="V70" s="49">
        <v>0</v>
      </c>
      <c r="W70" s="49">
        <v>0</v>
      </c>
      <c r="X70" s="49">
        <v>0</v>
      </c>
      <c r="Y70" s="49">
        <f t="shared" si="15"/>
        <v>0</v>
      </c>
      <c r="Z70" s="443">
        <f t="shared" si="5"/>
        <v>-6.2833333333333332</v>
      </c>
      <c r="AA70" s="49">
        <f t="shared" si="6"/>
        <v>6.2833333333333332</v>
      </c>
      <c r="AB70" s="548">
        <v>1</v>
      </c>
      <c r="AD70" s="49">
        <f t="shared" si="4"/>
        <v>-18.850000000000001</v>
      </c>
      <c r="AE70" s="556"/>
      <c r="AF70" s="62"/>
    </row>
    <row r="71" spans="1:32" s="116" customFormat="1" ht="13" outlineLevel="1">
      <c r="A71" s="196"/>
      <c r="B71" s="50">
        <v>3299000062</v>
      </c>
      <c r="C71" s="51" t="s">
        <v>326</v>
      </c>
      <c r="D71" s="211">
        <v>0</v>
      </c>
      <c r="E71" s="211">
        <v>0</v>
      </c>
      <c r="F71" s="211">
        <v>0</v>
      </c>
      <c r="G71" s="212">
        <v>0</v>
      </c>
      <c r="H71" s="212">
        <v>0</v>
      </c>
      <c r="I71" s="212">
        <v>-69.072550000000007</v>
      </c>
      <c r="J71" s="212">
        <v>0</v>
      </c>
      <c r="K71" s="212">
        <v>0</v>
      </c>
      <c r="L71" s="212">
        <v>0</v>
      </c>
      <c r="M71" s="131">
        <f t="shared" si="13"/>
        <v>-69.072550000000007</v>
      </c>
      <c r="N71" s="199">
        <f t="shared" si="1"/>
        <v>-4.3305207297669789E-4</v>
      </c>
      <c r="O71" s="126"/>
      <c r="P71" s="173"/>
      <c r="Q71" s="193">
        <f t="shared" si="2"/>
        <v>0</v>
      </c>
      <c r="R71" s="126"/>
      <c r="S71" s="131">
        <f t="shared" si="9"/>
        <v>-69.072550000000007</v>
      </c>
      <c r="T71" s="199">
        <f t="shared" si="14"/>
        <v>-4.3305207297669789E-4</v>
      </c>
      <c r="U71" s="397"/>
      <c r="V71" s="49">
        <v>0</v>
      </c>
      <c r="W71" s="49">
        <v>0</v>
      </c>
      <c r="X71" s="49">
        <v>0</v>
      </c>
      <c r="Y71" s="49">
        <f t="shared" si="15"/>
        <v>0</v>
      </c>
      <c r="Z71" s="443">
        <f t="shared" si="5"/>
        <v>-23.024183333333337</v>
      </c>
      <c r="AA71" s="49">
        <f t="shared" si="6"/>
        <v>23.024183333333337</v>
      </c>
      <c r="AB71" s="548">
        <v>1</v>
      </c>
      <c r="AD71" s="49">
        <f t="shared" si="4"/>
        <v>-69.072550000000007</v>
      </c>
      <c r="AE71" s="556"/>
      <c r="AF71" s="62"/>
    </row>
    <row r="72" spans="1:32" s="116" customFormat="1" ht="13" outlineLevel="1">
      <c r="A72" s="196"/>
      <c r="B72" s="50">
        <v>3299000037</v>
      </c>
      <c r="C72" s="51" t="s">
        <v>104</v>
      </c>
      <c r="D72" s="211">
        <v>-5.7560500000000001</v>
      </c>
      <c r="E72" s="211">
        <v>-9.6390200000000004</v>
      </c>
      <c r="F72" s="211">
        <v>0</v>
      </c>
      <c r="G72" s="212">
        <v>0</v>
      </c>
      <c r="H72" s="212">
        <v>0</v>
      </c>
      <c r="I72" s="212">
        <v>-308.19666999999998</v>
      </c>
      <c r="J72" s="212">
        <v>0</v>
      </c>
      <c r="K72" s="212">
        <v>-31.460129999999999</v>
      </c>
      <c r="L72" s="212">
        <v>-102.6348</v>
      </c>
      <c r="M72" s="131">
        <f t="shared" si="13"/>
        <v>-457.68666999999994</v>
      </c>
      <c r="N72" s="199">
        <f t="shared" si="1"/>
        <v>-2.8694779795635427E-3</v>
      </c>
      <c r="O72" s="126"/>
      <c r="P72" s="131">
        <v>-216.44257999999999</v>
      </c>
      <c r="Q72" s="193">
        <f t="shared" si="2"/>
        <v>-1.6931442064880987E-3</v>
      </c>
      <c r="R72" s="126"/>
      <c r="S72" s="131">
        <f t="shared" si="9"/>
        <v>-241.24408999999994</v>
      </c>
      <c r="T72" s="199">
        <f t="shared" si="14"/>
        <v>-1.176333773075444E-3</v>
      </c>
      <c r="U72" s="397"/>
      <c r="V72" s="49">
        <v>-34.878699999999995</v>
      </c>
      <c r="W72" s="49">
        <v>0</v>
      </c>
      <c r="X72" s="49">
        <v>0</v>
      </c>
      <c r="Y72" s="49">
        <f t="shared" si="15"/>
        <v>-34.878699999999995</v>
      </c>
      <c r="Z72" s="443">
        <f t="shared" si="5"/>
        <v>-152.56222333333329</v>
      </c>
      <c r="AA72" s="49">
        <f t="shared" si="6"/>
        <v>117.6835233333333</v>
      </c>
      <c r="AB72" s="548">
        <f t="shared" si="16"/>
        <v>-3.3740799781337412</v>
      </c>
      <c r="AD72" s="49">
        <f t="shared" si="4"/>
        <v>-492.56536999999992</v>
      </c>
      <c r="AE72" s="556"/>
      <c r="AF72" s="62"/>
    </row>
    <row r="73" spans="1:32" s="109" customFormat="1" ht="13">
      <c r="A73" s="196"/>
      <c r="B73" s="549"/>
      <c r="C73" s="200" t="s">
        <v>105</v>
      </c>
      <c r="D73" s="214">
        <f>SUM(D49:D72)</f>
        <v>8020.2470800000001</v>
      </c>
      <c r="E73" s="214">
        <f t="shared" ref="E73:L73" si="17">SUM(E49:E72)</f>
        <v>6857.3546699999997</v>
      </c>
      <c r="F73" s="214">
        <f t="shared" si="17"/>
        <v>8038.079490000001</v>
      </c>
      <c r="G73" s="214">
        <f t="shared" si="17"/>
        <v>9371.8999000000022</v>
      </c>
      <c r="H73" s="214">
        <f t="shared" si="17"/>
        <v>13184.82014</v>
      </c>
      <c r="I73" s="214">
        <f t="shared" si="17"/>
        <v>17112.612169999997</v>
      </c>
      <c r="J73" s="214">
        <f t="shared" si="17"/>
        <v>15262.576050000001</v>
      </c>
      <c r="K73" s="214">
        <f t="shared" si="17"/>
        <v>15529.828039999997</v>
      </c>
      <c r="L73" s="214">
        <f t="shared" si="17"/>
        <v>27615.618590000002</v>
      </c>
      <c r="M73" s="198">
        <f t="shared" si="8"/>
        <v>120993.03612999999</v>
      </c>
      <c r="N73" s="550">
        <f t="shared" si="1"/>
        <v>0.75856885422415987</v>
      </c>
      <c r="O73" s="58"/>
      <c r="P73" s="214">
        <f t="shared" ref="P73" si="18">SUM(P49:P72)</f>
        <v>92300.961100000015</v>
      </c>
      <c r="Q73" s="551">
        <f t="shared" si="2"/>
        <v>0.7220337030714955</v>
      </c>
      <c r="R73" s="58"/>
      <c r="S73" s="198">
        <f t="shared" ref="S73:S76" si="19">M73-P73</f>
        <v>28692.075029999978</v>
      </c>
      <c r="T73" s="550">
        <f t="shared" si="10"/>
        <v>3.6535151152664369E-2</v>
      </c>
      <c r="U73" s="552"/>
      <c r="V73" s="401">
        <f>SUM(V49:V72)</f>
        <v>17156.96932</v>
      </c>
      <c r="W73" s="401">
        <f t="shared" ref="W73:X73" si="20">SUM(W49:W72)</f>
        <v>20777.071319999999</v>
      </c>
      <c r="X73" s="401">
        <f t="shared" si="20"/>
        <v>32883.349060000008</v>
      </c>
      <c r="Y73" s="401">
        <f t="shared" si="12"/>
        <v>70817.3897</v>
      </c>
      <c r="Z73" s="555">
        <f t="shared" si="5"/>
        <v>40331.012043333336</v>
      </c>
      <c r="AA73" s="401">
        <f t="shared" si="6"/>
        <v>30486.377656666664</v>
      </c>
      <c r="AB73" s="553">
        <f t="shared" si="16"/>
        <v>0.4304928180184911</v>
      </c>
      <c r="AD73" s="401">
        <f t="shared" si="4"/>
        <v>191810.42582999999</v>
      </c>
      <c r="AE73" s="557"/>
      <c r="AF73" s="198"/>
    </row>
    <row r="74" spans="1:32" ht="13" outlineLevel="1">
      <c r="A74" s="196" t="s">
        <v>307</v>
      </c>
      <c r="B74" s="50">
        <v>3201040040</v>
      </c>
      <c r="C74" s="51" t="s">
        <v>112</v>
      </c>
      <c r="D74" s="211">
        <v>2547.2943500000001</v>
      </c>
      <c r="E74" s="211">
        <v>2339.4204500000001</v>
      </c>
      <c r="F74" s="211">
        <v>2214.3535899999997</v>
      </c>
      <c r="G74" s="212">
        <v>2025.36672</v>
      </c>
      <c r="H74" s="212">
        <v>2175.2194900000004</v>
      </c>
      <c r="I74" s="212">
        <v>2259.96702</v>
      </c>
      <c r="J74" s="212">
        <v>2656.6642900000002</v>
      </c>
      <c r="K74" s="212">
        <v>2680.5528300000001</v>
      </c>
      <c r="L74" s="212">
        <v>2497.1519699999999</v>
      </c>
      <c r="M74" s="62">
        <f>SUM(D74:L74)</f>
        <v>21395.990709999998</v>
      </c>
      <c r="N74" s="197">
        <f t="shared" si="1"/>
        <v>0.13414269677832466</v>
      </c>
      <c r="O74" s="135"/>
      <c r="P74" s="62">
        <v>18507.428459999999</v>
      </c>
      <c r="Q74" s="193">
        <f t="shared" si="2"/>
        <v>0.14477625093011715</v>
      </c>
      <c r="R74" s="58"/>
      <c r="S74" s="62">
        <f>M74-P74</f>
        <v>2888.562249999999</v>
      </c>
      <c r="T74" s="197">
        <f>N74-Q74</f>
        <v>-1.0633554151792485E-2</v>
      </c>
      <c r="U74" s="397"/>
      <c r="V74" s="49">
        <v>2869.5622400000002</v>
      </c>
      <c r="W74" s="49">
        <v>3081.0602000000003</v>
      </c>
      <c r="X74" s="49">
        <v>3183.8701999999998</v>
      </c>
      <c r="Y74" s="49">
        <f>SUM(V74:X74)</f>
        <v>9134.4926400000004</v>
      </c>
      <c r="Z74" s="443">
        <f t="shared" si="5"/>
        <v>7131.9969033333327</v>
      </c>
      <c r="AA74" s="49">
        <f t="shared" si="6"/>
        <v>2002.4957366666677</v>
      </c>
      <c r="AB74" s="548">
        <f t="shared" si="16"/>
        <v>0.21922353168228811</v>
      </c>
      <c r="AD74" s="49">
        <f t="shared" si="4"/>
        <v>30530.483349999999</v>
      </c>
      <c r="AE74" s="556"/>
      <c r="AF74" s="62"/>
    </row>
    <row r="75" spans="1:32" ht="13" outlineLevel="1">
      <c r="A75" s="196" t="s">
        <v>307</v>
      </c>
      <c r="B75" s="50">
        <v>3201040030</v>
      </c>
      <c r="C75" s="51" t="s">
        <v>113</v>
      </c>
      <c r="D75" s="211">
        <v>45.025289999999998</v>
      </c>
      <c r="E75" s="211">
        <v>67.160339999999991</v>
      </c>
      <c r="F75" s="211">
        <v>91.157330000000002</v>
      </c>
      <c r="G75" s="212">
        <v>85.66443000000001</v>
      </c>
      <c r="H75" s="212">
        <v>82.527709999999985</v>
      </c>
      <c r="I75" s="212">
        <v>72.832459999999998</v>
      </c>
      <c r="J75" s="212">
        <v>87.073459999999997</v>
      </c>
      <c r="K75" s="212">
        <v>87.695400000000006</v>
      </c>
      <c r="L75" s="212">
        <v>92.585929999999991</v>
      </c>
      <c r="M75" s="62">
        <f>SUM(D75:L75)</f>
        <v>711.72234999999978</v>
      </c>
      <c r="N75" s="197">
        <f t="shared" si="1"/>
        <v>4.4621610039204691E-3</v>
      </c>
      <c r="O75" s="135"/>
      <c r="P75" s="62">
        <v>654.0466899999999</v>
      </c>
      <c r="Q75" s="193">
        <f t="shared" si="2"/>
        <v>5.1163470882033346E-3</v>
      </c>
      <c r="R75" s="58"/>
      <c r="S75" s="62">
        <f>M75-P75</f>
        <v>57.67565999999988</v>
      </c>
      <c r="T75" s="197">
        <f>N75-Q75</f>
        <v>-6.5418608428286559E-4</v>
      </c>
      <c r="U75" s="397"/>
      <c r="V75" s="49">
        <v>86.565079999999995</v>
      </c>
      <c r="W75" s="49">
        <v>61.134939999999993</v>
      </c>
      <c r="X75" s="49">
        <v>84.466540000000009</v>
      </c>
      <c r="Y75" s="49">
        <f>SUM(V75:X75)</f>
        <v>232.16656</v>
      </c>
      <c r="Z75" s="443">
        <f t="shared" si="5"/>
        <v>237.24078333333324</v>
      </c>
      <c r="AA75" s="49">
        <f t="shared" si="6"/>
        <v>-5.0742233333332365</v>
      </c>
      <c r="AB75" s="548">
        <f t="shared" si="16"/>
        <v>-2.1855961225997561E-2</v>
      </c>
      <c r="AD75" s="49">
        <f t="shared" si="4"/>
        <v>943.88890999999978</v>
      </c>
      <c r="AE75" s="556"/>
      <c r="AF75" s="62"/>
    </row>
    <row r="76" spans="1:32" s="109" customFormat="1" ht="13">
      <c r="A76" s="196"/>
      <c r="B76" s="549"/>
      <c r="C76" s="200" t="s">
        <v>114</v>
      </c>
      <c r="D76" s="214">
        <f>SUM(D74:D75)</f>
        <v>2592.3196400000002</v>
      </c>
      <c r="E76" s="214">
        <f t="shared" ref="E76:L76" si="21">SUM(E74:E75)</f>
        <v>2406.58079</v>
      </c>
      <c r="F76" s="214">
        <f t="shared" si="21"/>
        <v>2305.5109199999997</v>
      </c>
      <c r="G76" s="214">
        <f t="shared" si="21"/>
        <v>2111.0311499999998</v>
      </c>
      <c r="H76" s="214">
        <f t="shared" si="21"/>
        <v>2257.7472000000002</v>
      </c>
      <c r="I76" s="214">
        <f t="shared" si="21"/>
        <v>2332.7994800000001</v>
      </c>
      <c r="J76" s="214">
        <f t="shared" si="21"/>
        <v>2743.7377500000002</v>
      </c>
      <c r="K76" s="214">
        <f t="shared" si="21"/>
        <v>2768.2482300000001</v>
      </c>
      <c r="L76" s="214">
        <f t="shared" si="21"/>
        <v>2589.7379000000001</v>
      </c>
      <c r="M76" s="494">
        <f t="shared" si="8"/>
        <v>22107.713059999998</v>
      </c>
      <c r="N76" s="550">
        <f t="shared" si="1"/>
        <v>0.13860485778224513</v>
      </c>
      <c r="O76" s="58"/>
      <c r="P76" s="214">
        <f t="shared" ref="P76" si="22">SUM(P74:P75)</f>
        <v>19161.475149999998</v>
      </c>
      <c r="Q76" s="551">
        <f t="shared" si="2"/>
        <v>0.14989259801832047</v>
      </c>
      <c r="R76" s="58"/>
      <c r="S76" s="494">
        <f t="shared" si="19"/>
        <v>2946.2379099999998</v>
      </c>
      <c r="T76" s="554">
        <f t="shared" si="10"/>
        <v>-1.1287740236075344E-2</v>
      </c>
      <c r="U76" s="552"/>
      <c r="V76" s="214">
        <f t="shared" ref="V76:X76" si="23">SUM(V74:V75)</f>
        <v>2956.1273200000001</v>
      </c>
      <c r="W76" s="214">
        <f t="shared" si="23"/>
        <v>3142.1951400000003</v>
      </c>
      <c r="X76" s="214">
        <f t="shared" si="23"/>
        <v>3268.3367399999997</v>
      </c>
      <c r="Y76" s="401">
        <f t="shared" si="12"/>
        <v>9366.6592000000001</v>
      </c>
      <c r="Z76" s="555">
        <f t="shared" si="5"/>
        <v>7369.2376866666655</v>
      </c>
      <c r="AA76" s="401">
        <f t="shared" si="6"/>
        <v>1997.4215133333346</v>
      </c>
      <c r="AB76" s="553">
        <f t="shared" si="16"/>
        <v>0.21324801838987956</v>
      </c>
      <c r="AD76" s="401">
        <f t="shared" si="4"/>
        <v>31474.372259999996</v>
      </c>
      <c r="AE76" s="557"/>
      <c r="AF76" s="198"/>
    </row>
    <row r="77" spans="1:32" ht="13">
      <c r="B77" s="202"/>
      <c r="C77" s="202" t="s">
        <v>358</v>
      </c>
      <c r="D77" s="203">
        <f t="shared" ref="D77:L77" si="24">D76+D73+D48</f>
        <v>13723.811680000001</v>
      </c>
      <c r="E77" s="203">
        <f t="shared" si="24"/>
        <v>11878.08567</v>
      </c>
      <c r="F77" s="203">
        <f t="shared" si="24"/>
        <v>13089.2551</v>
      </c>
      <c r="G77" s="203">
        <f t="shared" si="24"/>
        <v>13562.983790000002</v>
      </c>
      <c r="H77" s="203">
        <f t="shared" si="24"/>
        <v>17124.801719999999</v>
      </c>
      <c r="I77" s="203">
        <f t="shared" si="24"/>
        <v>20873.815939999997</v>
      </c>
      <c r="J77" s="203">
        <f t="shared" si="24"/>
        <v>18888.661350000002</v>
      </c>
      <c r="K77" s="203">
        <f t="shared" si="24"/>
        <v>19271.648999999998</v>
      </c>
      <c r="L77" s="203">
        <f t="shared" si="24"/>
        <v>31088.654620000001</v>
      </c>
      <c r="M77" s="203">
        <f t="shared" si="8"/>
        <v>159501.71887000004</v>
      </c>
      <c r="N77" s="305">
        <f t="shared" si="1"/>
        <v>1</v>
      </c>
      <c r="O77" s="135"/>
      <c r="P77" s="203">
        <f>P76+P73+P48</f>
        <v>127834.69900000002</v>
      </c>
      <c r="Q77" s="305">
        <f>M77/$M$77</f>
        <v>1</v>
      </c>
      <c r="R77" s="135"/>
      <c r="S77" s="494">
        <f>M77-P77</f>
        <v>31667.019870000018</v>
      </c>
      <c r="T77" s="201">
        <f t="shared" si="10"/>
        <v>0</v>
      </c>
      <c r="U77" s="195" t="str">
        <f>IF(AND(ABS(S77)&gt;$F$5,ABS(T77)&gt;5%),"анализировать","несущ")</f>
        <v>несущ</v>
      </c>
      <c r="V77" s="466">
        <f>V73+V48+V76</f>
        <v>21740.390930000001</v>
      </c>
      <c r="W77" s="466">
        <f t="shared" ref="W77:X77" si="25">W73+W48+W76</f>
        <v>26827.08584</v>
      </c>
      <c r="X77" s="466">
        <f t="shared" si="25"/>
        <v>39267.81945000001</v>
      </c>
      <c r="Y77" s="466">
        <f>SUM(V77:X77)</f>
        <v>87835.296220000018</v>
      </c>
      <c r="Z77" s="669">
        <f>M77/9*3</f>
        <v>53167.239623333349</v>
      </c>
      <c r="AA77" s="466">
        <f>Y77-Z77</f>
        <v>34668.056596666669</v>
      </c>
      <c r="AB77" s="614">
        <f>AA77/Y77</f>
        <v>0.39469391108824864</v>
      </c>
      <c r="AD77" s="466">
        <f>Y77+M77</f>
        <v>247337.01509000006</v>
      </c>
      <c r="AE77" s="557"/>
      <c r="AF77" s="198"/>
    </row>
    <row r="78" spans="1:32" ht="14.5">
      <c r="A78"/>
      <c r="C78" s="58"/>
      <c r="D78" s="49"/>
      <c r="E78" s="198"/>
      <c r="F78" s="198"/>
      <c r="G78" s="198"/>
      <c r="H78" s="198"/>
      <c r="I78" s="198"/>
      <c r="J78" s="198"/>
      <c r="K78" s="198"/>
      <c r="L78" s="204" t="s">
        <v>359</v>
      </c>
      <c r="M78" s="59">
        <v>151788</v>
      </c>
      <c r="N78" s="205" t="s">
        <v>282</v>
      </c>
      <c r="X78" s="204"/>
      <c r="Y78" s="204"/>
      <c r="Z78" s="204"/>
      <c r="AA78" s="204"/>
      <c r="AB78" s="204"/>
      <c r="AC78" s="204" t="s">
        <v>359</v>
      </c>
      <c r="AD78" s="98">
        <v>231105</v>
      </c>
      <c r="AE78" s="609" t="s">
        <v>282</v>
      </c>
    </row>
    <row r="79" spans="1:32" ht="13">
      <c r="B79" s="489" t="s">
        <v>549</v>
      </c>
      <c r="C79" s="206"/>
      <c r="E79" s="207"/>
      <c r="F79" s="207"/>
      <c r="G79" s="207"/>
      <c r="H79" s="207"/>
      <c r="I79" s="207"/>
      <c r="J79" s="207"/>
      <c r="K79" s="207"/>
      <c r="L79" s="208" t="s">
        <v>27</v>
      </c>
      <c r="M79" s="49">
        <f>M78-M77</f>
        <v>-7713.7188700000406</v>
      </c>
      <c r="N79" s="60" t="s">
        <v>11</v>
      </c>
      <c r="X79" s="208"/>
      <c r="Y79" s="208"/>
      <c r="Z79" s="208"/>
      <c r="AA79" s="208"/>
      <c r="AB79" s="208"/>
      <c r="AC79" s="208" t="s">
        <v>27</v>
      </c>
      <c r="AD79" s="137">
        <f>AD78-AD77</f>
        <v>-16232.015090000059</v>
      </c>
      <c r="AE79" s="124" t="s">
        <v>11</v>
      </c>
    </row>
    <row r="80" spans="1:32" ht="13">
      <c r="B80" s="730"/>
      <c r="C80" s="731" t="s">
        <v>277</v>
      </c>
      <c r="D80" s="732" t="s">
        <v>550</v>
      </c>
      <c r="E80" s="207"/>
      <c r="F80" s="207"/>
      <c r="G80" s="207"/>
      <c r="H80" s="207"/>
      <c r="I80" s="207"/>
      <c r="J80" s="207"/>
      <c r="K80" s="207"/>
      <c r="L80" s="208"/>
      <c r="M80" s="49"/>
      <c r="N80" s="60"/>
    </row>
    <row r="81" spans="2:14" ht="13">
      <c r="B81" s="736" t="s">
        <v>544</v>
      </c>
      <c r="C81" s="733">
        <f>SUMIFS(M45:M76,A45:A76,D81)</f>
        <v>159776.22948000004</v>
      </c>
      <c r="D81" s="734" t="s">
        <v>307</v>
      </c>
    </row>
    <row r="82" spans="2:14" ht="13">
      <c r="B82" s="78" t="s">
        <v>779</v>
      </c>
      <c r="C82" s="292">
        <f>SUMIFS(AD45:AD76,A45:A76,D81)</f>
        <v>247560.76467000003</v>
      </c>
      <c r="D82" s="735" t="s">
        <v>307</v>
      </c>
      <c r="L82" s="204"/>
      <c r="M82" s="59"/>
      <c r="N82" s="205"/>
    </row>
    <row r="83" spans="2:14" ht="13">
      <c r="L83" s="208"/>
      <c r="M83" s="49"/>
      <c r="N83" s="60"/>
    </row>
  </sheetData>
  <autoFilter ref="A44:AF77" xr:uid="{00000000-0009-0000-0000-000004000000}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355"/>
  <sheetViews>
    <sheetView topLeftCell="A336" zoomScale="80" zoomScaleNormal="80" workbookViewId="0">
      <selection activeCell="B175" sqref="B175"/>
    </sheetView>
  </sheetViews>
  <sheetFormatPr defaultColWidth="16.81640625" defaultRowHeight="12.5" outlineLevelRow="1"/>
  <cols>
    <col min="1" max="1" width="12.1796875" style="110" customWidth="1"/>
    <col min="2" max="2" width="49.453125" style="110" customWidth="1"/>
    <col min="3" max="3" width="107" style="110" customWidth="1"/>
    <col min="4" max="4" width="42.1796875" style="110" customWidth="1"/>
    <col min="5" max="5" width="16.81640625" style="110"/>
    <col min="6" max="6" width="25.1796875" style="110" customWidth="1"/>
    <col min="7" max="7" width="18.1796875" style="110" customWidth="1"/>
    <col min="8" max="8" width="17.81640625" style="110" customWidth="1"/>
    <col min="9" max="9" width="21.453125" style="110" customWidth="1"/>
    <col min="10" max="10" width="16.81640625" style="110"/>
    <col min="11" max="11" width="24.54296875" style="110" customWidth="1"/>
    <col min="12" max="13" width="16.81640625" style="110"/>
    <col min="14" max="14" width="35" style="110" customWidth="1"/>
    <col min="15" max="16384" width="16.81640625" style="110"/>
  </cols>
  <sheetData>
    <row r="1" spans="1:20" ht="13">
      <c r="A1" s="1" t="s">
        <v>798</v>
      </c>
      <c r="D1" s="157" t="s">
        <v>759</v>
      </c>
      <c r="E1" s="111" t="s">
        <v>2</v>
      </c>
      <c r="F1" s="111" t="s">
        <v>3</v>
      </c>
      <c r="G1" s="157" t="s">
        <v>760</v>
      </c>
      <c r="H1" s="111" t="s">
        <v>2</v>
      </c>
      <c r="I1" s="111" t="s">
        <v>3</v>
      </c>
      <c r="K1" s="112"/>
      <c r="L1" s="113" t="s">
        <v>4</v>
      </c>
      <c r="N1" s="6" t="s">
        <v>293</v>
      </c>
      <c r="R1" s="118"/>
      <c r="S1" s="170"/>
      <c r="T1" s="5" t="s">
        <v>286</v>
      </c>
    </row>
    <row r="2" spans="1:20" ht="13">
      <c r="A2" s="109" t="str">
        <f>'ВД0 Рабочая программа'!A2</f>
        <v>31.12.2018</v>
      </c>
      <c r="D2" s="706" t="s">
        <v>635</v>
      </c>
      <c r="E2" s="704">
        <v>24800</v>
      </c>
      <c r="F2" s="705">
        <f>E2*L2</f>
        <v>1523607.8490842495</v>
      </c>
      <c r="G2" s="700" t="s">
        <v>637</v>
      </c>
      <c r="H2" s="701">
        <v>24800</v>
      </c>
      <c r="I2" s="698">
        <f>H2*$L$9</f>
        <v>1555152.7333698627</v>
      </c>
      <c r="K2" s="650" t="s">
        <v>315</v>
      </c>
      <c r="L2" s="146">
        <v>61.435800366300377</v>
      </c>
      <c r="N2" s="4" t="s">
        <v>5</v>
      </c>
      <c r="O2" s="117" t="s">
        <v>9</v>
      </c>
      <c r="S2" s="135"/>
    </row>
    <row r="3" spans="1:20" ht="13">
      <c r="A3" s="2" t="s">
        <v>408</v>
      </c>
      <c r="D3" s="707" t="s">
        <v>636</v>
      </c>
      <c r="E3" s="597">
        <v>2600</v>
      </c>
      <c r="F3" s="599">
        <f>E3*L2</f>
        <v>159733.08095238099</v>
      </c>
      <c r="G3" s="699" t="s">
        <v>638</v>
      </c>
      <c r="H3" s="62">
        <v>2600</v>
      </c>
      <c r="I3" s="601">
        <f t="shared" ref="I3:I6" si="0">H3*$L$9</f>
        <v>163040.2059178082</v>
      </c>
      <c r="K3" s="651" t="s">
        <v>6</v>
      </c>
      <c r="L3" s="147">
        <v>58.255220833333389</v>
      </c>
      <c r="N3" s="4" t="s">
        <v>7</v>
      </c>
      <c r="O3" s="117" t="s">
        <v>10</v>
      </c>
      <c r="S3" s="135"/>
    </row>
    <row r="4" spans="1:20" ht="13">
      <c r="A4" s="3" t="s">
        <v>1</v>
      </c>
      <c r="D4" s="76" t="s">
        <v>258</v>
      </c>
      <c r="E4" s="161">
        <v>6200</v>
      </c>
      <c r="F4" s="600">
        <f>F2/4</f>
        <v>380901.96227106237</v>
      </c>
      <c r="G4" s="76" t="s">
        <v>258</v>
      </c>
      <c r="H4" s="62">
        <f>H2*0.25</f>
        <v>6200</v>
      </c>
      <c r="I4" s="601">
        <f t="shared" si="0"/>
        <v>388788.18334246567</v>
      </c>
      <c r="K4" s="652" t="s">
        <v>316</v>
      </c>
      <c r="L4" s="147">
        <v>65.590599999999995</v>
      </c>
      <c r="N4" s="4" t="s">
        <v>11</v>
      </c>
      <c r="O4" s="117" t="s">
        <v>12</v>
      </c>
      <c r="S4" s="135"/>
    </row>
    <row r="5" spans="1:20">
      <c r="D5" s="76" t="s">
        <v>308</v>
      </c>
      <c r="E5" s="161">
        <v>4650</v>
      </c>
      <c r="F5" s="600">
        <f>F4*0.75</f>
        <v>285676.47170329676</v>
      </c>
      <c r="G5" s="76" t="s">
        <v>308</v>
      </c>
      <c r="H5" s="62">
        <f>H4*3/4</f>
        <v>4650</v>
      </c>
      <c r="I5" s="601">
        <f t="shared" si="0"/>
        <v>291591.13750684925</v>
      </c>
      <c r="K5" s="652" t="s">
        <v>8</v>
      </c>
      <c r="L5" s="147">
        <v>58.0169</v>
      </c>
      <c r="N5" s="4" t="s">
        <v>13</v>
      </c>
      <c r="O5" s="117" t="s">
        <v>14</v>
      </c>
      <c r="S5" s="135"/>
    </row>
    <row r="6" spans="1:20">
      <c r="D6" s="77" t="s">
        <v>600</v>
      </c>
      <c r="E6" s="63">
        <f>E4*0.5</f>
        <v>3100</v>
      </c>
      <c r="F6" s="568">
        <f>F4*0.5</f>
        <v>190450.98113553118</v>
      </c>
      <c r="G6" s="77" t="s">
        <v>600</v>
      </c>
      <c r="H6" s="63">
        <f>H4/2</f>
        <v>3100</v>
      </c>
      <c r="I6" s="568">
        <f t="shared" si="0"/>
        <v>194394.09167123283</v>
      </c>
      <c r="K6" s="653" t="s">
        <v>309</v>
      </c>
      <c r="L6" s="162">
        <v>58.352899999999998</v>
      </c>
      <c r="N6" s="4" t="s">
        <v>15</v>
      </c>
      <c r="O6" s="117" t="s">
        <v>16</v>
      </c>
      <c r="S6" s="135"/>
    </row>
    <row r="7" spans="1:20">
      <c r="D7" s="126"/>
      <c r="E7" s="350"/>
      <c r="F7" s="161"/>
      <c r="G7" s="161"/>
      <c r="K7" s="654" t="s">
        <v>310</v>
      </c>
      <c r="L7" s="298">
        <v>57.600200000000001</v>
      </c>
      <c r="N7" s="4" t="s">
        <v>17</v>
      </c>
      <c r="O7" s="117" t="s">
        <v>18</v>
      </c>
      <c r="S7" s="135"/>
    </row>
    <row r="8" spans="1:20">
      <c r="D8" s="596"/>
      <c r="E8" s="161"/>
      <c r="F8" s="62"/>
      <c r="K8" s="581" t="s">
        <v>652</v>
      </c>
      <c r="L8" s="162">
        <v>69.470600000000005</v>
      </c>
      <c r="N8" s="4" t="s">
        <v>19</v>
      </c>
      <c r="O8" s="117" t="s">
        <v>20</v>
      </c>
      <c r="S8" s="135"/>
    </row>
    <row r="9" spans="1:20" ht="13">
      <c r="B9" s="184" t="s">
        <v>370</v>
      </c>
      <c r="C9" s="221"/>
      <c r="D9" s="157"/>
      <c r="E9" s="111"/>
      <c r="F9" s="111"/>
      <c r="G9" s="157"/>
      <c r="H9" s="111"/>
      <c r="I9" s="111"/>
      <c r="K9" s="582" t="s">
        <v>651</v>
      </c>
      <c r="L9" s="583">
        <v>62.707771506849305</v>
      </c>
    </row>
    <row r="10" spans="1:20">
      <c r="B10" s="183" t="s">
        <v>649</v>
      </c>
      <c r="C10" s="221"/>
    </row>
    <row r="11" spans="1:20">
      <c r="B11" s="183" t="s">
        <v>350</v>
      </c>
      <c r="C11" s="221"/>
    </row>
    <row r="12" spans="1:20">
      <c r="B12" s="148"/>
      <c r="C12" s="221"/>
    </row>
    <row r="13" spans="1:20" ht="13">
      <c r="B13" s="184" t="s">
        <v>371</v>
      </c>
      <c r="C13" s="221"/>
    </row>
    <row r="14" spans="1:20">
      <c r="B14" s="218" t="s">
        <v>650</v>
      </c>
      <c r="C14" s="221"/>
    </row>
    <row r="15" spans="1:20">
      <c r="B15" s="222" t="s">
        <v>372</v>
      </c>
    </row>
    <row r="16" spans="1:20" ht="13">
      <c r="B16" s="223" t="s">
        <v>398</v>
      </c>
    </row>
    <row r="17" spans="2:6">
      <c r="B17" s="218" t="s">
        <v>471</v>
      </c>
      <c r="C17" s="221"/>
    </row>
    <row r="18" spans="2:6">
      <c r="B18" s="218" t="s">
        <v>373</v>
      </c>
      <c r="C18" s="221"/>
    </row>
    <row r="19" spans="2:6">
      <c r="B19" s="218" t="s">
        <v>399</v>
      </c>
      <c r="C19" s="121"/>
      <c r="D19" s="116"/>
      <c r="E19" s="116"/>
      <c r="F19" s="116"/>
    </row>
    <row r="20" spans="2:6">
      <c r="B20" s="9" t="s">
        <v>351</v>
      </c>
      <c r="C20" s="221"/>
    </row>
    <row r="21" spans="2:6">
      <c r="B21" s="9" t="s">
        <v>472</v>
      </c>
      <c r="C21" s="221"/>
    </row>
    <row r="22" spans="2:6">
      <c r="B22" s="218" t="s">
        <v>400</v>
      </c>
      <c r="C22" s="221"/>
    </row>
    <row r="23" spans="2:6">
      <c r="B23" s="218" t="s">
        <v>500</v>
      </c>
      <c r="C23" s="221"/>
    </row>
    <row r="24" spans="2:6" ht="13">
      <c r="B24" s="223" t="s">
        <v>588</v>
      </c>
      <c r="C24" s="221"/>
    </row>
    <row r="25" spans="2:6">
      <c r="B25" s="219" t="s">
        <v>601</v>
      </c>
      <c r="C25" s="221"/>
    </row>
    <row r="26" spans="2:6">
      <c r="B26" s="218"/>
      <c r="C26" s="221"/>
    </row>
    <row r="27" spans="2:6" ht="13">
      <c r="B27" s="184" t="s">
        <v>374</v>
      </c>
      <c r="C27" s="221"/>
    </row>
    <row r="28" spans="2:6" ht="13">
      <c r="B28" s="224" t="s">
        <v>353</v>
      </c>
      <c r="C28" s="221"/>
    </row>
    <row r="29" spans="2:6">
      <c r="B29" s="224" t="s">
        <v>354</v>
      </c>
      <c r="C29" s="221"/>
    </row>
    <row r="30" spans="2:6">
      <c r="B30" s="225"/>
      <c r="C30" s="221"/>
    </row>
    <row r="31" spans="2:6" ht="13">
      <c r="B31" s="498" t="s">
        <v>603</v>
      </c>
      <c r="C31" s="221"/>
    </row>
    <row r="32" spans="2:6">
      <c r="B32" s="225"/>
      <c r="C32" s="221"/>
    </row>
    <row r="33" spans="2:17" ht="13">
      <c r="B33" s="135"/>
      <c r="C33" s="642" t="s">
        <v>565</v>
      </c>
      <c r="D33" s="49"/>
      <c r="F33" s="49"/>
    </row>
    <row r="34" spans="2:17" ht="13">
      <c r="B34" s="728" t="s">
        <v>604</v>
      </c>
      <c r="C34" s="727">
        <f>SUM(K165:M165)</f>
        <v>701440.26539000031</v>
      </c>
      <c r="D34" s="644" t="str">
        <f>'ВД7 Сверка'!B33</f>
        <v>Общий комментарий</v>
      </c>
      <c r="F34" s="49"/>
    </row>
    <row r="35" spans="2:17" ht="13">
      <c r="B35" s="532" t="s">
        <v>602</v>
      </c>
      <c r="C35" s="131">
        <f>Z165</f>
        <v>655960.72314999998</v>
      </c>
      <c r="D35" s="645" t="s">
        <v>277</v>
      </c>
      <c r="F35" s="49"/>
      <c r="G35" s="49"/>
    </row>
    <row r="36" spans="2:17" ht="13">
      <c r="B36" s="532" t="s">
        <v>563</v>
      </c>
      <c r="C36" s="131">
        <f>C35-C34</f>
        <v>-45479.54224000033</v>
      </c>
      <c r="D36" s="511" t="str">
        <f>IF(ABS(C36)&gt;I6, "Более 1/2 от 25% ДО, не соответствует ожиданиям", "Соответствует ожиданиям, менее 1/2 от 25% ДО")</f>
        <v>Соответствует ожиданиям, менее 1/2 от 25% ДО</v>
      </c>
      <c r="F36" s="49"/>
    </row>
    <row r="37" spans="2:17" ht="13">
      <c r="B37" s="533" t="s">
        <v>564</v>
      </c>
      <c r="C37" s="646">
        <f>C36/C35</f>
        <v>-6.9332721662971317E-2</v>
      </c>
      <c r="D37" s="511" t="str">
        <f>IF(ABS(C37)&gt;10%, "Более 10%, не соответствует ожиданиям", "Соответствует ожиданиям, менее 10%")</f>
        <v>Соответствует ожиданиям, менее 10%</v>
      </c>
      <c r="F37" s="49"/>
    </row>
    <row r="38" spans="2:17" ht="13">
      <c r="B38" s="532"/>
      <c r="C38" s="532"/>
      <c r="D38" s="199"/>
      <c r="E38" s="603"/>
    </row>
    <row r="39" spans="2:17">
      <c r="B39" s="225"/>
      <c r="C39" s="221"/>
    </row>
    <row r="40" spans="2:17" ht="13">
      <c r="B40" s="266" t="s">
        <v>387</v>
      </c>
      <c r="C40" s="116"/>
      <c r="D40" s="116"/>
      <c r="E40" s="116"/>
      <c r="F40" s="137"/>
      <c r="G40" s="137"/>
      <c r="H40" s="624" t="s">
        <v>589</v>
      </c>
      <c r="I40" s="137"/>
      <c r="J40" s="137"/>
      <c r="K40" s="137"/>
      <c r="L40" s="137"/>
      <c r="M40" s="49"/>
      <c r="N40" s="49"/>
      <c r="O40" s="49"/>
      <c r="P40" s="49"/>
      <c r="Q40" s="49"/>
    </row>
    <row r="41" spans="2:17" ht="13">
      <c r="B41" s="266"/>
      <c r="C41" s="116"/>
      <c r="D41" s="116"/>
      <c r="E41" s="116"/>
      <c r="F41" s="137"/>
      <c r="G41" s="137"/>
      <c r="H41" s="137"/>
      <c r="I41" s="137"/>
      <c r="J41" s="137"/>
      <c r="K41" s="137"/>
      <c r="L41" s="137"/>
      <c r="M41" s="49"/>
      <c r="N41" s="49"/>
      <c r="O41" s="49"/>
      <c r="P41" s="49"/>
      <c r="Q41" s="49"/>
    </row>
    <row r="42" spans="2:17" ht="13">
      <c r="B42" s="116"/>
      <c r="C42" s="226" t="s">
        <v>527</v>
      </c>
      <c r="D42" s="227" t="s">
        <v>17</v>
      </c>
      <c r="E42" s="137"/>
      <c r="F42" s="137"/>
      <c r="H42" s="137"/>
      <c r="I42" s="585" t="s">
        <v>527</v>
      </c>
      <c r="J42" s="625" t="s">
        <v>17</v>
      </c>
      <c r="K42" s="137"/>
      <c r="L42" s="49"/>
      <c r="N42" s="49"/>
      <c r="O42" s="49"/>
      <c r="P42" s="49"/>
      <c r="Q42" s="49"/>
    </row>
    <row r="43" spans="2:17" ht="13">
      <c r="B43" s="64" t="s">
        <v>375</v>
      </c>
      <c r="C43" s="228" t="s">
        <v>390</v>
      </c>
      <c r="D43" s="228" t="s">
        <v>390</v>
      </c>
      <c r="E43" s="626" t="s">
        <v>27</v>
      </c>
      <c r="F43" s="635"/>
      <c r="H43" s="627" t="s">
        <v>375</v>
      </c>
      <c r="I43" s="628" t="s">
        <v>590</v>
      </c>
      <c r="J43" s="640" t="s">
        <v>590</v>
      </c>
      <c r="K43" s="626" t="s">
        <v>27</v>
      </c>
      <c r="L43" s="49"/>
      <c r="N43" s="49"/>
      <c r="O43" s="49"/>
      <c r="P43" s="49"/>
      <c r="Q43" s="49"/>
    </row>
    <row r="44" spans="2:17" ht="13">
      <c r="B44" s="229" t="s">
        <v>360</v>
      </c>
      <c r="C44" s="230">
        <f>SUMIF(B55:B64,B57,D55:D64)</f>
        <v>321271</v>
      </c>
      <c r="D44" s="230">
        <f>SUMIF($B$55:$B$64,$B$57,E55:E64)</f>
        <v>258006.57508000004</v>
      </c>
      <c r="E44" s="377">
        <f>C44-D44</f>
        <v>63264.424919999961</v>
      </c>
      <c r="F44" s="622"/>
      <c r="H44" s="629" t="s">
        <v>360</v>
      </c>
      <c r="I44" s="131">
        <v>449589</v>
      </c>
      <c r="J44" s="378">
        <f>SUMIF($B$55:$B$64,H44,$P$55:$P$64)</f>
        <v>387757.03994000005</v>
      </c>
      <c r="K44" s="131">
        <f>J44-I44</f>
        <v>-61831.960059999954</v>
      </c>
      <c r="L44" s="630"/>
      <c r="N44" s="636"/>
      <c r="O44" s="579"/>
      <c r="P44" s="49"/>
      <c r="Q44" s="631"/>
    </row>
    <row r="45" spans="2:17" ht="13">
      <c r="B45" s="30" t="s">
        <v>376</v>
      </c>
      <c r="C45" s="127">
        <f>SUMIF(B55:B62,B55,D55:D62)</f>
        <v>1262978</v>
      </c>
      <c r="D45" s="127">
        <f>SUMIF($B$55:$B$64,$B$55,E55:E64)</f>
        <v>1267275.6476400013</v>
      </c>
      <c r="E45" s="377">
        <f>C45-D45</f>
        <v>-4297.6476400012616</v>
      </c>
      <c r="F45" s="622"/>
      <c r="H45" s="637" t="s">
        <v>376</v>
      </c>
      <c r="I45" s="131">
        <v>1729906</v>
      </c>
      <c r="J45" s="377">
        <f>SUMIF($B$55:$B$64,H45,$P$55:$P$64)</f>
        <v>1772159.1973000008</v>
      </c>
      <c r="K45" s="131">
        <f>J45-I45</f>
        <v>42253.197300000815</v>
      </c>
      <c r="L45" s="630"/>
      <c r="N45" s="623"/>
      <c r="O45" s="49"/>
      <c r="P45" s="49"/>
      <c r="Q45" s="49"/>
    </row>
    <row r="46" spans="2:17" ht="13">
      <c r="B46" s="231" t="s">
        <v>361</v>
      </c>
      <c r="C46" s="127">
        <f>SUMIF(B55:B62,B58,D55:D62)</f>
        <v>23009</v>
      </c>
      <c r="D46" s="127">
        <f>SUMIF($B$55:$B$64,$B$58,E55:E64)</f>
        <v>23008.706819999996</v>
      </c>
      <c r="E46" s="377">
        <f>C46-D46</f>
        <v>0.29318000000421307</v>
      </c>
      <c r="F46" s="622"/>
      <c r="H46" s="632" t="s">
        <v>361</v>
      </c>
      <c r="I46" s="131">
        <v>13745</v>
      </c>
      <c r="J46" s="641">
        <f>SUMIF($B$55:$B$64,H46,$P$55:$P$64)</f>
        <v>0</v>
      </c>
      <c r="K46" s="131">
        <f>I46-J46</f>
        <v>13745</v>
      </c>
      <c r="L46" s="630"/>
      <c r="N46" s="623"/>
      <c r="O46" s="49"/>
      <c r="P46" s="49"/>
      <c r="Q46" s="49"/>
    </row>
    <row r="47" spans="2:17" ht="13">
      <c r="B47" s="232" t="s">
        <v>377</v>
      </c>
      <c r="C47" s="233">
        <f>SUM(C44:C46)</f>
        <v>1607258</v>
      </c>
      <c r="D47" s="233">
        <f>SUM(D44:D46)</f>
        <v>1548290.9295400013</v>
      </c>
      <c r="E47" s="633">
        <f>D47-C47</f>
        <v>-58967.070459998678</v>
      </c>
      <c r="F47" s="630" t="str">
        <f>IF(AND(ABS(E47)&gt;$F$5),"анализировать","несущ")</f>
        <v>несущ</v>
      </c>
      <c r="H47" s="634" t="s">
        <v>377</v>
      </c>
      <c r="I47" s="510">
        <f>SUM(I44:I46)</f>
        <v>2193240</v>
      </c>
      <c r="J47" s="510">
        <f>SUM(J44:J46)</f>
        <v>2159916.2372400006</v>
      </c>
      <c r="K47" s="510">
        <f>J47-I47</f>
        <v>-33323.762759999372</v>
      </c>
      <c r="L47" s="630" t="str">
        <f t="shared" ref="L47" si="1">IF(AND(ABS(K47)&gt;$F$4),"анализировать","несущ")</f>
        <v>несущ</v>
      </c>
      <c r="N47" s="623"/>
      <c r="O47" s="49"/>
      <c r="P47" s="49"/>
      <c r="Q47" s="49"/>
    </row>
    <row r="48" spans="2:17" ht="13">
      <c r="B48" s="268"/>
      <c r="C48" s="398">
        <f>C47-D65</f>
        <v>0</v>
      </c>
      <c r="D48" s="137">
        <f>D47-E65</f>
        <v>0</v>
      </c>
      <c r="F48" s="137"/>
      <c r="G48" s="137"/>
      <c r="H48" s="137"/>
      <c r="I48" s="137"/>
      <c r="J48" s="638" t="s">
        <v>282</v>
      </c>
      <c r="K48" s="137"/>
      <c r="L48" s="137"/>
      <c r="M48" s="49"/>
      <c r="N48" s="49"/>
      <c r="O48" s="49"/>
      <c r="P48" s="49"/>
      <c r="Q48" s="49"/>
    </row>
    <row r="49" spans="2:18" ht="13">
      <c r="B49" s="268"/>
      <c r="C49" s="398"/>
      <c r="D49" s="267" t="s">
        <v>282</v>
      </c>
      <c r="E49" s="137"/>
      <c r="F49" s="116"/>
      <c r="G49" s="116"/>
      <c r="H49" s="116"/>
      <c r="I49" s="116"/>
      <c r="J49" s="126"/>
      <c r="K49" s="116"/>
      <c r="L49" s="116"/>
    </row>
    <row r="50" spans="2:18">
      <c r="B50" s="268"/>
      <c r="C50" s="398"/>
      <c r="D50" s="137"/>
      <c r="E50" s="137"/>
      <c r="F50" s="116"/>
      <c r="G50" s="116"/>
      <c r="H50" s="116"/>
      <c r="I50" s="116"/>
      <c r="J50" s="116"/>
      <c r="K50" s="116"/>
      <c r="L50" s="116"/>
    </row>
    <row r="51" spans="2:18">
      <c r="B51" s="268"/>
      <c r="C51" s="121"/>
      <c r="D51" s="116"/>
      <c r="E51" s="116"/>
      <c r="F51" s="116"/>
      <c r="G51" s="116"/>
      <c r="H51" s="116"/>
      <c r="I51" s="116"/>
      <c r="J51" s="116"/>
      <c r="K51" s="116"/>
      <c r="L51" s="116"/>
      <c r="O51" s="110" t="s">
        <v>656</v>
      </c>
    </row>
    <row r="52" spans="2:18" ht="13">
      <c r="B52" s="266" t="s">
        <v>388</v>
      </c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86" t="s">
        <v>591</v>
      </c>
    </row>
    <row r="53" spans="2:18" ht="13">
      <c r="B53" s="116"/>
      <c r="C53" s="116"/>
      <c r="D53" s="34" t="s">
        <v>66</v>
      </c>
      <c r="E53" s="227" t="s">
        <v>17</v>
      </c>
      <c r="F53" s="116"/>
      <c r="G53" s="116"/>
      <c r="H53" s="35" t="s">
        <v>15</v>
      </c>
      <c r="I53" s="116"/>
      <c r="J53" s="116"/>
      <c r="K53" s="116"/>
      <c r="O53" s="34" t="s">
        <v>66</v>
      </c>
      <c r="P53" s="61" t="s">
        <v>17</v>
      </c>
    </row>
    <row r="54" spans="2:18" ht="13">
      <c r="B54" s="234" t="s">
        <v>379</v>
      </c>
      <c r="C54" s="234" t="s">
        <v>380</v>
      </c>
      <c r="D54" s="210" t="s">
        <v>390</v>
      </c>
      <c r="E54" s="210" t="s">
        <v>390</v>
      </c>
      <c r="F54" s="269" t="s">
        <v>27</v>
      </c>
      <c r="G54" s="126"/>
      <c r="H54" s="210" t="s">
        <v>378</v>
      </c>
      <c r="I54" s="209" t="s">
        <v>356</v>
      </c>
      <c r="J54" s="209" t="s">
        <v>381</v>
      </c>
      <c r="K54" s="116"/>
      <c r="M54" s="234" t="s">
        <v>379</v>
      </c>
      <c r="N54" s="234" t="s">
        <v>380</v>
      </c>
      <c r="O54" s="210" t="s">
        <v>590</v>
      </c>
      <c r="P54" s="210" t="s">
        <v>590</v>
      </c>
      <c r="Q54" s="540" t="s">
        <v>27</v>
      </c>
      <c r="R54" s="541"/>
    </row>
    <row r="55" spans="2:18" ht="13">
      <c r="B55" s="235" t="s">
        <v>376</v>
      </c>
      <c r="C55" s="236" t="s">
        <v>366</v>
      </c>
      <c r="D55" s="41">
        <v>1262978</v>
      </c>
      <c r="E55" s="41">
        <f>SUMIF($B$88:$B$164,"Прочие компании",N88:N164)+SUMIF(B213:B328,"Прочие компании",G213:G328)-F189</f>
        <v>1267275.6476400013</v>
      </c>
      <c r="F55" s="42">
        <f>E55-D55</f>
        <v>4297.6476400012616</v>
      </c>
      <c r="G55" s="39" t="str">
        <f>IF(AND(ABS(F55)&gt;$F$5),"анализировать","несущ")</f>
        <v>несущ</v>
      </c>
      <c r="H55" s="313">
        <v>991132.29642000003</v>
      </c>
      <c r="I55" s="172">
        <f>D55-H55</f>
        <v>271845.70357999997</v>
      </c>
      <c r="J55" s="327">
        <f>I55/H55</f>
        <v>0.2742779188630165</v>
      </c>
      <c r="K55" s="266" t="str">
        <f>B197</f>
        <v>Комментарий 3</v>
      </c>
      <c r="M55" s="235" t="s">
        <v>376</v>
      </c>
      <c r="N55" s="236" t="s">
        <v>366</v>
      </c>
      <c r="O55" s="507">
        <v>1729906</v>
      </c>
      <c r="P55" s="507">
        <f>SUMIF($B$88:$B$164,"Прочие компании",$AE$88:$AE$164)+SUMIF($B$339:$B$351,"Прочие компании",$G$339:$G$351)-F193</f>
        <v>1772159.1973000008</v>
      </c>
      <c r="Q55" s="507">
        <f>P55-O55</f>
        <v>42253.197300000815</v>
      </c>
      <c r="R55" s="39" t="str">
        <f t="shared" ref="R55:R65" si="2">IF(AND(ABS(Q55)&gt;$I$6),"анализировать","несущ")</f>
        <v>несущ</v>
      </c>
    </row>
    <row r="56" spans="2:18" ht="13">
      <c r="B56" s="238" t="s">
        <v>360</v>
      </c>
      <c r="C56" s="239" t="s">
        <v>791</v>
      </c>
      <c r="D56" s="43">
        <v>179933</v>
      </c>
      <c r="E56" s="43">
        <f>SUMIF($B$88:$B$164,$C$56,N88:N164)</f>
        <v>184907.57216000001</v>
      </c>
      <c r="F56" s="129">
        <f t="shared" ref="F56:F62" si="3">E56-D56</f>
        <v>4974.5721600000106</v>
      </c>
      <c r="G56" s="39" t="str">
        <f t="shared" ref="G56:G62" si="4">IF(AND(ABS(F56)&gt;$F$5),"анализировать","несущ")</f>
        <v>несущ</v>
      </c>
      <c r="H56" s="43">
        <v>163232</v>
      </c>
      <c r="I56" s="62">
        <f t="shared" ref="I56:I65" si="5">D56-H56</f>
        <v>16701</v>
      </c>
      <c r="J56" s="199">
        <f t="shared" ref="J56:J61" si="6">I56/H56</f>
        <v>0.10231449715742011</v>
      </c>
      <c r="K56" s="38" t="str">
        <f>IF(AND(ABS(I56)&gt;$F$5,ABS(J56)&gt;10%),"анализировать","несущ")</f>
        <v>несущ</v>
      </c>
      <c r="M56" s="238" t="s">
        <v>360</v>
      </c>
      <c r="N56" s="239" t="s">
        <v>791</v>
      </c>
      <c r="O56" s="131">
        <v>255170</v>
      </c>
      <c r="P56" s="131">
        <f t="shared" ref="P56:P64" si="7">SUMIF($B$88:$B$164,C56,$AE$88:$AE$164)</f>
        <v>230045.34918000002</v>
      </c>
      <c r="Q56" s="131">
        <f t="shared" ref="Q56:Q60" si="8">P56-O56</f>
        <v>-25124.650819999981</v>
      </c>
      <c r="R56" s="39" t="str">
        <f t="shared" si="2"/>
        <v>несущ</v>
      </c>
    </row>
    <row r="57" spans="2:18" ht="13">
      <c r="B57" s="238" t="s">
        <v>360</v>
      </c>
      <c r="C57" s="239" t="s">
        <v>365</v>
      </c>
      <c r="D57" s="43">
        <v>113359</v>
      </c>
      <c r="E57" s="43">
        <f>SUMIF($B$88:$B$164,$C$57,N89:N165)</f>
        <v>73099.002920000014</v>
      </c>
      <c r="F57" s="129">
        <f t="shared" si="3"/>
        <v>-40259.997079999986</v>
      </c>
      <c r="G57" s="39" t="str">
        <f t="shared" si="4"/>
        <v>несущ</v>
      </c>
      <c r="H57" s="277">
        <v>26388</v>
      </c>
      <c r="I57" s="62">
        <f t="shared" si="5"/>
        <v>86971</v>
      </c>
      <c r="J57" s="199">
        <f>I57/H57</f>
        <v>3.2958541761406699</v>
      </c>
      <c r="K57" s="270" t="str">
        <f>B68</f>
        <v>Комментарий 1</v>
      </c>
      <c r="M57" s="238" t="s">
        <v>360</v>
      </c>
      <c r="N57" s="239" t="s">
        <v>365</v>
      </c>
      <c r="O57" s="131">
        <v>157712</v>
      </c>
      <c r="P57" s="131">
        <f t="shared" si="7"/>
        <v>157711.69076</v>
      </c>
      <c r="Q57" s="131">
        <f t="shared" si="8"/>
        <v>-0.30924000000231899</v>
      </c>
      <c r="R57" s="39" t="str">
        <f t="shared" si="2"/>
        <v>несущ</v>
      </c>
    </row>
    <row r="58" spans="2:18" ht="13">
      <c r="B58" s="238" t="s">
        <v>361</v>
      </c>
      <c r="C58" s="239" t="s">
        <v>367</v>
      </c>
      <c r="D58" s="43">
        <v>23009</v>
      </c>
      <c r="E58" s="271">
        <f>SUMIF($B$112:$B$237,C58,$H$112:$H$237)+SUMIF($B$213:$B$328,"ЧОП Интерлок-Н, ООО",$G$213:$G$328)</f>
        <v>23008.706819999996</v>
      </c>
      <c r="F58" s="129">
        <f t="shared" si="3"/>
        <v>-0.29318000000421307</v>
      </c>
      <c r="G58" s="39" t="str">
        <f t="shared" si="4"/>
        <v>несущ</v>
      </c>
      <c r="H58" s="277">
        <v>20984.659300000007</v>
      </c>
      <c r="I58" s="62">
        <f t="shared" si="5"/>
        <v>2024.3406999999934</v>
      </c>
      <c r="J58" s="199">
        <f t="shared" si="6"/>
        <v>9.6467646725148057E-2</v>
      </c>
      <c r="K58" s="38" t="str">
        <f t="shared" ref="K58:K65" si="9">IF(AND(ABS(I58)&gt;$F$5,ABS(J58)&gt;10%),"анализировать","несущ")</f>
        <v>несущ</v>
      </c>
      <c r="M58" s="238" t="s">
        <v>361</v>
      </c>
      <c r="N58" s="239" t="s">
        <v>367</v>
      </c>
      <c r="O58" s="131">
        <v>13745</v>
      </c>
      <c r="P58" s="131">
        <f t="shared" si="7"/>
        <v>0</v>
      </c>
      <c r="Q58" s="131">
        <f t="shared" si="8"/>
        <v>-13745</v>
      </c>
      <c r="R58" s="270" t="str">
        <f>B78</f>
        <v>Комментарий 2</v>
      </c>
    </row>
    <row r="59" spans="2:18" ht="13">
      <c r="B59" s="238" t="s">
        <v>360</v>
      </c>
      <c r="C59" s="239" t="s">
        <v>363</v>
      </c>
      <c r="D59" s="43">
        <v>16012</v>
      </c>
      <c r="E59" s="556">
        <v>0</v>
      </c>
      <c r="F59" s="129">
        <f t="shared" si="3"/>
        <v>-16012</v>
      </c>
      <c r="G59" s="39" t="str">
        <f t="shared" si="4"/>
        <v>несущ</v>
      </c>
      <c r="H59" s="278">
        <v>11800</v>
      </c>
      <c r="I59" s="62">
        <f t="shared" si="5"/>
        <v>4212</v>
      </c>
      <c r="J59" s="199">
        <f t="shared" si="6"/>
        <v>0.35694915254237286</v>
      </c>
      <c r="K59" s="38" t="str">
        <f>IF(AND(ABS(I59)&gt;$F$5,ABS(J59)&gt;10%),"анализировать","несущ")</f>
        <v>несущ</v>
      </c>
      <c r="M59" s="238" t="s">
        <v>360</v>
      </c>
      <c r="N59" s="239" t="s">
        <v>363</v>
      </c>
      <c r="O59" s="131">
        <v>21378</v>
      </c>
      <c r="P59" s="131">
        <f t="shared" si="7"/>
        <v>0</v>
      </c>
      <c r="Q59" s="131">
        <f t="shared" si="8"/>
        <v>-21378</v>
      </c>
      <c r="R59" s="39" t="str">
        <f t="shared" si="2"/>
        <v>несущ</v>
      </c>
    </row>
    <row r="60" spans="2:18" ht="13">
      <c r="B60" s="238" t="s">
        <v>360</v>
      </c>
      <c r="C60" s="239" t="s">
        <v>364</v>
      </c>
      <c r="D60" s="43">
        <v>11741</v>
      </c>
      <c r="E60" s="556">
        <v>0</v>
      </c>
      <c r="F60" s="129">
        <f t="shared" si="3"/>
        <v>-11741</v>
      </c>
      <c r="G60" s="39" t="str">
        <f t="shared" si="4"/>
        <v>несущ</v>
      </c>
      <c r="H60" s="279">
        <v>10661</v>
      </c>
      <c r="I60" s="62">
        <f t="shared" si="5"/>
        <v>1080</v>
      </c>
      <c r="J60" s="199">
        <f>I60/H60</f>
        <v>0.10130381765312822</v>
      </c>
      <c r="K60" s="38" t="str">
        <f t="shared" si="9"/>
        <v>несущ</v>
      </c>
      <c r="M60" s="238" t="s">
        <v>360</v>
      </c>
      <c r="N60" s="239" t="s">
        <v>364</v>
      </c>
      <c r="O60" s="131">
        <v>15654</v>
      </c>
      <c r="P60" s="131">
        <f t="shared" si="7"/>
        <v>0</v>
      </c>
      <c r="Q60" s="131">
        <f t="shared" si="8"/>
        <v>-15654</v>
      </c>
      <c r="R60" s="39" t="str">
        <f t="shared" si="2"/>
        <v>несущ</v>
      </c>
    </row>
    <row r="61" spans="2:18" ht="13">
      <c r="B61" s="238" t="s">
        <v>360</v>
      </c>
      <c r="C61" s="239" t="s">
        <v>508</v>
      </c>
      <c r="D61" s="43">
        <v>159</v>
      </c>
      <c r="E61" s="556">
        <v>0</v>
      </c>
      <c r="F61" s="129">
        <f t="shared" si="3"/>
        <v>-159</v>
      </c>
      <c r="G61" s="39" t="str">
        <f t="shared" si="4"/>
        <v>несущ</v>
      </c>
      <c r="H61" s="277">
        <v>88</v>
      </c>
      <c r="I61" s="62">
        <f t="shared" si="5"/>
        <v>71</v>
      </c>
      <c r="J61" s="199">
        <f t="shared" si="6"/>
        <v>0.80681818181818177</v>
      </c>
      <c r="K61" s="38" t="str">
        <f t="shared" si="9"/>
        <v>несущ</v>
      </c>
      <c r="M61" s="238" t="s">
        <v>360</v>
      </c>
      <c r="N61" s="239" t="s">
        <v>508</v>
      </c>
      <c r="O61" s="131">
        <v>232</v>
      </c>
      <c r="P61" s="131">
        <f t="shared" si="7"/>
        <v>0</v>
      </c>
      <c r="Q61" s="131">
        <f t="shared" ref="Q61:Q64" si="10">P61-O61</f>
        <v>-232</v>
      </c>
      <c r="R61" s="39" t="str">
        <f t="shared" si="2"/>
        <v>несущ</v>
      </c>
    </row>
    <row r="62" spans="2:18" ht="13">
      <c r="B62" s="272" t="s">
        <v>360</v>
      </c>
      <c r="C62" s="273" t="s">
        <v>362</v>
      </c>
      <c r="D62" s="129">
        <v>67</v>
      </c>
      <c r="E62" s="556">
        <v>0</v>
      </c>
      <c r="F62" s="129">
        <f t="shared" si="3"/>
        <v>-67</v>
      </c>
      <c r="G62" s="39" t="str">
        <f t="shared" si="4"/>
        <v>несущ</v>
      </c>
      <c r="H62" s="277" t="s">
        <v>391</v>
      </c>
      <c r="I62" s="62">
        <v>67</v>
      </c>
      <c r="J62" s="199">
        <v>1</v>
      </c>
      <c r="K62" s="38" t="str">
        <f>IF(AND(ABS(I62)&gt;$F$5,ABS(J62)&gt;10%),"анализировать","несущ")</f>
        <v>несущ</v>
      </c>
      <c r="M62" s="272" t="s">
        <v>360</v>
      </c>
      <c r="N62" s="273" t="s">
        <v>362</v>
      </c>
      <c r="O62" s="131">
        <v>172</v>
      </c>
      <c r="P62" s="131">
        <f t="shared" si="7"/>
        <v>0</v>
      </c>
      <c r="Q62" s="131">
        <f t="shared" si="10"/>
        <v>-172</v>
      </c>
      <c r="R62" s="39" t="str">
        <f t="shared" si="2"/>
        <v>несущ</v>
      </c>
    </row>
    <row r="63" spans="2:18" ht="13">
      <c r="B63" s="272" t="s">
        <v>361</v>
      </c>
      <c r="C63" s="239" t="s">
        <v>382</v>
      </c>
      <c r="D63" s="277" t="s">
        <v>391</v>
      </c>
      <c r="E63" s="131">
        <v>0</v>
      </c>
      <c r="F63" s="281" t="s">
        <v>391</v>
      </c>
      <c r="G63" s="39"/>
      <c r="H63" s="315">
        <v>98315.29213999999</v>
      </c>
      <c r="I63" s="62">
        <f>-H63</f>
        <v>-98315.29213999999</v>
      </c>
      <c r="J63" s="199">
        <f>I63/H63</f>
        <v>-1</v>
      </c>
      <c r="K63" s="38" t="str">
        <f>IF(AND(ABS(I63)&gt;$F$5,ABS(J63)&gt;10%),"анализировать","несущ")</f>
        <v>несущ</v>
      </c>
      <c r="M63" s="272" t="s">
        <v>361</v>
      </c>
      <c r="N63" s="239" t="s">
        <v>382</v>
      </c>
      <c r="O63" s="131">
        <v>0</v>
      </c>
      <c r="P63" s="131">
        <f t="shared" si="7"/>
        <v>0</v>
      </c>
      <c r="Q63" s="131">
        <f t="shared" si="10"/>
        <v>0</v>
      </c>
      <c r="R63" s="39" t="str">
        <f t="shared" si="2"/>
        <v>несущ</v>
      </c>
    </row>
    <row r="64" spans="2:18" ht="13">
      <c r="B64" s="240" t="s">
        <v>360</v>
      </c>
      <c r="C64" s="265" t="s">
        <v>383</v>
      </c>
      <c r="D64" s="283" t="s">
        <v>391</v>
      </c>
      <c r="E64" s="282" t="s">
        <v>391</v>
      </c>
      <c r="F64" s="282" t="s">
        <v>391</v>
      </c>
      <c r="G64" s="39"/>
      <c r="H64" s="44">
        <v>92706</v>
      </c>
      <c r="I64" s="63">
        <f>-H64</f>
        <v>-92706</v>
      </c>
      <c r="J64" s="328">
        <f>I64/H64</f>
        <v>-1</v>
      </c>
      <c r="K64" s="38" t="str">
        <f t="shared" si="9"/>
        <v>несущ</v>
      </c>
      <c r="M64" s="240" t="s">
        <v>360</v>
      </c>
      <c r="N64" s="265" t="s">
        <v>383</v>
      </c>
      <c r="O64" s="508">
        <v>0</v>
      </c>
      <c r="P64" s="508">
        <f t="shared" si="7"/>
        <v>0</v>
      </c>
      <c r="Q64" s="131">
        <f t="shared" si="10"/>
        <v>0</v>
      </c>
      <c r="R64" s="39" t="str">
        <f t="shared" si="2"/>
        <v>несущ</v>
      </c>
    </row>
    <row r="65" spans="2:18" ht="13">
      <c r="B65" s="275"/>
      <c r="C65" s="241" t="s">
        <v>253</v>
      </c>
      <c r="D65" s="274">
        <f>SUM(D55:D64)</f>
        <v>1607258</v>
      </c>
      <c r="E65" s="274">
        <f>SUM(E55:E64)</f>
        <v>1548290.9295400013</v>
      </c>
      <c r="F65" s="40">
        <f>E65-D65</f>
        <v>-58967.070459998678</v>
      </c>
      <c r="G65" s="39" t="str">
        <f>IF(AND(ABS(F65)&gt;$F$5),"анализировать","несущ")</f>
        <v>несущ</v>
      </c>
      <c r="H65" s="280">
        <f>SUM(H55:H64)</f>
        <v>1415307.24786</v>
      </c>
      <c r="I65" s="49">
        <f t="shared" si="5"/>
        <v>191950.75214</v>
      </c>
      <c r="J65" s="199">
        <f>I65/H65</f>
        <v>0.13562479272980271</v>
      </c>
      <c r="K65" s="38" t="str">
        <f t="shared" si="9"/>
        <v>несущ</v>
      </c>
      <c r="M65" s="264"/>
      <c r="N65" s="241" t="s">
        <v>253</v>
      </c>
      <c r="O65" s="98">
        <f>SUM(O55:O64)</f>
        <v>2193969</v>
      </c>
      <c r="P65" s="98">
        <f>SUM(P55:P64)</f>
        <v>2159916.2372400011</v>
      </c>
      <c r="Q65" s="602">
        <f>SUM(Q55:Q64)</f>
        <v>-34052.762759999168</v>
      </c>
      <c r="R65" s="39" t="str">
        <f t="shared" si="2"/>
        <v>несущ</v>
      </c>
    </row>
    <row r="66" spans="2:18">
      <c r="B66" s="116"/>
      <c r="C66" s="276" t="s">
        <v>254</v>
      </c>
      <c r="D66" s="129">
        <f>D65-C47</f>
        <v>0</v>
      </c>
      <c r="E66" s="129">
        <f>E65-D47</f>
        <v>0</v>
      </c>
      <c r="F66" s="126"/>
      <c r="G66" s="116"/>
      <c r="H66" s="116"/>
      <c r="J66" s="116"/>
      <c r="K66" s="116"/>
      <c r="M66" s="264"/>
      <c r="N66" s="276" t="s">
        <v>254</v>
      </c>
      <c r="O66" s="137">
        <f>O65-I47</f>
        <v>729</v>
      </c>
      <c r="P66" s="137">
        <f>P65-J47</f>
        <v>0</v>
      </c>
      <c r="Q66" s="116"/>
    </row>
    <row r="67" spans="2:18">
      <c r="B67" s="116"/>
      <c r="C67" s="264"/>
      <c r="D67" s="276"/>
      <c r="E67" s="129"/>
      <c r="F67" s="126"/>
      <c r="G67" s="126"/>
      <c r="H67" s="116"/>
      <c r="I67" s="116"/>
      <c r="J67" s="116"/>
      <c r="K67" s="116"/>
      <c r="L67" s="116"/>
      <c r="M67" s="264"/>
    </row>
    <row r="68" spans="2:18" ht="13">
      <c r="B68" s="270" t="s">
        <v>393</v>
      </c>
      <c r="C68" s="264"/>
      <c r="D68" s="276"/>
      <c r="E68" s="129"/>
      <c r="F68" s="126"/>
      <c r="G68" s="126"/>
      <c r="H68" s="116"/>
      <c r="I68" s="116"/>
      <c r="J68" s="116"/>
      <c r="K68" s="116"/>
      <c r="L68" s="116"/>
      <c r="M68" s="264"/>
    </row>
    <row r="69" spans="2:18">
      <c r="B69" s="116" t="s">
        <v>818</v>
      </c>
      <c r="C69" s="264"/>
      <c r="D69" s="276"/>
      <c r="E69" s="129"/>
      <c r="F69" s="126"/>
      <c r="G69" s="126"/>
      <c r="H69" s="116"/>
      <c r="I69" s="116"/>
      <c r="J69" s="116"/>
      <c r="K69" s="116"/>
      <c r="L69" s="116"/>
      <c r="M69" s="264"/>
    </row>
    <row r="70" spans="2:18" ht="13">
      <c r="B70" s="116" t="s">
        <v>819</v>
      </c>
      <c r="C70" s="264"/>
      <c r="D70" s="276"/>
      <c r="E70" s="129"/>
      <c r="F70" s="126"/>
      <c r="G70" s="126"/>
      <c r="H70" s="116"/>
      <c r="I70" s="116"/>
      <c r="J70" s="116"/>
      <c r="K70" s="116"/>
      <c r="L70" s="116"/>
      <c r="M70" s="264"/>
    </row>
    <row r="71" spans="2:18">
      <c r="B71" s="116" t="s">
        <v>820</v>
      </c>
      <c r="C71" s="264"/>
      <c r="D71" s="276"/>
      <c r="E71" s="129"/>
      <c r="F71" s="126"/>
      <c r="G71" s="126"/>
      <c r="H71" s="116"/>
      <c r="I71" s="116"/>
      <c r="J71" s="116"/>
      <c r="K71" s="116"/>
      <c r="L71" s="116"/>
      <c r="M71" s="264"/>
    </row>
    <row r="72" spans="2:18">
      <c r="B72" s="116"/>
      <c r="C72" s="264"/>
      <c r="D72" s="276"/>
      <c r="E72" s="129"/>
      <c r="F72" s="126"/>
      <c r="G72" s="126"/>
      <c r="H72" s="116"/>
      <c r="I72" s="116"/>
      <c r="J72" s="116"/>
      <c r="K72" s="116"/>
      <c r="L72" s="116"/>
      <c r="M72" s="264"/>
    </row>
    <row r="73" spans="2:18">
      <c r="B73" s="116"/>
      <c r="C73" s="445" t="s">
        <v>277</v>
      </c>
      <c r="D73" s="445" t="s">
        <v>440</v>
      </c>
      <c r="E73" s="445" t="s">
        <v>440</v>
      </c>
      <c r="F73" s="126"/>
      <c r="G73" s="126"/>
      <c r="H73" s="116"/>
      <c r="I73" s="116"/>
      <c r="J73" s="116"/>
      <c r="K73" s="116"/>
      <c r="L73" s="116"/>
      <c r="M73" s="264"/>
    </row>
    <row r="74" spans="2:18" ht="13">
      <c r="B74" s="476" t="s">
        <v>545</v>
      </c>
      <c r="C74" s="477" t="s">
        <v>544</v>
      </c>
      <c r="D74" s="325" t="s">
        <v>368</v>
      </c>
      <c r="E74" s="452" t="s">
        <v>27</v>
      </c>
      <c r="F74" s="126"/>
      <c r="G74" s="126"/>
      <c r="H74" s="116"/>
      <c r="I74" s="116"/>
      <c r="J74" s="116"/>
      <c r="K74" s="116"/>
      <c r="L74" s="116"/>
      <c r="M74" s="264"/>
    </row>
    <row r="75" spans="2:18" ht="13">
      <c r="B75" s="476" t="s">
        <v>546</v>
      </c>
      <c r="C75" s="478">
        <f>E57</f>
        <v>73099.002920000014</v>
      </c>
      <c r="D75" s="479">
        <f>H57+H64</f>
        <v>119094</v>
      </c>
      <c r="E75" s="480">
        <f>C75-D75</f>
        <v>-45994.997079999986</v>
      </c>
      <c r="F75" s="39" t="str">
        <f>IF(AND(ABS(E75)&gt;$F$5),"анализировать","несущ")</f>
        <v>несущ</v>
      </c>
      <c r="G75" s="126"/>
      <c r="H75" s="116"/>
      <c r="I75" s="116"/>
      <c r="J75" s="116"/>
      <c r="K75" s="116"/>
      <c r="L75" s="116"/>
      <c r="M75" s="264"/>
    </row>
    <row r="76" spans="2:18">
      <c r="B76" s="116"/>
      <c r="C76" s="264"/>
      <c r="D76" s="276"/>
      <c r="E76" s="129"/>
      <c r="F76" s="126"/>
      <c r="G76" s="126"/>
      <c r="H76" s="116"/>
      <c r="I76" s="116"/>
      <c r="J76" s="116"/>
      <c r="K76" s="116"/>
      <c r="L76" s="116"/>
      <c r="M76" s="264"/>
    </row>
    <row r="77" spans="2:18">
      <c r="B77" s="116"/>
      <c r="C77" s="264"/>
      <c r="D77" s="276"/>
      <c r="E77" s="129"/>
      <c r="F77" s="126"/>
      <c r="G77" s="126"/>
      <c r="H77" s="116"/>
      <c r="I77" s="116"/>
      <c r="J77" s="116"/>
      <c r="K77" s="116"/>
      <c r="L77" s="116"/>
      <c r="M77" s="264"/>
    </row>
    <row r="78" spans="2:18" ht="13">
      <c r="B78" s="266" t="s">
        <v>417</v>
      </c>
      <c r="C78" s="264"/>
      <c r="D78" s="276"/>
      <c r="E78" s="129"/>
      <c r="F78" s="126"/>
      <c r="G78" s="126"/>
      <c r="H78" s="116"/>
      <c r="I78" s="116"/>
      <c r="J78" s="116"/>
      <c r="K78" s="116"/>
      <c r="L78" s="116"/>
      <c r="M78" s="264"/>
    </row>
    <row r="79" spans="2:18">
      <c r="B79" s="116" t="s">
        <v>733</v>
      </c>
      <c r="C79" s="264"/>
      <c r="D79" s="276"/>
      <c r="E79" s="129"/>
      <c r="F79" s="126"/>
      <c r="G79" s="126"/>
      <c r="H79" s="116"/>
      <c r="I79" s="116"/>
      <c r="J79" s="116"/>
      <c r="K79" s="116"/>
      <c r="L79" s="116"/>
      <c r="M79" s="264"/>
    </row>
    <row r="80" spans="2:18">
      <c r="B80" s="116" t="s">
        <v>730</v>
      </c>
      <c r="C80" s="264"/>
      <c r="D80" s="276"/>
      <c r="E80" s="129"/>
      <c r="F80" s="126"/>
      <c r="G80" s="126"/>
      <c r="H80" s="116"/>
      <c r="I80" s="116"/>
      <c r="J80" s="116"/>
      <c r="K80" s="116"/>
      <c r="L80" s="116"/>
      <c r="M80" s="264"/>
    </row>
    <row r="81" spans="1:31">
      <c r="B81" s="116" t="s">
        <v>732</v>
      </c>
      <c r="C81" s="264"/>
      <c r="D81" s="276"/>
      <c r="E81" s="129"/>
      <c r="F81" s="126"/>
      <c r="G81" s="126"/>
      <c r="H81" s="116"/>
      <c r="I81" s="116"/>
      <c r="J81" s="116"/>
      <c r="K81" s="116"/>
      <c r="L81" s="116"/>
      <c r="M81" s="264"/>
    </row>
    <row r="82" spans="1:31">
      <c r="B82" s="116" t="s">
        <v>731</v>
      </c>
      <c r="C82" s="264"/>
      <c r="D82" s="276"/>
      <c r="E82" s="129"/>
      <c r="F82" s="126"/>
      <c r="G82" s="126"/>
      <c r="H82" s="116"/>
      <c r="I82" s="116"/>
      <c r="J82" s="116"/>
      <c r="K82" s="116"/>
      <c r="L82" s="116"/>
      <c r="M82" s="264"/>
    </row>
    <row r="83" spans="1:31">
      <c r="B83" s="116"/>
      <c r="C83" s="264"/>
      <c r="D83" s="276"/>
      <c r="E83" s="129"/>
      <c r="F83" s="126"/>
      <c r="G83" s="126"/>
      <c r="H83" s="116"/>
      <c r="I83" s="116"/>
      <c r="J83" s="116"/>
      <c r="K83" s="116"/>
      <c r="L83" s="116"/>
      <c r="M83" s="264"/>
    </row>
    <row r="84" spans="1:31">
      <c r="B84" s="116"/>
      <c r="C84" s="264"/>
      <c r="D84" s="276"/>
      <c r="E84" s="129"/>
      <c r="F84" s="126"/>
      <c r="G84" s="126"/>
      <c r="H84" s="116"/>
      <c r="I84" s="116"/>
      <c r="J84" s="116"/>
      <c r="K84" s="116"/>
      <c r="L84" s="116"/>
      <c r="M84" s="264"/>
    </row>
    <row r="85" spans="1:31" ht="13">
      <c r="B85" s="186" t="s">
        <v>389</v>
      </c>
      <c r="C85" s="135"/>
      <c r="D85" s="135"/>
      <c r="E85" s="135"/>
      <c r="F85" s="135"/>
    </row>
    <row r="86" spans="1:31" ht="13">
      <c r="A86" s="187" t="s">
        <v>290</v>
      </c>
      <c r="C86" s="135"/>
      <c r="D86" s="135"/>
      <c r="E86" s="135"/>
      <c r="F86" s="135"/>
      <c r="N86" s="188" t="s">
        <v>37</v>
      </c>
      <c r="O86" s="188" t="s">
        <v>37</v>
      </c>
      <c r="Q86" s="61" t="s">
        <v>15</v>
      </c>
      <c r="R86" s="188" t="s">
        <v>37</v>
      </c>
      <c r="T86" s="188" t="s">
        <v>37</v>
      </c>
      <c r="U86" s="188" t="s">
        <v>37</v>
      </c>
      <c r="V86" s="187" t="s">
        <v>290</v>
      </c>
      <c r="W86" s="186"/>
    </row>
    <row r="87" spans="1:31" ht="30" customHeight="1">
      <c r="B87" s="243" t="s">
        <v>384</v>
      </c>
      <c r="C87" s="140" t="s">
        <v>71</v>
      </c>
      <c r="D87" s="140" t="s">
        <v>72</v>
      </c>
      <c r="E87" s="140" t="s">
        <v>73</v>
      </c>
      <c r="F87" s="140" t="s">
        <v>74</v>
      </c>
      <c r="G87" s="141" t="s">
        <v>75</v>
      </c>
      <c r="H87" s="140" t="s">
        <v>76</v>
      </c>
      <c r="I87" s="140" t="s">
        <v>77</v>
      </c>
      <c r="J87" s="140" t="s">
        <v>78</v>
      </c>
      <c r="K87" s="134" t="s">
        <v>79</v>
      </c>
      <c r="L87" s="134" t="s">
        <v>80</v>
      </c>
      <c r="M87" s="134" t="s">
        <v>81</v>
      </c>
      <c r="N87" s="323" t="s">
        <v>342</v>
      </c>
      <c r="O87" s="324" t="s">
        <v>369</v>
      </c>
      <c r="Q87" s="325" t="s">
        <v>368</v>
      </c>
      <c r="R87" s="324" t="s">
        <v>355</v>
      </c>
      <c r="T87" s="326" t="s">
        <v>356</v>
      </c>
      <c r="U87" s="326" t="s">
        <v>357</v>
      </c>
      <c r="W87" s="134" t="s">
        <v>551</v>
      </c>
      <c r="X87" s="134" t="s">
        <v>552</v>
      </c>
      <c r="Y87" s="134" t="s">
        <v>553</v>
      </c>
      <c r="Z87" s="323" t="s">
        <v>592</v>
      </c>
      <c r="AA87" s="468" t="s">
        <v>597</v>
      </c>
      <c r="AB87" s="468" t="s">
        <v>598</v>
      </c>
      <c r="AC87" s="468" t="s">
        <v>599</v>
      </c>
      <c r="AE87" s="439" t="s">
        <v>555</v>
      </c>
    </row>
    <row r="88" spans="1:31" s="116" customFormat="1" ht="30" customHeight="1">
      <c r="B88" s="248" t="s">
        <v>386</v>
      </c>
      <c r="C88" s="604">
        <v>3205010010</v>
      </c>
      <c r="D88" s="116" t="s">
        <v>168</v>
      </c>
      <c r="E88" s="137">
        <v>16536.163240000002</v>
      </c>
      <c r="F88" s="137">
        <v>-1703.9549299999999</v>
      </c>
      <c r="G88" s="137">
        <v>177846.80060999998</v>
      </c>
      <c r="H88" s="137">
        <v>23634.75318</v>
      </c>
      <c r="I88" s="137">
        <v>2558.01062</v>
      </c>
      <c r="J88" s="137">
        <v>7058.3343199999999</v>
      </c>
      <c r="K88" s="137">
        <v>171186.18359</v>
      </c>
      <c r="L88" s="137">
        <v>30276.094670000002</v>
      </c>
      <c r="M88" s="137">
        <v>76578.369170000005</v>
      </c>
      <c r="N88" s="137">
        <f>SUM(E88:M88)</f>
        <v>503970.75446999999</v>
      </c>
      <c r="O88" s="559">
        <f>N88/$N$165</f>
        <v>0.2927233474936512</v>
      </c>
      <c r="Q88" s="315">
        <v>263763.12995000003</v>
      </c>
      <c r="R88" s="560">
        <f>Q88/$Q$165</f>
        <v>0.1752417787442142</v>
      </c>
      <c r="T88" s="315">
        <f>N88-Q88</f>
        <v>240207.62451999995</v>
      </c>
      <c r="U88" s="560">
        <f>O88-R88</f>
        <v>0.11748156874943699</v>
      </c>
      <c r="V88" s="561"/>
      <c r="W88" s="131">
        <v>3348.6618199999998</v>
      </c>
      <c r="X88" s="131">
        <v>122450.71442</v>
      </c>
      <c r="Y88" s="131">
        <v>62931.05204000001</v>
      </c>
      <c r="Z88" s="131">
        <f t="shared" ref="Z88:Z119" si="11">SUM(W88:Y88)</f>
        <v>188730.42827999999</v>
      </c>
      <c r="AA88" s="131">
        <f t="shared" ref="AA88:AA119" si="12">N88/9*3</f>
        <v>167990.25149</v>
      </c>
      <c r="AB88" s="131">
        <f t="shared" ref="AB88:AB119" si="13">Z88-AA88</f>
        <v>20740.176789999998</v>
      </c>
      <c r="AC88" s="199">
        <f t="shared" ref="AC88:AC130" si="14">AB88/Z88</f>
        <v>0.10989312629137853</v>
      </c>
      <c r="AD88" s="511" t="e">
        <f>#REF!</f>
        <v>#REF!</v>
      </c>
      <c r="AE88" s="137">
        <f>Z88+N88</f>
        <v>692701.18274999992</v>
      </c>
    </row>
    <row r="89" spans="1:31" ht="13">
      <c r="B89" s="312" t="str">
        <f>B209</f>
        <v>Комментарий 4</v>
      </c>
      <c r="C89" s="295">
        <v>3205010160</v>
      </c>
      <c r="D89" s="110" t="s">
        <v>182</v>
      </c>
      <c r="E89" s="49">
        <v>34090.226440000006</v>
      </c>
      <c r="F89" s="49">
        <v>33561.787320000003</v>
      </c>
      <c r="G89" s="49">
        <v>33568.172319999998</v>
      </c>
      <c r="H89" s="49">
        <v>33564.334390000004</v>
      </c>
      <c r="I89" s="49">
        <v>33568.923119999999</v>
      </c>
      <c r="J89" s="49">
        <v>33601.033769999995</v>
      </c>
      <c r="K89" s="49">
        <v>34565.25937</v>
      </c>
      <c r="L89" s="49">
        <v>36026.27702999999</v>
      </c>
      <c r="M89" s="49">
        <v>35218.598290000002</v>
      </c>
      <c r="N89" s="49">
        <f>SUM(E89:M89)</f>
        <v>307764.61204999994</v>
      </c>
      <c r="O89" s="290">
        <f t="shared" ref="O89:O152" si="15">N89/$N$165</f>
        <v>0.17876014963230111</v>
      </c>
      <c r="Q89" s="425">
        <v>269069.16489000001</v>
      </c>
      <c r="R89" s="426">
        <f t="shared" ref="R89:R152" si="16">Q89/$Q$165</f>
        <v>0.17876705917723307</v>
      </c>
      <c r="T89" s="425">
        <f t="shared" ref="T89:T152" si="17">N89-Q89</f>
        <v>38695.447159999923</v>
      </c>
      <c r="U89" s="426">
        <f t="shared" ref="U89:U152" si="18">O89-R89</f>
        <v>-6.9095449319600544E-6</v>
      </c>
      <c r="V89" s="464"/>
      <c r="W89" s="49">
        <v>34900.294320000001</v>
      </c>
      <c r="X89" s="49">
        <v>35464.980859999996</v>
      </c>
      <c r="Y89" s="49">
        <v>35326.239089999995</v>
      </c>
      <c r="Z89" s="49">
        <f t="shared" si="11"/>
        <v>105691.51426999999</v>
      </c>
      <c r="AA89" s="49">
        <f t="shared" si="12"/>
        <v>102588.20401666666</v>
      </c>
      <c r="AB89" s="49">
        <f t="shared" si="13"/>
        <v>3103.3102533333295</v>
      </c>
      <c r="AC89" s="290">
        <f t="shared" si="14"/>
        <v>2.9361962261280506E-2</v>
      </c>
      <c r="AD89" s="511"/>
      <c r="AE89" s="49">
        <f t="shared" ref="AE89:AE152" si="19">Z89+N89</f>
        <v>413456.12631999992</v>
      </c>
    </row>
    <row r="90" spans="1:31" ht="13" hidden="1" outlineLevel="1">
      <c r="B90" s="247" t="s">
        <v>791</v>
      </c>
      <c r="C90" s="295">
        <v>3205010259</v>
      </c>
      <c r="D90" s="110" t="s">
        <v>192</v>
      </c>
      <c r="E90" s="49">
        <v>10707.57086</v>
      </c>
      <c r="F90" s="49">
        <v>25231.325710000001</v>
      </c>
      <c r="G90" s="49">
        <v>18529.209770000001</v>
      </c>
      <c r="H90" s="49">
        <v>18372.375199999999</v>
      </c>
      <c r="I90" s="49">
        <v>18719.367309999998</v>
      </c>
      <c r="J90" s="49">
        <v>19776.721100000002</v>
      </c>
      <c r="K90" s="49">
        <v>6905.1685399999997</v>
      </c>
      <c r="L90" s="49">
        <v>23511.961749999999</v>
      </c>
      <c r="M90" s="49">
        <v>15085.793280000002</v>
      </c>
      <c r="N90" s="49">
        <f t="shared" ref="N90:N152" si="20">SUM(E90:M90)</f>
        <v>156839.49352000002</v>
      </c>
      <c r="O90" s="290">
        <f t="shared" si="15"/>
        <v>9.1097709847598213E-2</v>
      </c>
      <c r="Q90" s="425">
        <v>149382.66134000002</v>
      </c>
      <c r="R90" s="426">
        <f t="shared" si="16"/>
        <v>9.9248455581068457E-2</v>
      </c>
      <c r="T90" s="425">
        <f t="shared" si="17"/>
        <v>7456.8321799999976</v>
      </c>
      <c r="U90" s="426">
        <f t="shared" si="18"/>
        <v>-8.1507457334702438E-3</v>
      </c>
      <c r="V90" s="464"/>
      <c r="W90" s="49">
        <v>14977.771909999999</v>
      </c>
      <c r="X90" s="49">
        <v>6508.6562400000012</v>
      </c>
      <c r="Y90" s="49">
        <v>14372.001410000001</v>
      </c>
      <c r="Z90" s="49">
        <f t="shared" si="11"/>
        <v>35858.429560000004</v>
      </c>
      <c r="AA90" s="49">
        <f t="shared" si="12"/>
        <v>52279.831173333339</v>
      </c>
      <c r="AB90" s="49">
        <f t="shared" si="13"/>
        <v>-16421.401613333335</v>
      </c>
      <c r="AC90" s="290">
        <f t="shared" si="14"/>
        <v>-0.45795094249334811</v>
      </c>
      <c r="AD90" s="511"/>
      <c r="AE90" s="49">
        <f t="shared" si="19"/>
        <v>192697.92308000004</v>
      </c>
    </row>
    <row r="91" spans="1:31" ht="13" hidden="1" outlineLevel="1">
      <c r="B91" s="239" t="s">
        <v>365</v>
      </c>
      <c r="C91" s="295">
        <v>3205011070</v>
      </c>
      <c r="D91" s="110" t="s">
        <v>199</v>
      </c>
      <c r="E91" s="49">
        <v>11242.73273</v>
      </c>
      <c r="F91" s="49">
        <v>11242.73273</v>
      </c>
      <c r="G91" s="49">
        <v>11242.73273</v>
      </c>
      <c r="H91" s="49">
        <v>11242.73273</v>
      </c>
      <c r="I91" s="49">
        <v>11242.73273</v>
      </c>
      <c r="J91" s="49">
        <v>11242.73273</v>
      </c>
      <c r="K91" s="49">
        <v>15309.68432</v>
      </c>
      <c r="L91" s="49">
        <v>15296.499029999999</v>
      </c>
      <c r="M91" s="49">
        <v>15296.499029999999</v>
      </c>
      <c r="N91" s="49">
        <f t="shared" si="20"/>
        <v>113359.07876</v>
      </c>
      <c r="O91" s="290">
        <f t="shared" si="15"/>
        <v>6.5842806768262457E-2</v>
      </c>
      <c r="Q91" s="425">
        <v>119094.31414000003</v>
      </c>
      <c r="R91" s="426">
        <f t="shared" si="16"/>
        <v>7.9125158441106166E-2</v>
      </c>
      <c r="T91" s="425">
        <f t="shared" si="17"/>
        <v>-5735.2353800000274</v>
      </c>
      <c r="U91" s="426">
        <f t="shared" si="18"/>
        <v>-1.3282351672843709E-2</v>
      </c>
      <c r="V91" s="464"/>
      <c r="W91" s="49">
        <v>14784.204</v>
      </c>
      <c r="X91" s="49">
        <v>14784.204</v>
      </c>
      <c r="Y91" s="49">
        <v>14784.204</v>
      </c>
      <c r="Z91" s="49">
        <f t="shared" si="11"/>
        <v>44352.612000000001</v>
      </c>
      <c r="AA91" s="49">
        <f t="shared" si="12"/>
        <v>37786.359586666666</v>
      </c>
      <c r="AB91" s="49">
        <f t="shared" si="13"/>
        <v>6566.2524133333354</v>
      </c>
      <c r="AC91" s="290">
        <f t="shared" si="14"/>
        <v>0.14804657757999315</v>
      </c>
      <c r="AD91" s="511"/>
      <c r="AE91" s="49">
        <f t="shared" si="19"/>
        <v>157711.69076</v>
      </c>
    </row>
    <row r="92" spans="1:31" ht="13" hidden="1" outlineLevel="1">
      <c r="B92" s="248" t="s">
        <v>386</v>
      </c>
      <c r="C92" s="295">
        <v>3201120045</v>
      </c>
      <c r="D92" s="110" t="s">
        <v>120</v>
      </c>
      <c r="E92" s="49">
        <v>5090.8784400000004</v>
      </c>
      <c r="F92" s="49">
        <v>5090.8784400000004</v>
      </c>
      <c r="G92" s="49">
        <v>5039.4998900000001</v>
      </c>
      <c r="H92" s="49">
        <v>4661.4182499999997</v>
      </c>
      <c r="I92" s="49">
        <v>2844.04421</v>
      </c>
      <c r="J92" s="49">
        <v>20487.339120000001</v>
      </c>
      <c r="K92" s="49">
        <v>20994.031030000002</v>
      </c>
      <c r="L92" s="49">
        <v>6460.1053700000002</v>
      </c>
      <c r="M92" s="49">
        <v>2430.8081699999998</v>
      </c>
      <c r="N92" s="49">
        <f t="shared" si="20"/>
        <v>73099.002920000014</v>
      </c>
      <c r="O92" s="290">
        <f t="shared" si="15"/>
        <v>4.245838601427087E-2</v>
      </c>
      <c r="Q92" s="425">
        <v>45398.468389999995</v>
      </c>
      <c r="R92" s="426">
        <f t="shared" si="16"/>
        <v>3.0162321604367891E-2</v>
      </c>
      <c r="T92" s="425">
        <f t="shared" si="17"/>
        <v>27700.534530000019</v>
      </c>
      <c r="U92" s="426">
        <f t="shared" si="18"/>
        <v>1.2296064409902979E-2</v>
      </c>
      <c r="V92" s="464"/>
      <c r="W92" s="49">
        <v>3225.7853999999998</v>
      </c>
      <c r="X92" s="49">
        <v>15416.094009999999</v>
      </c>
      <c r="Y92" s="49">
        <v>9330.9365799999996</v>
      </c>
      <c r="Z92" s="49">
        <f t="shared" si="11"/>
        <v>27972.815989999996</v>
      </c>
      <c r="AA92" s="49">
        <f t="shared" si="12"/>
        <v>24366.334306666671</v>
      </c>
      <c r="AB92" s="49">
        <f t="shared" si="13"/>
        <v>3606.4816833333243</v>
      </c>
      <c r="AC92" s="290">
        <f t="shared" si="14"/>
        <v>0.12892808806316125</v>
      </c>
      <c r="AD92" s="511"/>
      <c r="AE92" s="49">
        <f t="shared" si="19"/>
        <v>101071.81891</v>
      </c>
    </row>
    <row r="93" spans="1:31" ht="13" hidden="1" outlineLevel="1">
      <c r="B93" s="248" t="s">
        <v>386</v>
      </c>
      <c r="C93" s="295">
        <v>3201120010</v>
      </c>
      <c r="D93" s="110" t="s">
        <v>115</v>
      </c>
      <c r="E93" s="49">
        <v>6106.1845600000006</v>
      </c>
      <c r="F93" s="49">
        <v>7196.2963800000007</v>
      </c>
      <c r="G93" s="49">
        <v>8012.5302999999985</v>
      </c>
      <c r="H93" s="49">
        <v>8191.2638899999993</v>
      </c>
      <c r="I93" s="49">
        <v>7473.1714699999993</v>
      </c>
      <c r="J93" s="49">
        <v>7866.2034100000001</v>
      </c>
      <c r="K93" s="49">
        <v>8777.0318000000007</v>
      </c>
      <c r="L93" s="49">
        <v>8062.0696600000001</v>
      </c>
      <c r="M93" s="49">
        <v>8562.4104700000007</v>
      </c>
      <c r="N93" s="49">
        <f t="shared" si="20"/>
        <v>70247.161939999991</v>
      </c>
      <c r="O93" s="290">
        <f t="shared" si="15"/>
        <v>4.0801939820159672E-2</v>
      </c>
      <c r="Q93" s="425">
        <v>70248.517879999999</v>
      </c>
      <c r="R93" s="426">
        <f t="shared" si="16"/>
        <v>4.6672464152853949E-2</v>
      </c>
      <c r="T93" s="425">
        <f t="shared" si="17"/>
        <v>-1.3559400000085589</v>
      </c>
      <c r="U93" s="426">
        <f t="shared" si="18"/>
        <v>-5.8705243326942769E-3</v>
      </c>
      <c r="V93" s="464"/>
      <c r="W93" s="49">
        <v>9170.2580300000009</v>
      </c>
      <c r="X93" s="49">
        <v>7124.55123</v>
      </c>
      <c r="Y93" s="49">
        <v>9855.8565400000007</v>
      </c>
      <c r="Z93" s="49">
        <f t="shared" si="11"/>
        <v>26150.665800000002</v>
      </c>
      <c r="AA93" s="49">
        <f t="shared" si="12"/>
        <v>23415.720646666665</v>
      </c>
      <c r="AB93" s="49">
        <f t="shared" si="13"/>
        <v>2734.9451533333377</v>
      </c>
      <c r="AC93" s="290">
        <f t="shared" si="14"/>
        <v>0.10458414995052774</v>
      </c>
      <c r="AD93" s="511"/>
      <c r="AE93" s="49">
        <f t="shared" si="19"/>
        <v>96397.827739999993</v>
      </c>
    </row>
    <row r="94" spans="1:31" ht="13" hidden="1" outlineLevel="1">
      <c r="B94" s="248" t="s">
        <v>386</v>
      </c>
      <c r="C94" s="295">
        <v>3205010150</v>
      </c>
      <c r="D94" s="110" t="s">
        <v>180</v>
      </c>
      <c r="E94" s="49">
        <v>6685.1850000000004</v>
      </c>
      <c r="F94" s="49">
        <v>6685.1850000000004</v>
      </c>
      <c r="G94" s="49">
        <v>6685.1850000000004</v>
      </c>
      <c r="H94" s="49">
        <v>7029.2579999999998</v>
      </c>
      <c r="I94" s="49">
        <v>7029.2579999999998</v>
      </c>
      <c r="J94" s="49">
        <v>7029.2579999999998</v>
      </c>
      <c r="K94" s="49">
        <v>7029.2579999999998</v>
      </c>
      <c r="L94" s="49">
        <v>7029.2579999999998</v>
      </c>
      <c r="M94" s="49">
        <v>7029.2579999999998</v>
      </c>
      <c r="N94" s="49">
        <f t="shared" si="20"/>
        <v>62231.10300000001</v>
      </c>
      <c r="O94" s="290">
        <f t="shared" si="15"/>
        <v>3.6145940268973643E-2</v>
      </c>
      <c r="Q94" s="425">
        <v>60154.460999999996</v>
      </c>
      <c r="R94" s="426">
        <f t="shared" si="16"/>
        <v>3.9966066322604542E-2</v>
      </c>
      <c r="T94" s="425">
        <f t="shared" si="17"/>
        <v>2076.6420000000144</v>
      </c>
      <c r="U94" s="426">
        <f t="shared" si="18"/>
        <v>-3.8201260536308984E-3</v>
      </c>
      <c r="V94" s="464"/>
      <c r="W94" s="49">
        <v>7029.2579999999998</v>
      </c>
      <c r="X94" s="49">
        <v>7029.2579999999998</v>
      </c>
      <c r="Y94" s="49">
        <v>7029.2579999999998</v>
      </c>
      <c r="Z94" s="49">
        <f t="shared" si="11"/>
        <v>21087.773999999998</v>
      </c>
      <c r="AA94" s="49">
        <f t="shared" si="12"/>
        <v>20743.701000000001</v>
      </c>
      <c r="AB94" s="49">
        <f t="shared" si="13"/>
        <v>344.07299999999668</v>
      </c>
      <c r="AC94" s="290">
        <f t="shared" si="14"/>
        <v>1.6316231386015269E-2</v>
      </c>
      <c r="AD94" s="511"/>
      <c r="AE94" s="49">
        <f t="shared" si="19"/>
        <v>83318.877000000008</v>
      </c>
    </row>
    <row r="95" spans="1:31" s="116" customFormat="1" ht="13" hidden="1" outlineLevel="1">
      <c r="B95" s="248" t="s">
        <v>386</v>
      </c>
      <c r="C95" s="295">
        <v>3205010020</v>
      </c>
      <c r="D95" s="116" t="s">
        <v>170</v>
      </c>
      <c r="E95" s="137">
        <v>0</v>
      </c>
      <c r="F95" s="137">
        <v>0</v>
      </c>
      <c r="G95" s="137">
        <v>852.92499999999995</v>
      </c>
      <c r="H95" s="137">
        <v>0</v>
      </c>
      <c r="I95" s="137">
        <v>1397.54928</v>
      </c>
      <c r="J95" s="137">
        <v>52137.77</v>
      </c>
      <c r="K95" s="137">
        <v>1032.23693</v>
      </c>
      <c r="L95" s="137">
        <v>0</v>
      </c>
      <c r="M95" s="137">
        <v>0</v>
      </c>
      <c r="N95" s="137">
        <f t="shared" si="20"/>
        <v>55420.481209999998</v>
      </c>
      <c r="O95" s="559">
        <f t="shared" si="15"/>
        <v>3.2190099595284946E-2</v>
      </c>
      <c r="Q95" s="315">
        <v>32253.710999999999</v>
      </c>
      <c r="R95" s="560">
        <f t="shared" si="16"/>
        <v>2.1429066631918115E-2</v>
      </c>
      <c r="T95" s="315">
        <f t="shared" si="17"/>
        <v>23166.770209999999</v>
      </c>
      <c r="U95" s="560">
        <f t="shared" si="18"/>
        <v>1.0761032963366831E-2</v>
      </c>
      <c r="V95" s="561"/>
      <c r="W95" s="131">
        <v>0</v>
      </c>
      <c r="X95" s="131">
        <v>0</v>
      </c>
      <c r="Y95" s="131">
        <v>1455.893</v>
      </c>
      <c r="Z95" s="131">
        <f t="shared" si="11"/>
        <v>1455.893</v>
      </c>
      <c r="AA95" s="131">
        <f t="shared" si="12"/>
        <v>18473.493736666664</v>
      </c>
      <c r="AB95" s="131">
        <f t="shared" si="13"/>
        <v>-17017.600736666664</v>
      </c>
      <c r="AC95" s="199">
        <f t="shared" si="14"/>
        <v>-11.688771590128301</v>
      </c>
      <c r="AD95" s="511"/>
      <c r="AE95" s="137">
        <f t="shared" si="19"/>
        <v>56876.374209999994</v>
      </c>
    </row>
    <row r="96" spans="1:31" ht="13" hidden="1" outlineLevel="1">
      <c r="B96" s="248" t="s">
        <v>386</v>
      </c>
      <c r="C96" s="295">
        <v>3205010080</v>
      </c>
      <c r="D96" s="110" t="s">
        <v>176</v>
      </c>
      <c r="E96" s="49">
        <v>3761.4971299999997</v>
      </c>
      <c r="F96" s="49">
        <v>3637.5813800000001</v>
      </c>
      <c r="G96" s="49">
        <v>3617.7049099999995</v>
      </c>
      <c r="H96" s="49">
        <v>6899.6518900000001</v>
      </c>
      <c r="I96" s="49">
        <v>4612.9412499999999</v>
      </c>
      <c r="J96" s="49">
        <v>4589.4955899999995</v>
      </c>
      <c r="K96" s="49">
        <v>4782.0774199999996</v>
      </c>
      <c r="L96" s="49">
        <v>4614.9250499999998</v>
      </c>
      <c r="M96" s="49">
        <v>4961.1390000000001</v>
      </c>
      <c r="N96" s="49">
        <f t="shared" si="20"/>
        <v>41477.013619999998</v>
      </c>
      <c r="O96" s="290">
        <f t="shared" si="15"/>
        <v>2.409125958837538E-2</v>
      </c>
      <c r="Q96" s="425">
        <v>32356.539809999998</v>
      </c>
      <c r="R96" s="426">
        <f t="shared" si="16"/>
        <v>2.1497385140171969E-2</v>
      </c>
      <c r="T96" s="425">
        <f t="shared" si="17"/>
        <v>9120.4738099999995</v>
      </c>
      <c r="U96" s="426">
        <f t="shared" si="18"/>
        <v>2.5938744482034114E-3</v>
      </c>
      <c r="V96" s="464"/>
      <c r="W96" s="49">
        <v>5948.6017599999996</v>
      </c>
      <c r="X96" s="49">
        <v>5713.4444999999996</v>
      </c>
      <c r="Y96" s="49">
        <v>5674.2743900000005</v>
      </c>
      <c r="Z96" s="49">
        <f t="shared" si="11"/>
        <v>17336.320650000001</v>
      </c>
      <c r="AA96" s="49">
        <f t="shared" si="12"/>
        <v>13825.671206666666</v>
      </c>
      <c r="AB96" s="49">
        <f t="shared" si="13"/>
        <v>3510.6494433333355</v>
      </c>
      <c r="AC96" s="290">
        <f t="shared" si="14"/>
        <v>0.20250256754066989</v>
      </c>
      <c r="AD96" s="511"/>
      <c r="AE96" s="49">
        <f t="shared" si="19"/>
        <v>58813.334269999999</v>
      </c>
    </row>
    <row r="97" spans="2:31" ht="13" hidden="1" outlineLevel="1">
      <c r="B97" s="248" t="s">
        <v>386</v>
      </c>
      <c r="C97" s="295">
        <v>3205010060</v>
      </c>
      <c r="D97" s="110" t="s">
        <v>174</v>
      </c>
      <c r="E97" s="49">
        <v>198.0633</v>
      </c>
      <c r="F97" s="49">
        <v>2202.4043099999999</v>
      </c>
      <c r="G97" s="49">
        <v>2392.1450700000005</v>
      </c>
      <c r="H97" s="49">
        <v>4959.7044700000006</v>
      </c>
      <c r="I97" s="49">
        <v>3866.4389299999998</v>
      </c>
      <c r="J97" s="49">
        <v>3029.0413599999997</v>
      </c>
      <c r="K97" s="49">
        <v>7890.0103599999993</v>
      </c>
      <c r="L97" s="49">
        <v>2664.35871</v>
      </c>
      <c r="M97" s="49">
        <v>10306.58273</v>
      </c>
      <c r="N97" s="49">
        <f t="shared" si="20"/>
        <v>37508.749240000005</v>
      </c>
      <c r="O97" s="290">
        <f t="shared" si="15"/>
        <v>2.1786356728932643E-2</v>
      </c>
      <c r="Q97" s="425">
        <v>33251.289629999992</v>
      </c>
      <c r="R97" s="426">
        <f t="shared" si="16"/>
        <v>2.2091848627231691E-2</v>
      </c>
      <c r="T97" s="425">
        <f t="shared" si="17"/>
        <v>4257.4596100000126</v>
      </c>
      <c r="U97" s="426">
        <f t="shared" si="18"/>
        <v>-3.0549189829904774E-4</v>
      </c>
      <c r="V97" s="464"/>
      <c r="W97" s="49">
        <v>5888.4002299999993</v>
      </c>
      <c r="X97" s="49">
        <v>6271.9734200000012</v>
      </c>
      <c r="Y97" s="49">
        <v>4925.5239199999996</v>
      </c>
      <c r="Z97" s="49">
        <f t="shared" si="11"/>
        <v>17085.897570000001</v>
      </c>
      <c r="AA97" s="49">
        <f t="shared" si="12"/>
        <v>12502.916413333334</v>
      </c>
      <c r="AB97" s="49">
        <f t="shared" si="13"/>
        <v>4582.9811566666667</v>
      </c>
      <c r="AC97" s="290">
        <f t="shared" si="14"/>
        <v>0.26823180566841398</v>
      </c>
      <c r="AD97" s="511"/>
      <c r="AE97" s="49">
        <f t="shared" si="19"/>
        <v>54594.646810000006</v>
      </c>
    </row>
    <row r="98" spans="2:31" ht="13" hidden="1" outlineLevel="1">
      <c r="B98" s="248" t="s">
        <v>386</v>
      </c>
      <c r="C98" s="295">
        <v>3304000022</v>
      </c>
      <c r="D98" s="110" t="s">
        <v>166</v>
      </c>
      <c r="E98" s="49">
        <v>2403.7312400000001</v>
      </c>
      <c r="F98" s="49">
        <v>2484.7457799999997</v>
      </c>
      <c r="G98" s="49">
        <v>2808.36042</v>
      </c>
      <c r="H98" s="49">
        <v>2544.9301</v>
      </c>
      <c r="I98" s="49">
        <v>2692.3156400000003</v>
      </c>
      <c r="J98" s="49">
        <v>2647.2747100000001</v>
      </c>
      <c r="K98" s="49">
        <v>2429.0702299999998</v>
      </c>
      <c r="L98" s="49">
        <v>5385.15535</v>
      </c>
      <c r="M98" s="49">
        <v>5159.4974400000001</v>
      </c>
      <c r="N98" s="49">
        <f t="shared" si="20"/>
        <v>28555.080910000001</v>
      </c>
      <c r="O98" s="290">
        <f t="shared" si="15"/>
        <v>1.6585761768493312E-2</v>
      </c>
      <c r="Q98" s="425">
        <v>21756.775979999999</v>
      </c>
      <c r="R98" s="426">
        <f t="shared" si="16"/>
        <v>1.4455000299690648E-2</v>
      </c>
      <c r="T98" s="425">
        <f t="shared" si="17"/>
        <v>6798.3049300000021</v>
      </c>
      <c r="U98" s="426">
        <f t="shared" si="18"/>
        <v>2.1307614688026635E-3</v>
      </c>
      <c r="V98" s="464"/>
      <c r="W98" s="49">
        <v>5202.6394800000007</v>
      </c>
      <c r="X98" s="49">
        <v>1873.9088299999996</v>
      </c>
      <c r="Y98" s="49">
        <v>5318.2853099999993</v>
      </c>
      <c r="Z98" s="49">
        <f t="shared" si="11"/>
        <v>12394.833619999999</v>
      </c>
      <c r="AA98" s="49">
        <f t="shared" si="12"/>
        <v>9518.3603033333329</v>
      </c>
      <c r="AB98" s="49">
        <f t="shared" si="13"/>
        <v>2876.4733166666665</v>
      </c>
      <c r="AC98" s="290">
        <f t="shared" si="14"/>
        <v>0.23207034518198452</v>
      </c>
      <c r="AD98" s="511"/>
      <c r="AE98" s="49">
        <f t="shared" si="19"/>
        <v>40949.914530000002</v>
      </c>
    </row>
    <row r="99" spans="2:31" ht="13" hidden="1" outlineLevel="1">
      <c r="B99" s="247" t="s">
        <v>791</v>
      </c>
      <c r="C99" s="295">
        <v>3205010012</v>
      </c>
      <c r="D99" s="110" t="s">
        <v>169</v>
      </c>
      <c r="E99" s="49">
        <v>3009.5</v>
      </c>
      <c r="F99" s="49">
        <v>3009.5</v>
      </c>
      <c r="G99" s="49">
        <v>3197.0786400000002</v>
      </c>
      <c r="H99" s="49">
        <v>3169.5</v>
      </c>
      <c r="I99" s="49">
        <v>3009.5</v>
      </c>
      <c r="J99" s="49">
        <v>3044.5</v>
      </c>
      <c r="K99" s="49">
        <v>3459.5</v>
      </c>
      <c r="L99" s="49">
        <v>3159.5</v>
      </c>
      <c r="M99" s="49">
        <v>3009.5</v>
      </c>
      <c r="N99" s="49">
        <f t="shared" si="20"/>
        <v>28068.07864</v>
      </c>
      <c r="O99" s="290">
        <f t="shared" si="15"/>
        <v>1.6302894293650793E-2</v>
      </c>
      <c r="Q99" s="425">
        <v>23129.83596</v>
      </c>
      <c r="R99" s="426">
        <f t="shared" si="16"/>
        <v>1.5367248623644447E-2</v>
      </c>
      <c r="T99" s="425">
        <f t="shared" si="17"/>
        <v>4938.2426799999994</v>
      </c>
      <c r="U99" s="426">
        <f t="shared" si="18"/>
        <v>9.3564567000634612E-4</v>
      </c>
      <c r="V99" s="464"/>
      <c r="W99" s="49">
        <v>3159.5</v>
      </c>
      <c r="X99" s="49">
        <v>3210.34746</v>
      </c>
      <c r="Y99" s="49">
        <v>2909.5</v>
      </c>
      <c r="Z99" s="49">
        <f t="shared" si="11"/>
        <v>9279.3474600000009</v>
      </c>
      <c r="AA99" s="49">
        <f t="shared" si="12"/>
        <v>9356.0262133333326</v>
      </c>
      <c r="AB99" s="49">
        <f t="shared" si="13"/>
        <v>-76.67875333333177</v>
      </c>
      <c r="AC99" s="290">
        <f t="shared" si="14"/>
        <v>-8.2633777497681683E-3</v>
      </c>
      <c r="AD99" s="511"/>
      <c r="AE99" s="49">
        <f t="shared" si="19"/>
        <v>37347.426099999997</v>
      </c>
    </row>
    <row r="100" spans="2:31" ht="13" hidden="1" outlineLevel="1">
      <c r="B100" s="248" t="s">
        <v>386</v>
      </c>
      <c r="C100" s="295">
        <v>3201120292</v>
      </c>
      <c r="D100" s="110" t="s">
        <v>131</v>
      </c>
      <c r="E100" s="49">
        <v>913.64360999999997</v>
      </c>
      <c r="F100" s="49">
        <v>2612.3077699999999</v>
      </c>
      <c r="G100" s="49">
        <v>3338.2292900000002</v>
      </c>
      <c r="H100" s="49">
        <v>3480.1296999999995</v>
      </c>
      <c r="I100" s="49">
        <v>3266.8103200000005</v>
      </c>
      <c r="J100" s="49">
        <v>3501.6979200000001</v>
      </c>
      <c r="K100" s="49">
        <v>2128.15445</v>
      </c>
      <c r="L100" s="49">
        <v>3330.7440799999999</v>
      </c>
      <c r="M100" s="49">
        <v>1084.50047</v>
      </c>
      <c r="N100" s="49">
        <f t="shared" si="20"/>
        <v>23656.217609999996</v>
      </c>
      <c r="O100" s="290">
        <f t="shared" si="15"/>
        <v>1.3740335419105493E-2</v>
      </c>
      <c r="Q100" s="425">
        <v>794.43027000000006</v>
      </c>
      <c r="R100" s="426">
        <f t="shared" si="16"/>
        <v>5.2781210789179273E-4</v>
      </c>
      <c r="T100" s="425">
        <f t="shared" si="17"/>
        <v>22861.787339999995</v>
      </c>
      <c r="U100" s="426">
        <f t="shared" si="18"/>
        <v>1.3212523311213699E-2</v>
      </c>
      <c r="V100" s="464"/>
      <c r="W100" s="49">
        <v>1287.68307</v>
      </c>
      <c r="X100" s="49">
        <v>1084.4021699999998</v>
      </c>
      <c r="Y100" s="49">
        <v>3525.9610999999995</v>
      </c>
      <c r="Z100" s="49">
        <f t="shared" si="11"/>
        <v>5898.046339999999</v>
      </c>
      <c r="AA100" s="49">
        <f t="shared" si="12"/>
        <v>7885.4058699999987</v>
      </c>
      <c r="AB100" s="49">
        <f t="shared" si="13"/>
        <v>-1987.3595299999997</v>
      </c>
      <c r="AC100" s="290">
        <f t="shared" si="14"/>
        <v>-0.33695217287831619</v>
      </c>
      <c r="AD100" s="511"/>
      <c r="AE100" s="49">
        <f t="shared" si="19"/>
        <v>29554.263949999993</v>
      </c>
    </row>
    <row r="101" spans="2:31" ht="13" hidden="1" outlineLevel="1">
      <c r="B101" s="248" t="s">
        <v>386</v>
      </c>
      <c r="C101" s="295">
        <v>3205020030</v>
      </c>
      <c r="D101" s="110" t="s">
        <v>245</v>
      </c>
      <c r="E101" s="49">
        <v>2618.9785699999998</v>
      </c>
      <c r="F101" s="49">
        <v>0</v>
      </c>
      <c r="G101" s="49">
        <v>4898.1698099999994</v>
      </c>
      <c r="H101" s="49">
        <v>2536.4632900000001</v>
      </c>
      <c r="I101" s="49">
        <v>2566.5738199999996</v>
      </c>
      <c r="J101" s="49">
        <v>2489.1960800000002</v>
      </c>
      <c r="K101" s="49">
        <v>3843.87646</v>
      </c>
      <c r="L101" s="49">
        <v>1424.4898500000002</v>
      </c>
      <c r="M101" s="49">
        <v>2505.25423</v>
      </c>
      <c r="N101" s="49">
        <f t="shared" si="20"/>
        <v>22883.002109999998</v>
      </c>
      <c r="O101" s="290">
        <f t="shared" si="15"/>
        <v>1.329122556999926E-2</v>
      </c>
      <c r="Q101" s="425">
        <v>23854.744999999999</v>
      </c>
      <c r="R101" s="426">
        <f t="shared" si="16"/>
        <v>1.5848871470709697E-2</v>
      </c>
      <c r="T101" s="425">
        <f t="shared" si="17"/>
        <v>-971.74289000000135</v>
      </c>
      <c r="U101" s="426">
        <f t="shared" si="18"/>
        <v>-2.5576459007104375E-3</v>
      </c>
      <c r="V101" s="464"/>
      <c r="W101" s="49">
        <v>2634.8102400000002</v>
      </c>
      <c r="X101" s="49">
        <v>2474.9327499999999</v>
      </c>
      <c r="Y101" s="49">
        <v>2582.1453099999999</v>
      </c>
      <c r="Z101" s="49">
        <f t="shared" si="11"/>
        <v>7691.8883000000005</v>
      </c>
      <c r="AA101" s="49">
        <f t="shared" si="12"/>
        <v>7627.6673699999992</v>
      </c>
      <c r="AB101" s="49">
        <f t="shared" si="13"/>
        <v>64.220930000001317</v>
      </c>
      <c r="AC101" s="290">
        <f t="shared" si="14"/>
        <v>8.3491761054306154E-3</v>
      </c>
      <c r="AD101" s="511"/>
      <c r="AE101" s="49">
        <f t="shared" si="19"/>
        <v>30574.89041</v>
      </c>
    </row>
    <row r="102" spans="2:31" ht="13" hidden="1" outlineLevel="1">
      <c r="B102" s="248" t="s">
        <v>386</v>
      </c>
      <c r="C102" s="295">
        <v>3201120140</v>
      </c>
      <c r="D102" s="110" t="s">
        <v>125</v>
      </c>
      <c r="E102" s="49">
        <v>1952.03775</v>
      </c>
      <c r="F102" s="49">
        <v>1962.0482</v>
      </c>
      <c r="G102" s="49">
        <v>1946.0314799999999</v>
      </c>
      <c r="H102" s="49">
        <v>2002.09</v>
      </c>
      <c r="I102" s="49">
        <v>2002.09</v>
      </c>
      <c r="J102" s="49">
        <v>2002.09</v>
      </c>
      <c r="K102" s="49">
        <v>3548.91</v>
      </c>
      <c r="L102" s="49">
        <v>2736.643</v>
      </c>
      <c r="M102" s="49">
        <v>2775.5</v>
      </c>
      <c r="N102" s="49">
        <f t="shared" si="20"/>
        <v>20927.440429999999</v>
      </c>
      <c r="O102" s="290">
        <f t="shared" si="15"/>
        <v>1.2155368863786391E-2</v>
      </c>
      <c r="Q102" s="425">
        <v>17314.028549999999</v>
      </c>
      <c r="R102" s="426">
        <f t="shared" si="16"/>
        <v>1.1503280086588566E-2</v>
      </c>
      <c r="T102" s="425">
        <f t="shared" si="17"/>
        <v>3613.4118799999997</v>
      </c>
      <c r="U102" s="426">
        <f t="shared" si="18"/>
        <v>6.5208877719782551E-4</v>
      </c>
      <c r="V102" s="464"/>
      <c r="W102" s="49">
        <v>2775.5</v>
      </c>
      <c r="X102" s="49">
        <v>2686.6840000000002</v>
      </c>
      <c r="Y102" s="49">
        <v>2769.9490000000001</v>
      </c>
      <c r="Z102" s="49">
        <f t="shared" si="11"/>
        <v>8232.1329999999998</v>
      </c>
      <c r="AA102" s="49">
        <f t="shared" si="12"/>
        <v>6975.8134766666662</v>
      </c>
      <c r="AB102" s="49">
        <f t="shared" si="13"/>
        <v>1256.3195233333336</v>
      </c>
      <c r="AC102" s="290">
        <f t="shared" si="14"/>
        <v>0.15261166496378686</v>
      </c>
      <c r="AD102" s="511"/>
      <c r="AE102" s="49">
        <f t="shared" si="19"/>
        <v>29159.573429999997</v>
      </c>
    </row>
    <row r="103" spans="2:31" ht="13" hidden="1" outlineLevel="1">
      <c r="B103" s="248" t="s">
        <v>386</v>
      </c>
      <c r="C103" s="295">
        <v>3205010256</v>
      </c>
      <c r="D103" s="110" t="s">
        <v>190</v>
      </c>
      <c r="E103" s="49">
        <v>1609.5305499999999</v>
      </c>
      <c r="F103" s="49">
        <v>2165.5975800000001</v>
      </c>
      <c r="G103" s="49">
        <v>2078.5214700000001</v>
      </c>
      <c r="H103" s="49">
        <v>2832.8233999999998</v>
      </c>
      <c r="I103" s="49">
        <v>2053.0259900000001</v>
      </c>
      <c r="J103" s="49">
        <v>2638.3568999999998</v>
      </c>
      <c r="K103" s="49">
        <v>2507.6894700000003</v>
      </c>
      <c r="L103" s="49">
        <v>1548.58548</v>
      </c>
      <c r="M103" s="49">
        <v>1590.8312100000001</v>
      </c>
      <c r="N103" s="49">
        <f t="shared" si="20"/>
        <v>19024.962050000002</v>
      </c>
      <c r="O103" s="290">
        <f t="shared" si="15"/>
        <v>1.1050344742865804E-2</v>
      </c>
      <c r="Q103" s="425">
        <v>24829.387099999996</v>
      </c>
      <c r="R103" s="426">
        <f t="shared" si="16"/>
        <v>1.649641464808772E-2</v>
      </c>
      <c r="T103" s="425">
        <f t="shared" si="17"/>
        <v>-5804.4250499999944</v>
      </c>
      <c r="U103" s="426">
        <f t="shared" si="18"/>
        <v>-5.4460699052219161E-3</v>
      </c>
      <c r="V103" s="464"/>
      <c r="W103" s="49">
        <v>2535.6261199999999</v>
      </c>
      <c r="X103" s="49">
        <v>2621.7493899999999</v>
      </c>
      <c r="Y103" s="49">
        <v>2300.6878099999999</v>
      </c>
      <c r="Z103" s="49">
        <f t="shared" si="11"/>
        <v>7458.0633199999993</v>
      </c>
      <c r="AA103" s="49">
        <f t="shared" si="12"/>
        <v>6341.6540166666673</v>
      </c>
      <c r="AB103" s="49">
        <f t="shared" si="13"/>
        <v>1116.409303333332</v>
      </c>
      <c r="AC103" s="290">
        <f t="shared" si="14"/>
        <v>0.14969158284557607</v>
      </c>
      <c r="AD103" s="511"/>
      <c r="AE103" s="49">
        <f t="shared" si="19"/>
        <v>26483.025370000003</v>
      </c>
    </row>
    <row r="104" spans="2:31" s="116" customFormat="1" ht="13" hidden="1" outlineLevel="1">
      <c r="B104" s="248" t="s">
        <v>386</v>
      </c>
      <c r="C104" s="295">
        <v>3205010910</v>
      </c>
      <c r="D104" s="116" t="s">
        <v>198</v>
      </c>
      <c r="E104" s="137">
        <v>592.9</v>
      </c>
      <c r="F104" s="137">
        <v>1642.2</v>
      </c>
      <c r="G104" s="137">
        <v>2002.98855</v>
      </c>
      <c r="H104" s="137">
        <v>2174.6898799999999</v>
      </c>
      <c r="I104" s="137">
        <v>1752.23261</v>
      </c>
      <c r="J104" s="137">
        <v>2008.1418600000002</v>
      </c>
      <c r="K104" s="137">
        <v>1417.4782499999999</v>
      </c>
      <c r="L104" s="137">
        <v>3319.9601200000002</v>
      </c>
      <c r="M104" s="137">
        <v>3873.6642700000002</v>
      </c>
      <c r="N104" s="137">
        <f t="shared" si="20"/>
        <v>18784.255540000002</v>
      </c>
      <c r="O104" s="559">
        <f t="shared" si="15"/>
        <v>1.0910534218652323E-2</v>
      </c>
      <c r="Q104" s="315">
        <v>15373.4344</v>
      </c>
      <c r="R104" s="560">
        <f t="shared" si="16"/>
        <v>1.0213967320505293E-2</v>
      </c>
      <c r="T104" s="315">
        <f t="shared" si="17"/>
        <v>3410.8211400000018</v>
      </c>
      <c r="U104" s="560">
        <f t="shared" si="18"/>
        <v>6.9656689814702986E-4</v>
      </c>
      <c r="V104" s="561"/>
      <c r="W104" s="137">
        <v>3508.2008599999999</v>
      </c>
      <c r="X104" s="137">
        <v>4736.87266</v>
      </c>
      <c r="Y104" s="137">
        <v>8572.8220000000001</v>
      </c>
      <c r="Z104" s="137">
        <f t="shared" si="11"/>
        <v>16817.895519999998</v>
      </c>
      <c r="AA104" s="137">
        <f t="shared" si="12"/>
        <v>6261.418513333334</v>
      </c>
      <c r="AB104" s="137">
        <f t="shared" si="13"/>
        <v>10556.477006666664</v>
      </c>
      <c r="AC104" s="559">
        <f t="shared" si="14"/>
        <v>0.62769310191710981</v>
      </c>
      <c r="AD104" s="511" t="e">
        <f>#REF!</f>
        <v>#REF!</v>
      </c>
      <c r="AE104" s="137">
        <f t="shared" si="19"/>
        <v>35602.151060000004</v>
      </c>
    </row>
    <row r="105" spans="2:31" ht="13" hidden="1" outlineLevel="1">
      <c r="B105" s="248" t="s">
        <v>386</v>
      </c>
      <c r="C105" s="295">
        <v>3205010190</v>
      </c>
      <c r="D105" s="110" t="s">
        <v>184</v>
      </c>
      <c r="E105" s="49">
        <v>2012.23424</v>
      </c>
      <c r="F105" s="49">
        <v>2060.7834699999999</v>
      </c>
      <c r="G105" s="49">
        <v>2028.7980899999998</v>
      </c>
      <c r="H105" s="49">
        <v>2096.49449</v>
      </c>
      <c r="I105" s="49">
        <v>2107.9013799999998</v>
      </c>
      <c r="J105" s="49">
        <v>1897.4073100000001</v>
      </c>
      <c r="K105" s="49">
        <v>1775.9382499999999</v>
      </c>
      <c r="L105" s="49">
        <v>1475.0382</v>
      </c>
      <c r="M105" s="49">
        <v>1673.9760200000001</v>
      </c>
      <c r="N105" s="49">
        <f t="shared" si="20"/>
        <v>17128.571450000003</v>
      </c>
      <c r="O105" s="290">
        <f t="shared" si="15"/>
        <v>9.9488566115330992E-3</v>
      </c>
      <c r="Q105" s="425">
        <v>17188.145800000002</v>
      </c>
      <c r="R105" s="426">
        <f t="shared" si="16"/>
        <v>1.1419644754283424E-2</v>
      </c>
      <c r="T105" s="425">
        <f t="shared" si="17"/>
        <v>-59.574349999998958</v>
      </c>
      <c r="U105" s="426">
        <f t="shared" si="18"/>
        <v>-1.4707881427503244E-3</v>
      </c>
      <c r="V105" s="464"/>
      <c r="W105" s="49">
        <v>3256.3707300000001</v>
      </c>
      <c r="X105" s="49">
        <v>1846.31809</v>
      </c>
      <c r="Y105" s="49">
        <v>2838.4241499999998</v>
      </c>
      <c r="Z105" s="49">
        <f t="shared" si="11"/>
        <v>7941.1129700000001</v>
      </c>
      <c r="AA105" s="49">
        <f t="shared" si="12"/>
        <v>5709.5238166666677</v>
      </c>
      <c r="AB105" s="49">
        <f t="shared" si="13"/>
        <v>2231.5891533333324</v>
      </c>
      <c r="AC105" s="290">
        <f t="shared" si="14"/>
        <v>0.28101717753718497</v>
      </c>
      <c r="AD105" s="511"/>
      <c r="AE105" s="49">
        <f t="shared" si="19"/>
        <v>25069.684420000005</v>
      </c>
    </row>
    <row r="106" spans="2:31" s="116" customFormat="1" ht="13" hidden="1" outlineLevel="1">
      <c r="B106" s="248" t="s">
        <v>386</v>
      </c>
      <c r="C106" s="295">
        <v>3201120020</v>
      </c>
      <c r="D106" s="116" t="s">
        <v>117</v>
      </c>
      <c r="E106" s="137">
        <v>1120.9236799999999</v>
      </c>
      <c r="F106" s="137">
        <v>1698.2776999999999</v>
      </c>
      <c r="G106" s="137">
        <v>575.69659000000013</v>
      </c>
      <c r="H106" s="137">
        <v>1017.52508</v>
      </c>
      <c r="I106" s="137">
        <v>1892.1750099999999</v>
      </c>
      <c r="J106" s="137">
        <v>2387.8578899999998</v>
      </c>
      <c r="K106" s="137">
        <v>946.54122000000007</v>
      </c>
      <c r="L106" s="137">
        <v>1541.7411499999998</v>
      </c>
      <c r="M106" s="137">
        <v>2348.7496299999998</v>
      </c>
      <c r="N106" s="137">
        <f t="shared" si="20"/>
        <v>13529.487949999999</v>
      </c>
      <c r="O106" s="559">
        <f t="shared" si="15"/>
        <v>7.8583865580929609E-3</v>
      </c>
      <c r="Q106" s="315">
        <v>10982.97624</v>
      </c>
      <c r="R106" s="560">
        <f t="shared" si="16"/>
        <v>7.2969876137270991E-3</v>
      </c>
      <c r="T106" s="315">
        <f t="shared" si="17"/>
        <v>2546.5117099999989</v>
      </c>
      <c r="U106" s="560">
        <f t="shared" si="18"/>
        <v>5.6139894436586183E-4</v>
      </c>
      <c r="V106" s="561"/>
      <c r="W106" s="137">
        <v>5039.8916200000003</v>
      </c>
      <c r="X106" s="137">
        <v>4650.3491299999996</v>
      </c>
      <c r="Y106" s="137">
        <v>11880.594620000002</v>
      </c>
      <c r="Z106" s="137">
        <f t="shared" si="11"/>
        <v>21570.835370000001</v>
      </c>
      <c r="AA106" s="137">
        <f t="shared" si="12"/>
        <v>4509.8293166666663</v>
      </c>
      <c r="AB106" s="137">
        <f t="shared" si="13"/>
        <v>17061.006053333334</v>
      </c>
      <c r="AC106" s="559">
        <f t="shared" si="14"/>
        <v>0.79092931547107415</v>
      </c>
      <c r="AD106" s="511" t="e">
        <f>#REF!</f>
        <v>#REF!</v>
      </c>
      <c r="AE106" s="137">
        <f t="shared" si="19"/>
        <v>35100.323319999996</v>
      </c>
    </row>
    <row r="107" spans="2:31" ht="13" hidden="1" outlineLevel="1">
      <c r="B107" s="248" t="s">
        <v>386</v>
      </c>
      <c r="C107" s="295">
        <v>3201120086</v>
      </c>
      <c r="D107" s="110" t="s">
        <v>121</v>
      </c>
      <c r="E107" s="49">
        <v>1236.3935599999998</v>
      </c>
      <c r="F107" s="49">
        <v>1257.4774399999999</v>
      </c>
      <c r="G107" s="49">
        <v>1369.34736</v>
      </c>
      <c r="H107" s="49">
        <v>1398.3753300000001</v>
      </c>
      <c r="I107" s="49">
        <v>1530.7355699999998</v>
      </c>
      <c r="J107" s="49">
        <v>1386.1983</v>
      </c>
      <c r="K107" s="49">
        <v>1409.6170199999999</v>
      </c>
      <c r="L107" s="49">
        <v>1458.8805399999999</v>
      </c>
      <c r="M107" s="49">
        <v>1401.7338599999998</v>
      </c>
      <c r="N107" s="49">
        <f t="shared" si="20"/>
        <v>12448.758980000001</v>
      </c>
      <c r="O107" s="290">
        <f t="shared" si="15"/>
        <v>7.2306624311950438E-3</v>
      </c>
      <c r="Q107" s="425">
        <v>3650.5432300000002</v>
      </c>
      <c r="R107" s="426">
        <f t="shared" si="16"/>
        <v>2.425387085485065E-3</v>
      </c>
      <c r="T107" s="425">
        <f t="shared" si="17"/>
        <v>8798.2157499999994</v>
      </c>
      <c r="U107" s="426">
        <f t="shared" si="18"/>
        <v>4.8052753457099792E-3</v>
      </c>
      <c r="V107" s="464"/>
      <c r="W107" s="49">
        <v>1320.7789599999999</v>
      </c>
      <c r="X107" s="49">
        <v>1337.86518</v>
      </c>
      <c r="Y107" s="49">
        <v>1490.2328600000001</v>
      </c>
      <c r="Z107" s="49">
        <f t="shared" si="11"/>
        <v>4148.8770000000004</v>
      </c>
      <c r="AA107" s="49">
        <f t="shared" si="12"/>
        <v>4149.5863266666665</v>
      </c>
      <c r="AB107" s="49">
        <f t="shared" si="13"/>
        <v>-0.70932666666612931</v>
      </c>
      <c r="AC107" s="290">
        <f t="shared" si="14"/>
        <v>-1.7096835280152418E-4</v>
      </c>
      <c r="AD107" s="511"/>
      <c r="AE107" s="49">
        <f t="shared" si="19"/>
        <v>16597.635979999999</v>
      </c>
    </row>
    <row r="108" spans="2:31" s="116" customFormat="1" ht="13" hidden="1" outlineLevel="1">
      <c r="B108" s="248" t="s">
        <v>386</v>
      </c>
      <c r="C108" s="295">
        <v>3205090050</v>
      </c>
      <c r="D108" s="116" t="s">
        <v>230</v>
      </c>
      <c r="E108" s="137">
        <v>347.57144</v>
      </c>
      <c r="F108" s="137">
        <v>457.22469999999998</v>
      </c>
      <c r="G108" s="137">
        <v>2821.5417299999999</v>
      </c>
      <c r="H108" s="137">
        <v>173.18329</v>
      </c>
      <c r="I108" s="137">
        <v>102.08093000000001</v>
      </c>
      <c r="J108" s="137">
        <v>2721.2054900000003</v>
      </c>
      <c r="K108" s="137">
        <v>900.53986999999995</v>
      </c>
      <c r="L108" s="137">
        <v>288.96037000000001</v>
      </c>
      <c r="M108" s="137">
        <v>3633.3346200000001</v>
      </c>
      <c r="N108" s="137">
        <f t="shared" si="20"/>
        <v>11445.64244</v>
      </c>
      <c r="O108" s="559">
        <f t="shared" si="15"/>
        <v>6.6480182422006835E-3</v>
      </c>
      <c r="Q108" s="315">
        <v>16754.292990000002</v>
      </c>
      <c r="R108" s="560">
        <f t="shared" si="16"/>
        <v>1.1131396968658541E-2</v>
      </c>
      <c r="T108" s="315">
        <f t="shared" si="17"/>
        <v>-5308.6505500000021</v>
      </c>
      <c r="U108" s="560">
        <f t="shared" si="18"/>
        <v>-4.4833787264578571E-3</v>
      </c>
      <c r="V108" s="561"/>
      <c r="W108" s="137">
        <v>3103.6083899999999</v>
      </c>
      <c r="X108" s="137">
        <v>184.63428000000002</v>
      </c>
      <c r="Y108" s="137">
        <v>26458.306920000003</v>
      </c>
      <c r="Z108" s="137">
        <f t="shared" si="11"/>
        <v>29746.549590000002</v>
      </c>
      <c r="AA108" s="137">
        <f t="shared" si="12"/>
        <v>3815.2141466666667</v>
      </c>
      <c r="AB108" s="137">
        <f t="shared" si="13"/>
        <v>25931.335443333337</v>
      </c>
      <c r="AC108" s="559">
        <f t="shared" si="14"/>
        <v>0.87174263236401583</v>
      </c>
      <c r="AD108" s="511" t="e">
        <f>#REF!</f>
        <v>#REF!</v>
      </c>
      <c r="AE108" s="137">
        <f t="shared" si="19"/>
        <v>41192.192030000006</v>
      </c>
    </row>
    <row r="109" spans="2:31" s="116" customFormat="1" ht="13" hidden="1" outlineLevel="1">
      <c r="B109" s="248" t="s">
        <v>386</v>
      </c>
      <c r="C109" s="295">
        <v>3205090062</v>
      </c>
      <c r="D109" s="116" t="s">
        <v>232</v>
      </c>
      <c r="E109" s="137">
        <v>1373.85</v>
      </c>
      <c r="F109" s="137">
        <v>2389.0390000000002</v>
      </c>
      <c r="G109" s="137">
        <v>2100.9810000000002</v>
      </c>
      <c r="H109" s="137">
        <v>321.625</v>
      </c>
      <c r="I109" s="137">
        <v>6.4880000000000004</v>
      </c>
      <c r="J109" s="137">
        <v>306.274</v>
      </c>
      <c r="K109" s="137">
        <v>2752.183</v>
      </c>
      <c r="L109" s="137">
        <v>1906.7629999999999</v>
      </c>
      <c r="M109" s="137">
        <v>0</v>
      </c>
      <c r="N109" s="137">
        <f t="shared" si="20"/>
        <v>11157.203000000001</v>
      </c>
      <c r="O109" s="559">
        <f t="shared" si="15"/>
        <v>6.4804828094853712E-3</v>
      </c>
      <c r="Q109" s="315">
        <v>1.80111</v>
      </c>
      <c r="R109" s="560">
        <f t="shared" si="16"/>
        <v>1.1966407896881708E-6</v>
      </c>
      <c r="T109" s="315">
        <f t="shared" si="17"/>
        <v>11155.401890000001</v>
      </c>
      <c r="U109" s="560">
        <f t="shared" si="18"/>
        <v>6.4792861686956832E-3</v>
      </c>
      <c r="V109" s="561"/>
      <c r="W109" s="137">
        <v>0</v>
      </c>
      <c r="X109" s="137">
        <v>0</v>
      </c>
      <c r="Y109" s="137">
        <v>227.35400000000001</v>
      </c>
      <c r="Z109" s="137">
        <f t="shared" si="11"/>
        <v>227.35400000000001</v>
      </c>
      <c r="AA109" s="137">
        <f t="shared" si="12"/>
        <v>3719.0676666666668</v>
      </c>
      <c r="AB109" s="137">
        <f t="shared" si="13"/>
        <v>-3491.713666666667</v>
      </c>
      <c r="AC109" s="559">
        <f t="shared" si="14"/>
        <v>-15.358048095334443</v>
      </c>
      <c r="AD109" s="511"/>
      <c r="AE109" s="137">
        <f t="shared" si="19"/>
        <v>11384.557000000001</v>
      </c>
    </row>
    <row r="110" spans="2:31" ht="13" hidden="1" outlineLevel="1">
      <c r="B110" s="248" t="s">
        <v>386</v>
      </c>
      <c r="C110" s="295">
        <v>3201120090</v>
      </c>
      <c r="D110" s="110" t="s">
        <v>122</v>
      </c>
      <c r="E110" s="49">
        <v>294.30378000000002</v>
      </c>
      <c r="F110" s="49">
        <v>1325.14239</v>
      </c>
      <c r="G110" s="49">
        <v>472.98631</v>
      </c>
      <c r="H110" s="49">
        <v>1836.2350599999997</v>
      </c>
      <c r="I110" s="49">
        <v>863.17354</v>
      </c>
      <c r="J110" s="49">
        <v>1212.1742099999999</v>
      </c>
      <c r="K110" s="49">
        <v>1458.57411</v>
      </c>
      <c r="L110" s="49">
        <v>1764.0842700000001</v>
      </c>
      <c r="M110" s="49">
        <v>1042.8338100000001</v>
      </c>
      <c r="N110" s="49">
        <f t="shared" si="20"/>
        <v>10269.507479999998</v>
      </c>
      <c r="O110" s="290">
        <f t="shared" si="15"/>
        <v>5.9648790728304771E-3</v>
      </c>
      <c r="Q110" s="425">
        <v>5456.07024</v>
      </c>
      <c r="R110" s="426">
        <f t="shared" si="16"/>
        <v>3.6249624956764034E-3</v>
      </c>
      <c r="T110" s="425">
        <f t="shared" si="17"/>
        <v>4813.4372399999984</v>
      </c>
      <c r="U110" s="426">
        <f t="shared" si="18"/>
        <v>2.3399165771540737E-3</v>
      </c>
      <c r="V110" s="464"/>
      <c r="W110" s="49">
        <v>1401.5890799999997</v>
      </c>
      <c r="X110" s="49">
        <v>1184.09843</v>
      </c>
      <c r="Y110" s="49">
        <v>7667.9986399999998</v>
      </c>
      <c r="Z110" s="49">
        <f t="shared" si="11"/>
        <v>10253.68615</v>
      </c>
      <c r="AA110" s="49">
        <f t="shared" si="12"/>
        <v>3423.1691599999995</v>
      </c>
      <c r="AB110" s="49">
        <f t="shared" si="13"/>
        <v>6830.5169900000001</v>
      </c>
      <c r="AC110" s="290">
        <f t="shared" si="14"/>
        <v>0.6661523368354707</v>
      </c>
      <c r="AD110" s="511"/>
      <c r="AE110" s="49">
        <f t="shared" si="19"/>
        <v>20523.193629999998</v>
      </c>
    </row>
    <row r="111" spans="2:31" ht="13" hidden="1" outlineLevel="1">
      <c r="B111" s="248" t="s">
        <v>386</v>
      </c>
      <c r="C111" s="295">
        <v>3205010900</v>
      </c>
      <c r="D111" s="110" t="s">
        <v>194</v>
      </c>
      <c r="E111" s="49">
        <v>296.00473999999997</v>
      </c>
      <c r="F111" s="49">
        <v>1426.5047400000001</v>
      </c>
      <c r="G111" s="49">
        <v>1532.4471199999998</v>
      </c>
      <c r="H111" s="49">
        <v>932.45649000000003</v>
      </c>
      <c r="I111" s="49">
        <v>987.48426000000006</v>
      </c>
      <c r="J111" s="49">
        <v>954.95758000000001</v>
      </c>
      <c r="K111" s="49">
        <v>806.37123999999994</v>
      </c>
      <c r="L111" s="49">
        <v>1135.4558999999999</v>
      </c>
      <c r="M111" s="49">
        <v>912.46448999999996</v>
      </c>
      <c r="N111" s="49">
        <f t="shared" si="20"/>
        <v>8984.1465599999992</v>
      </c>
      <c r="O111" s="290">
        <f t="shared" si="15"/>
        <v>5.2182977525798467E-3</v>
      </c>
      <c r="Q111" s="425">
        <v>8880.5040200000003</v>
      </c>
      <c r="R111" s="426">
        <f t="shared" si="16"/>
        <v>5.9001245583677701E-3</v>
      </c>
      <c r="T111" s="425">
        <f t="shared" si="17"/>
        <v>103.64253999999892</v>
      </c>
      <c r="U111" s="426">
        <f t="shared" si="18"/>
        <v>-6.8182680578792332E-4</v>
      </c>
      <c r="V111" s="464"/>
      <c r="W111" s="49">
        <v>968.61207999999999</v>
      </c>
      <c r="X111" s="49">
        <v>754.99527</v>
      </c>
      <c r="Y111" s="49">
        <v>1193.90642</v>
      </c>
      <c r="Z111" s="49">
        <f t="shared" si="11"/>
        <v>2917.51377</v>
      </c>
      <c r="AA111" s="49">
        <f t="shared" si="12"/>
        <v>2994.7155199999997</v>
      </c>
      <c r="AB111" s="49">
        <f t="shared" si="13"/>
        <v>-77.20174999999972</v>
      </c>
      <c r="AC111" s="290">
        <f t="shared" si="14"/>
        <v>-2.6461486075522352E-2</v>
      </c>
      <c r="AD111" s="511"/>
      <c r="AE111" s="49">
        <f t="shared" si="19"/>
        <v>11901.660329999999</v>
      </c>
    </row>
    <row r="112" spans="2:31" ht="13" hidden="1" outlineLevel="1">
      <c r="B112" s="248" t="s">
        <v>386</v>
      </c>
      <c r="C112" s="295">
        <v>3201120330</v>
      </c>
      <c r="D112" s="110" t="s">
        <v>134</v>
      </c>
      <c r="E112" s="49">
        <v>284.66269999999997</v>
      </c>
      <c r="F112" s="49">
        <v>1168.75152</v>
      </c>
      <c r="G112" s="49">
        <v>924.72593000000006</v>
      </c>
      <c r="H112" s="49">
        <v>1079.2882400000001</v>
      </c>
      <c r="I112" s="49">
        <v>938.76697000000001</v>
      </c>
      <c r="J112" s="49">
        <v>1042.8620800000001</v>
      </c>
      <c r="K112" s="49">
        <v>1035.2731699999999</v>
      </c>
      <c r="L112" s="49">
        <v>221.60410000000002</v>
      </c>
      <c r="M112" s="49">
        <v>1669.67353</v>
      </c>
      <c r="N112" s="49">
        <f t="shared" si="20"/>
        <v>8365.6082399999996</v>
      </c>
      <c r="O112" s="290">
        <f t="shared" si="15"/>
        <v>4.8590296681174632E-3</v>
      </c>
      <c r="Q112" s="425">
        <v>3708.3743200000004</v>
      </c>
      <c r="R112" s="426">
        <f t="shared" si="16"/>
        <v>2.4638095256503674E-3</v>
      </c>
      <c r="T112" s="425">
        <f t="shared" si="17"/>
        <v>4657.2339199999988</v>
      </c>
      <c r="U112" s="426">
        <f t="shared" si="18"/>
        <v>2.3952201424670958E-3</v>
      </c>
      <c r="V112" s="464"/>
      <c r="W112" s="49">
        <v>932.02425000000005</v>
      </c>
      <c r="X112" s="49">
        <v>492.78245999999996</v>
      </c>
      <c r="Y112" s="49">
        <v>1096.279</v>
      </c>
      <c r="Z112" s="49">
        <f t="shared" si="11"/>
        <v>2521.0857100000003</v>
      </c>
      <c r="AA112" s="49">
        <f t="shared" si="12"/>
        <v>2788.5360799999999</v>
      </c>
      <c r="AB112" s="49">
        <f t="shared" si="13"/>
        <v>-267.45036999999957</v>
      </c>
      <c r="AC112" s="290">
        <f t="shared" si="14"/>
        <v>-0.10608539366160603</v>
      </c>
      <c r="AD112" s="511"/>
      <c r="AE112" s="49">
        <f t="shared" si="19"/>
        <v>10886.693950000001</v>
      </c>
    </row>
    <row r="113" spans="2:31" ht="13" hidden="1" outlineLevel="1">
      <c r="B113" s="248" t="s">
        <v>386</v>
      </c>
      <c r="C113" s="295">
        <v>3205090064</v>
      </c>
      <c r="D113" s="110" t="s">
        <v>233</v>
      </c>
      <c r="E113" s="49">
        <v>890.11953000000005</v>
      </c>
      <c r="F113" s="49">
        <v>804.27152999999998</v>
      </c>
      <c r="G113" s="49">
        <v>937.50353000000007</v>
      </c>
      <c r="H113" s="49">
        <v>910.87413000000004</v>
      </c>
      <c r="I113" s="49">
        <v>891.65093000000002</v>
      </c>
      <c r="J113" s="49">
        <v>863.03493000000003</v>
      </c>
      <c r="K113" s="49">
        <v>891.65093000000002</v>
      </c>
      <c r="L113" s="49">
        <v>891.65093000000002</v>
      </c>
      <c r="M113" s="49">
        <v>879.0849300000001</v>
      </c>
      <c r="N113" s="49">
        <f t="shared" si="20"/>
        <v>7959.8413699999992</v>
      </c>
      <c r="O113" s="290">
        <f t="shared" si="15"/>
        <v>4.6233464753232039E-3</v>
      </c>
      <c r="Q113" s="425">
        <v>7550.3525699999991</v>
      </c>
      <c r="R113" s="426">
        <f t="shared" si="16"/>
        <v>5.0163842640310189E-3</v>
      </c>
      <c r="T113" s="425">
        <f t="shared" si="17"/>
        <v>409.48880000000008</v>
      </c>
      <c r="U113" s="426">
        <f t="shared" si="18"/>
        <v>-3.9303778870781493E-4</v>
      </c>
      <c r="V113" s="464"/>
      <c r="W113" s="49">
        <v>891.65093000000002</v>
      </c>
      <c r="X113" s="49">
        <v>918.48993000000007</v>
      </c>
      <c r="Y113" s="49">
        <v>895.11293000000001</v>
      </c>
      <c r="Z113" s="49">
        <f t="shared" si="11"/>
        <v>2705.2537899999998</v>
      </c>
      <c r="AA113" s="49">
        <f t="shared" si="12"/>
        <v>2653.2804566666664</v>
      </c>
      <c r="AB113" s="49">
        <f t="shared" si="13"/>
        <v>51.973333333333358</v>
      </c>
      <c r="AC113" s="290">
        <f t="shared" si="14"/>
        <v>1.9211999083211102E-2</v>
      </c>
      <c r="AD113" s="511"/>
      <c r="AE113" s="49">
        <f t="shared" si="19"/>
        <v>10665.095159999999</v>
      </c>
    </row>
    <row r="114" spans="2:31" s="116" customFormat="1" ht="13" hidden="1" outlineLevel="1">
      <c r="B114" s="248" t="s">
        <v>386</v>
      </c>
      <c r="C114" s="295">
        <v>3205010155</v>
      </c>
      <c r="D114" s="116" t="s">
        <v>181</v>
      </c>
      <c r="E114" s="137">
        <v>635.6962900000002</v>
      </c>
      <c r="F114" s="137">
        <v>1.2560199999999999</v>
      </c>
      <c r="G114" s="137">
        <v>55.877849999999995</v>
      </c>
      <c r="H114" s="137">
        <v>5.88246</v>
      </c>
      <c r="I114" s="137">
        <v>2807.2284399999999</v>
      </c>
      <c r="J114" s="137">
        <v>59.979529999999997</v>
      </c>
      <c r="K114" s="137">
        <v>87.094649999999987</v>
      </c>
      <c r="L114" s="137">
        <v>980.90125999999998</v>
      </c>
      <c r="M114" s="137">
        <v>187.16743</v>
      </c>
      <c r="N114" s="137">
        <f t="shared" si="20"/>
        <v>4821.0839300000007</v>
      </c>
      <c r="O114" s="559">
        <f t="shared" si="15"/>
        <v>2.8002494470568632E-3</v>
      </c>
      <c r="Q114" s="315">
        <v>502.04917999999992</v>
      </c>
      <c r="R114" s="560">
        <f t="shared" si="16"/>
        <v>3.3355682174742156E-4</v>
      </c>
      <c r="T114" s="315">
        <f t="shared" si="17"/>
        <v>4319.0347500000007</v>
      </c>
      <c r="U114" s="560">
        <f t="shared" si="18"/>
        <v>2.4666926253094417E-3</v>
      </c>
      <c r="V114" s="561"/>
      <c r="W114" s="137">
        <v>37.442989999999995</v>
      </c>
      <c r="X114" s="137">
        <v>121.18004000000001</v>
      </c>
      <c r="Y114" s="137">
        <v>41.4</v>
      </c>
      <c r="Z114" s="137">
        <f t="shared" si="11"/>
        <v>200.02303000000001</v>
      </c>
      <c r="AA114" s="137">
        <f t="shared" si="12"/>
        <v>1607.0279766666667</v>
      </c>
      <c r="AB114" s="137">
        <f t="shared" si="13"/>
        <v>-1407.0049466666667</v>
      </c>
      <c r="AC114" s="559">
        <f t="shared" si="14"/>
        <v>-7.0342147435056184</v>
      </c>
      <c r="AD114" s="511"/>
      <c r="AE114" s="137">
        <f t="shared" si="19"/>
        <v>5021.106960000001</v>
      </c>
    </row>
    <row r="115" spans="2:31" ht="13" hidden="1" outlineLevel="1">
      <c r="B115" s="248" t="s">
        <v>386</v>
      </c>
      <c r="C115" s="295">
        <v>3201120030</v>
      </c>
      <c r="D115" s="110" t="s">
        <v>118</v>
      </c>
      <c r="E115" s="49">
        <v>0</v>
      </c>
      <c r="F115" s="49">
        <v>0</v>
      </c>
      <c r="G115" s="49">
        <v>0</v>
      </c>
      <c r="H115" s="49">
        <v>0</v>
      </c>
      <c r="I115" s="49">
        <v>10.44552</v>
      </c>
      <c r="J115" s="49">
        <v>49.869410000000002</v>
      </c>
      <c r="K115" s="49">
        <v>29.536769999999997</v>
      </c>
      <c r="L115" s="49">
        <v>32.312689999999996</v>
      </c>
      <c r="M115" s="49">
        <v>3263.9004</v>
      </c>
      <c r="N115" s="49">
        <f t="shared" si="20"/>
        <v>3386.0647899999999</v>
      </c>
      <c r="O115" s="290">
        <f t="shared" si="15"/>
        <v>1.9667415447580088E-3</v>
      </c>
      <c r="Q115" s="425">
        <v>3421.1151999999997</v>
      </c>
      <c r="R115" s="426">
        <f t="shared" si="16"/>
        <v>2.2729572288989587E-3</v>
      </c>
      <c r="T115" s="425">
        <f t="shared" si="17"/>
        <v>-35.050409999999829</v>
      </c>
      <c r="U115" s="426">
        <f t="shared" si="18"/>
        <v>-3.0621568414094993E-4</v>
      </c>
      <c r="V115" s="464"/>
      <c r="W115" s="49">
        <v>48.308999999999997</v>
      </c>
      <c r="X115" s="49">
        <v>103.48209</v>
      </c>
      <c r="Y115" s="49">
        <v>421.10095999999999</v>
      </c>
      <c r="Z115" s="49">
        <f t="shared" si="11"/>
        <v>572.89204999999993</v>
      </c>
      <c r="AA115" s="49">
        <f t="shared" si="12"/>
        <v>1128.6882633333332</v>
      </c>
      <c r="AB115" s="49">
        <f t="shared" si="13"/>
        <v>-555.7962133333333</v>
      </c>
      <c r="AC115" s="290">
        <f t="shared" si="14"/>
        <v>-0.97015871198305748</v>
      </c>
      <c r="AD115" s="511"/>
      <c r="AE115" s="49">
        <f t="shared" si="19"/>
        <v>3958.9568399999998</v>
      </c>
    </row>
    <row r="116" spans="2:31" ht="13" hidden="1" outlineLevel="1">
      <c r="B116" s="248" t="s">
        <v>386</v>
      </c>
      <c r="C116" s="295">
        <v>3201120265</v>
      </c>
      <c r="D116" s="110" t="s">
        <v>127</v>
      </c>
      <c r="E116" s="49">
        <v>230.43221</v>
      </c>
      <c r="F116" s="49">
        <v>241.31310999999999</v>
      </c>
      <c r="G116" s="49">
        <v>217.43395999999998</v>
      </c>
      <c r="H116" s="49">
        <v>387.33393000000001</v>
      </c>
      <c r="I116" s="49">
        <v>387.33393000000001</v>
      </c>
      <c r="J116" s="49">
        <v>380.37103000000002</v>
      </c>
      <c r="K116" s="49">
        <v>424.49871000000002</v>
      </c>
      <c r="L116" s="49">
        <v>424.49871000000002</v>
      </c>
      <c r="M116" s="49">
        <v>222.94826</v>
      </c>
      <c r="N116" s="49">
        <f t="shared" si="20"/>
        <v>2916.1638499999999</v>
      </c>
      <c r="O116" s="290">
        <f t="shared" si="15"/>
        <v>1.6938071037667481E-3</v>
      </c>
      <c r="Q116" s="425">
        <v>2036.9788900000001</v>
      </c>
      <c r="R116" s="426">
        <f t="shared" si="16"/>
        <v>1.3533498939585775E-3</v>
      </c>
      <c r="T116" s="425">
        <f t="shared" si="17"/>
        <v>879.18495999999982</v>
      </c>
      <c r="U116" s="426">
        <f t="shared" si="18"/>
        <v>3.4045720980817058E-4</v>
      </c>
      <c r="V116" s="464"/>
      <c r="W116" s="49">
        <v>330.51959000000005</v>
      </c>
      <c r="X116" s="49">
        <v>329.98273</v>
      </c>
      <c r="Y116" s="49">
        <v>1065.3093700000002</v>
      </c>
      <c r="Z116" s="49">
        <f t="shared" si="11"/>
        <v>1725.8116900000002</v>
      </c>
      <c r="AA116" s="49">
        <f t="shared" si="12"/>
        <v>972.05461666666656</v>
      </c>
      <c r="AB116" s="49">
        <f t="shared" si="13"/>
        <v>753.75707333333366</v>
      </c>
      <c r="AC116" s="290">
        <f t="shared" si="14"/>
        <v>0.43675510932095585</v>
      </c>
      <c r="AD116" s="511"/>
      <c r="AE116" s="49">
        <f t="shared" si="19"/>
        <v>4641.9755400000004</v>
      </c>
    </row>
    <row r="117" spans="2:31" ht="13" hidden="1" outlineLevel="1">
      <c r="B117" s="248" t="s">
        <v>386</v>
      </c>
      <c r="C117" s="295">
        <v>3205010250</v>
      </c>
      <c r="D117" s="110" t="s">
        <v>189</v>
      </c>
      <c r="E117" s="49">
        <v>0.93042999999999998</v>
      </c>
      <c r="F117" s="49">
        <v>217.08520000000001</v>
      </c>
      <c r="G117" s="49">
        <v>171.51016000000001</v>
      </c>
      <c r="H117" s="49">
        <v>309.24835999999999</v>
      </c>
      <c r="I117" s="49">
        <v>308.49238000000003</v>
      </c>
      <c r="J117" s="49">
        <v>368.99021999999997</v>
      </c>
      <c r="K117" s="49">
        <v>525.70963000000006</v>
      </c>
      <c r="L117" s="49">
        <v>294.24771999999996</v>
      </c>
      <c r="M117" s="49">
        <v>702.14349000000004</v>
      </c>
      <c r="N117" s="49">
        <f t="shared" si="20"/>
        <v>2898.3575900000001</v>
      </c>
      <c r="O117" s="290">
        <f t="shared" si="15"/>
        <v>1.6834646226062614E-3</v>
      </c>
      <c r="Q117" s="425">
        <v>2423.1621399999999</v>
      </c>
      <c r="R117" s="426">
        <f t="shared" si="16"/>
        <v>1.6099264657639331E-3</v>
      </c>
      <c r="T117" s="425">
        <f t="shared" si="17"/>
        <v>475.19545000000016</v>
      </c>
      <c r="U117" s="426">
        <f t="shared" si="18"/>
        <v>7.353815684232835E-5</v>
      </c>
      <c r="V117" s="464"/>
      <c r="W117" s="49">
        <v>616.52130999999997</v>
      </c>
      <c r="X117" s="49">
        <v>403.82034000000004</v>
      </c>
      <c r="Y117" s="49">
        <v>329.98306000000002</v>
      </c>
      <c r="Z117" s="49">
        <f t="shared" si="11"/>
        <v>1350.3247100000001</v>
      </c>
      <c r="AA117" s="49">
        <f t="shared" si="12"/>
        <v>966.11919666666677</v>
      </c>
      <c r="AB117" s="49">
        <f t="shared" si="13"/>
        <v>384.20551333333333</v>
      </c>
      <c r="AC117" s="290">
        <f t="shared" si="14"/>
        <v>0.28452824012480177</v>
      </c>
      <c r="AD117" s="511"/>
      <c r="AE117" s="49">
        <f t="shared" si="19"/>
        <v>4248.6823000000004</v>
      </c>
    </row>
    <row r="118" spans="2:31" ht="13" hidden="1" outlineLevel="1">
      <c r="B118" s="248" t="s">
        <v>386</v>
      </c>
      <c r="C118" s="295">
        <v>3201120300</v>
      </c>
      <c r="D118" s="110" t="s">
        <v>133</v>
      </c>
      <c r="E118" s="49">
        <v>289.36879999999996</v>
      </c>
      <c r="F118" s="49">
        <v>304.08202</v>
      </c>
      <c r="G118" s="49">
        <v>320.45509000000004</v>
      </c>
      <c r="H118" s="49">
        <v>336.54834999999997</v>
      </c>
      <c r="I118" s="49">
        <v>350.39758</v>
      </c>
      <c r="J118" s="49">
        <v>193.33957999999998</v>
      </c>
      <c r="K118" s="49">
        <v>253.05725000000001</v>
      </c>
      <c r="L118" s="49">
        <v>156.22255999999999</v>
      </c>
      <c r="M118" s="49">
        <v>269.81078000000002</v>
      </c>
      <c r="N118" s="49">
        <f t="shared" si="20"/>
        <v>2473.2820099999999</v>
      </c>
      <c r="O118" s="290">
        <f t="shared" si="15"/>
        <v>1.436566274613308E-3</v>
      </c>
      <c r="Q118" s="425">
        <v>2799.8507599999998</v>
      </c>
      <c r="R118" s="426">
        <f t="shared" si="16"/>
        <v>1.8601948934020825E-3</v>
      </c>
      <c r="T118" s="425">
        <f t="shared" si="17"/>
        <v>-326.56874999999991</v>
      </c>
      <c r="U118" s="426">
        <f t="shared" si="18"/>
        <v>-4.2362861878877446E-4</v>
      </c>
      <c r="V118" s="464"/>
      <c r="W118" s="49">
        <v>302.60847999999999</v>
      </c>
      <c r="X118" s="49">
        <v>533.27940000000001</v>
      </c>
      <c r="Y118" s="49">
        <v>219.61548000000002</v>
      </c>
      <c r="Z118" s="49">
        <f t="shared" si="11"/>
        <v>1055.5033599999999</v>
      </c>
      <c r="AA118" s="49">
        <f t="shared" si="12"/>
        <v>824.42733666666663</v>
      </c>
      <c r="AB118" s="49">
        <f t="shared" si="13"/>
        <v>231.0760233333333</v>
      </c>
      <c r="AC118" s="290">
        <f t="shared" si="14"/>
        <v>0.21892495286166908</v>
      </c>
      <c r="AD118" s="511"/>
      <c r="AE118" s="49">
        <f t="shared" si="19"/>
        <v>3528.7853699999996</v>
      </c>
    </row>
    <row r="119" spans="2:31" ht="13" hidden="1" outlineLevel="1">
      <c r="B119" s="248" t="s">
        <v>386</v>
      </c>
      <c r="C119" s="295">
        <v>3205060027</v>
      </c>
      <c r="D119" s="110" t="s">
        <v>222</v>
      </c>
      <c r="E119" s="49">
        <v>189.21644000000001</v>
      </c>
      <c r="F119" s="49">
        <v>181.97734999999997</v>
      </c>
      <c r="G119" s="49">
        <v>179.12477000000001</v>
      </c>
      <c r="H119" s="49">
        <v>283.02983</v>
      </c>
      <c r="I119" s="49">
        <v>269.73619000000002</v>
      </c>
      <c r="J119" s="49">
        <v>218.04680000000002</v>
      </c>
      <c r="K119" s="49">
        <v>245.62112999999999</v>
      </c>
      <c r="L119" s="49">
        <v>279.39945</v>
      </c>
      <c r="M119" s="49">
        <v>171.50708000000003</v>
      </c>
      <c r="N119" s="49">
        <f t="shared" si="20"/>
        <v>2017.6590400000002</v>
      </c>
      <c r="O119" s="290">
        <f t="shared" si="15"/>
        <v>1.1719249640006332E-3</v>
      </c>
      <c r="Q119" s="425">
        <v>1745.5438299999998</v>
      </c>
      <c r="R119" s="426">
        <f t="shared" si="16"/>
        <v>1.1597231413775471E-3</v>
      </c>
      <c r="T119" s="425">
        <f t="shared" si="17"/>
        <v>272.11521000000039</v>
      </c>
      <c r="U119" s="426">
        <f t="shared" si="18"/>
        <v>1.2201822623086065E-5</v>
      </c>
      <c r="V119" s="464"/>
      <c r="W119" s="49">
        <v>242.83212</v>
      </c>
      <c r="X119" s="49">
        <v>122.27819000000001</v>
      </c>
      <c r="Y119" s="49">
        <v>339.00713999999999</v>
      </c>
      <c r="Z119" s="49">
        <f t="shared" si="11"/>
        <v>704.11744999999996</v>
      </c>
      <c r="AA119" s="49">
        <f t="shared" si="12"/>
        <v>672.55301333333341</v>
      </c>
      <c r="AB119" s="49">
        <f t="shared" si="13"/>
        <v>31.564436666666552</v>
      </c>
      <c r="AC119" s="290">
        <f t="shared" si="14"/>
        <v>4.4828368714149254E-2</v>
      </c>
      <c r="AD119" s="511"/>
      <c r="AE119" s="49">
        <f t="shared" si="19"/>
        <v>2721.7764900000002</v>
      </c>
    </row>
    <row r="120" spans="2:31" ht="13" hidden="1" outlineLevel="1">
      <c r="B120" s="248" t="s">
        <v>386</v>
      </c>
      <c r="C120" s="295">
        <v>3205010180</v>
      </c>
      <c r="D120" s="110" t="s">
        <v>183</v>
      </c>
      <c r="E120" s="49">
        <v>569.36563000000001</v>
      </c>
      <c r="F120" s="49">
        <v>46.466000000000001</v>
      </c>
      <c r="G120" s="49">
        <v>32.774999999999999</v>
      </c>
      <c r="H120" s="49">
        <v>441.8329</v>
      </c>
      <c r="I120" s="49">
        <v>0</v>
      </c>
      <c r="J120" s="49">
        <v>175.34864000000002</v>
      </c>
      <c r="K120" s="49">
        <v>252.17089000000001</v>
      </c>
      <c r="L120" s="49">
        <v>20.676689999999997</v>
      </c>
      <c r="M120" s="49">
        <v>205.14095999999998</v>
      </c>
      <c r="N120" s="49">
        <f t="shared" si="20"/>
        <v>1743.7767100000001</v>
      </c>
      <c r="O120" s="290">
        <f t="shared" si="15"/>
        <v>1.0128447956657199E-3</v>
      </c>
      <c r="Q120" s="425">
        <v>1509.53935</v>
      </c>
      <c r="R120" s="426">
        <f t="shared" si="16"/>
        <v>1.0029239523679108E-3</v>
      </c>
      <c r="T120" s="425">
        <f t="shared" si="17"/>
        <v>234.23736000000008</v>
      </c>
      <c r="U120" s="426">
        <f t="shared" si="18"/>
        <v>9.9208432978090382E-6</v>
      </c>
      <c r="V120" s="464"/>
      <c r="W120" s="49">
        <v>82.864429999999999</v>
      </c>
      <c r="X120" s="49">
        <v>23.316689999999998</v>
      </c>
      <c r="Y120" s="49">
        <v>336.63490000000002</v>
      </c>
      <c r="Z120" s="49">
        <f t="shared" ref="Z120:Z151" si="21">SUM(W120:Y120)</f>
        <v>442.81601999999998</v>
      </c>
      <c r="AA120" s="49">
        <f t="shared" ref="AA120:AA151" si="22">N120/9*3</f>
        <v>581.25890333333336</v>
      </c>
      <c r="AB120" s="49">
        <f t="shared" ref="AB120:AB151" si="23">Z120-AA120</f>
        <v>-138.44288333333338</v>
      </c>
      <c r="AC120" s="290">
        <f t="shared" si="14"/>
        <v>-0.31264199369601259</v>
      </c>
      <c r="AD120" s="511"/>
      <c r="AE120" s="49">
        <f t="shared" si="19"/>
        <v>2186.5927300000003</v>
      </c>
    </row>
    <row r="121" spans="2:31" ht="13" hidden="1" outlineLevel="1">
      <c r="B121" s="248" t="s">
        <v>386</v>
      </c>
      <c r="C121" s="295">
        <v>3205060010</v>
      </c>
      <c r="D121" s="110" t="s">
        <v>220</v>
      </c>
      <c r="E121" s="49">
        <v>153.27324999999999</v>
      </c>
      <c r="F121" s="49">
        <v>23.015450000000001</v>
      </c>
      <c r="G121" s="49">
        <v>161.05607999999998</v>
      </c>
      <c r="H121" s="49">
        <v>169.29830999999999</v>
      </c>
      <c r="I121" s="49">
        <v>203.79849999999999</v>
      </c>
      <c r="J121" s="49">
        <v>268.96868000000001</v>
      </c>
      <c r="K121" s="49">
        <v>373.34519</v>
      </c>
      <c r="L121" s="49">
        <v>125.43069</v>
      </c>
      <c r="M121" s="49">
        <v>75.738060000000004</v>
      </c>
      <c r="N121" s="49">
        <f t="shared" si="20"/>
        <v>1553.9242099999999</v>
      </c>
      <c r="O121" s="290">
        <f t="shared" si="15"/>
        <v>9.0257200932421277E-4</v>
      </c>
      <c r="Q121" s="425">
        <v>1587.5379</v>
      </c>
      <c r="R121" s="426">
        <f t="shared" si="16"/>
        <v>1.0547454660270058E-3</v>
      </c>
      <c r="T121" s="425">
        <f t="shared" si="17"/>
        <v>-33.613690000000133</v>
      </c>
      <c r="U121" s="426">
        <f t="shared" si="18"/>
        <v>-1.5217345670279301E-4</v>
      </c>
      <c r="V121" s="464"/>
      <c r="W121" s="49">
        <v>222.32187999999999</v>
      </c>
      <c r="X121" s="49">
        <v>430.74374</v>
      </c>
      <c r="Y121" s="49">
        <v>355.9796</v>
      </c>
      <c r="Z121" s="49">
        <f t="shared" si="21"/>
        <v>1009.04522</v>
      </c>
      <c r="AA121" s="49">
        <f t="shared" si="22"/>
        <v>517.97473666666656</v>
      </c>
      <c r="AB121" s="49">
        <f t="shared" si="23"/>
        <v>491.07048333333341</v>
      </c>
      <c r="AC121" s="290">
        <f t="shared" si="14"/>
        <v>0.48666846004516373</v>
      </c>
      <c r="AD121" s="511"/>
      <c r="AE121" s="49">
        <f t="shared" si="19"/>
        <v>2562.9694300000001</v>
      </c>
    </row>
    <row r="122" spans="2:31" ht="13" hidden="1" outlineLevel="1">
      <c r="B122" s="248" t="s">
        <v>386</v>
      </c>
      <c r="C122" s="295">
        <v>3201120282</v>
      </c>
      <c r="D122" s="110" t="s">
        <v>130</v>
      </c>
      <c r="E122" s="49">
        <v>162.43764000000002</v>
      </c>
      <c r="F122" s="49">
        <v>165.80654000000001</v>
      </c>
      <c r="G122" s="49">
        <v>159.61179999999999</v>
      </c>
      <c r="H122" s="49">
        <v>158.74726000000001</v>
      </c>
      <c r="I122" s="49">
        <v>159.23894000000001</v>
      </c>
      <c r="J122" s="49">
        <v>158.67845</v>
      </c>
      <c r="K122" s="49">
        <v>158.39365000000001</v>
      </c>
      <c r="L122" s="49">
        <v>161.24785999999997</v>
      </c>
      <c r="M122" s="49">
        <v>158.67626999999999</v>
      </c>
      <c r="N122" s="49">
        <f t="shared" si="20"/>
        <v>1442.8384100000001</v>
      </c>
      <c r="O122" s="290">
        <f t="shared" si="15"/>
        <v>8.3804960014353112E-4</v>
      </c>
      <c r="Q122" s="425">
        <v>983.08825999999988</v>
      </c>
      <c r="R122" s="426">
        <f t="shared" si="16"/>
        <v>6.5315472779539814E-4</v>
      </c>
      <c r="T122" s="425">
        <f t="shared" si="17"/>
        <v>459.75015000000019</v>
      </c>
      <c r="U122" s="426">
        <f t="shared" si="18"/>
        <v>1.8489487234813297E-4</v>
      </c>
      <c r="V122" s="464"/>
      <c r="W122" s="49">
        <v>160.57934</v>
      </c>
      <c r="X122" s="49">
        <v>171.82646</v>
      </c>
      <c r="Y122" s="49">
        <v>162.48133000000001</v>
      </c>
      <c r="Z122" s="49">
        <f t="shared" si="21"/>
        <v>494.88713000000001</v>
      </c>
      <c r="AA122" s="49">
        <f t="shared" si="22"/>
        <v>480.94613666666669</v>
      </c>
      <c r="AB122" s="49">
        <f t="shared" si="23"/>
        <v>13.940993333333324</v>
      </c>
      <c r="AC122" s="290">
        <f t="shared" si="14"/>
        <v>2.8170046235256357E-2</v>
      </c>
      <c r="AD122" s="511"/>
      <c r="AE122" s="49">
        <f t="shared" si="19"/>
        <v>1937.7255400000001</v>
      </c>
    </row>
    <row r="123" spans="2:31" ht="13" hidden="1" outlineLevel="1">
      <c r="B123" s="248" t="s">
        <v>386</v>
      </c>
      <c r="C123" s="295">
        <v>3205010030</v>
      </c>
      <c r="D123" s="110" t="s">
        <v>171</v>
      </c>
      <c r="E123" s="49">
        <v>31.299580000000002</v>
      </c>
      <c r="F123" s="49">
        <v>209.70397</v>
      </c>
      <c r="G123" s="49">
        <v>62.631169999999997</v>
      </c>
      <c r="H123" s="49">
        <v>0</v>
      </c>
      <c r="I123" s="49">
        <v>835.15</v>
      </c>
      <c r="J123" s="49">
        <v>0</v>
      </c>
      <c r="K123" s="49">
        <v>112.46560000000001</v>
      </c>
      <c r="L123" s="49">
        <v>135.05339000000001</v>
      </c>
      <c r="M123" s="49">
        <v>0</v>
      </c>
      <c r="N123" s="49">
        <f t="shared" si="20"/>
        <v>1386.3037100000001</v>
      </c>
      <c r="O123" s="290">
        <f t="shared" si="15"/>
        <v>8.0521232439535186E-4</v>
      </c>
      <c r="Q123" s="425">
        <v>190732.43025999999</v>
      </c>
      <c r="R123" s="426">
        <f t="shared" si="16"/>
        <v>0.12672085878456638</v>
      </c>
      <c r="T123" s="425">
        <f t="shared" si="17"/>
        <v>-189346.12654999999</v>
      </c>
      <c r="U123" s="426">
        <f t="shared" si="18"/>
        <v>-0.12591564646017103</v>
      </c>
      <c r="V123" s="464"/>
      <c r="W123" s="49">
        <v>318.62806</v>
      </c>
      <c r="X123" s="49">
        <v>20.082999999999998</v>
      </c>
      <c r="Y123" s="49">
        <v>41.70364</v>
      </c>
      <c r="Z123" s="49">
        <f t="shared" si="21"/>
        <v>380.41469999999998</v>
      </c>
      <c r="AA123" s="49">
        <f t="shared" si="22"/>
        <v>462.10123666666675</v>
      </c>
      <c r="AB123" s="49">
        <f t="shared" si="23"/>
        <v>-81.686536666666768</v>
      </c>
      <c r="AC123" s="290">
        <f t="shared" si="14"/>
        <v>-0.21473023168312574</v>
      </c>
      <c r="AD123" s="511"/>
      <c r="AE123" s="49">
        <f t="shared" si="19"/>
        <v>1766.7184100000002</v>
      </c>
    </row>
    <row r="124" spans="2:31" ht="13" hidden="1" outlineLevel="1">
      <c r="B124" s="248" t="s">
        <v>386</v>
      </c>
      <c r="C124" s="295">
        <v>3205060042</v>
      </c>
      <c r="D124" s="110" t="s">
        <v>226</v>
      </c>
      <c r="E124" s="49">
        <v>134.57920999999999</v>
      </c>
      <c r="F124" s="49">
        <v>114.10978999999999</v>
      </c>
      <c r="G124" s="49">
        <v>108.9127</v>
      </c>
      <c r="H124" s="49">
        <v>122.47078</v>
      </c>
      <c r="I124" s="49">
        <v>110.03001999999999</v>
      </c>
      <c r="J124" s="49">
        <v>193.79655</v>
      </c>
      <c r="K124" s="49">
        <v>140.92635000000001</v>
      </c>
      <c r="L124" s="49">
        <v>114.57201000000001</v>
      </c>
      <c r="M124" s="49">
        <v>199.32957999999999</v>
      </c>
      <c r="N124" s="49">
        <f t="shared" si="20"/>
        <v>1238.7269900000001</v>
      </c>
      <c r="O124" s="290">
        <f t="shared" si="15"/>
        <v>7.194947483110738E-4</v>
      </c>
      <c r="Q124" s="425">
        <v>1085.0691000000002</v>
      </c>
      <c r="R124" s="426">
        <f t="shared" si="16"/>
        <v>7.2090985264100082E-4</v>
      </c>
      <c r="T124" s="425">
        <f t="shared" si="17"/>
        <v>153.65788999999995</v>
      </c>
      <c r="U124" s="426">
        <f t="shared" si="18"/>
        <v>-1.415104329927021E-6</v>
      </c>
      <c r="V124" s="464"/>
      <c r="W124" s="49">
        <v>130.1979</v>
      </c>
      <c r="X124" s="49">
        <v>77.025469999999984</v>
      </c>
      <c r="Y124" s="49">
        <v>283.04376999999994</v>
      </c>
      <c r="Z124" s="49">
        <f t="shared" si="21"/>
        <v>490.26713999999993</v>
      </c>
      <c r="AA124" s="49">
        <f t="shared" si="22"/>
        <v>412.90899666666667</v>
      </c>
      <c r="AB124" s="49">
        <f t="shared" si="23"/>
        <v>77.35814333333326</v>
      </c>
      <c r="AC124" s="290">
        <f t="shared" si="14"/>
        <v>0.15778773860580025</v>
      </c>
      <c r="AD124" s="511"/>
      <c r="AE124" s="49">
        <f t="shared" si="19"/>
        <v>1728.99413</v>
      </c>
    </row>
    <row r="125" spans="2:31" ht="13" hidden="1" outlineLevel="1">
      <c r="B125" s="248" t="s">
        <v>386</v>
      </c>
      <c r="C125" s="295">
        <v>3304000018</v>
      </c>
      <c r="D125" s="110" t="s">
        <v>163</v>
      </c>
      <c r="E125" s="49">
        <v>101.94757</v>
      </c>
      <c r="F125" s="49">
        <v>92.404879999999991</v>
      </c>
      <c r="G125" s="49">
        <v>102.33357000000001</v>
      </c>
      <c r="H125" s="49">
        <v>99.511819999999986</v>
      </c>
      <c r="I125" s="49">
        <v>102.74182</v>
      </c>
      <c r="J125" s="49">
        <v>96.822549999999993</v>
      </c>
      <c r="K125" s="49">
        <v>205.55347</v>
      </c>
      <c r="L125" s="49">
        <v>212.74347</v>
      </c>
      <c r="M125" s="49">
        <v>210.80295999999998</v>
      </c>
      <c r="N125" s="49">
        <f t="shared" si="20"/>
        <v>1224.86211</v>
      </c>
      <c r="O125" s="290">
        <f t="shared" si="15"/>
        <v>7.1144155464814788E-4</v>
      </c>
      <c r="Q125" s="425">
        <v>391.27696999999995</v>
      </c>
      <c r="R125" s="426">
        <f t="shared" si="16"/>
        <v>2.5996079216016494E-4</v>
      </c>
      <c r="T125" s="425">
        <f t="shared" si="17"/>
        <v>833.58514000000014</v>
      </c>
      <c r="U125" s="426">
        <f t="shared" si="18"/>
        <v>4.5148076248798294E-4</v>
      </c>
      <c r="V125" s="464"/>
      <c r="W125" s="49">
        <v>209.61469</v>
      </c>
      <c r="X125" s="49">
        <v>103.44783</v>
      </c>
      <c r="Y125" s="49">
        <v>238.87519</v>
      </c>
      <c r="Z125" s="49">
        <f t="shared" si="21"/>
        <v>551.93771000000004</v>
      </c>
      <c r="AA125" s="49">
        <f t="shared" si="22"/>
        <v>408.28737000000001</v>
      </c>
      <c r="AB125" s="49">
        <f t="shared" si="23"/>
        <v>143.65034000000003</v>
      </c>
      <c r="AC125" s="290">
        <f t="shared" si="14"/>
        <v>0.26026549264046484</v>
      </c>
      <c r="AD125" s="511"/>
      <c r="AE125" s="49">
        <f t="shared" si="19"/>
        <v>1776.7998200000002</v>
      </c>
    </row>
    <row r="126" spans="2:31" ht="13" hidden="1" outlineLevel="1">
      <c r="B126" s="248" t="s">
        <v>386</v>
      </c>
      <c r="C126" s="295">
        <v>3201120293</v>
      </c>
      <c r="D126" s="110" t="s">
        <v>123</v>
      </c>
      <c r="E126" s="49">
        <v>5.5410000000000004</v>
      </c>
      <c r="F126" s="49">
        <v>0</v>
      </c>
      <c r="G126" s="49">
        <v>160.54542999999998</v>
      </c>
      <c r="H126" s="49">
        <v>66.826750000000004</v>
      </c>
      <c r="I126" s="49">
        <v>64.057839999999999</v>
      </c>
      <c r="J126" s="49">
        <v>0</v>
      </c>
      <c r="K126" s="49">
        <v>123.44938999999999</v>
      </c>
      <c r="L126" s="49">
        <v>293.35174999999998</v>
      </c>
      <c r="M126" s="49">
        <v>176.11337</v>
      </c>
      <c r="N126" s="49">
        <f t="shared" si="20"/>
        <v>889.88553000000002</v>
      </c>
      <c r="O126" s="290">
        <f t="shared" si="15"/>
        <v>5.1687576891580969E-4</v>
      </c>
      <c r="Q126" s="425">
        <v>20.68</v>
      </c>
      <c r="R126" s="426">
        <f t="shared" si="16"/>
        <v>1.3739600319109532E-5</v>
      </c>
      <c r="T126" s="425">
        <f t="shared" si="17"/>
        <v>869.20553000000007</v>
      </c>
      <c r="U126" s="426">
        <f t="shared" si="18"/>
        <v>5.0313616859670013E-4</v>
      </c>
      <c r="V126" s="464"/>
      <c r="W126" s="49">
        <v>74.568830000000005</v>
      </c>
      <c r="X126" s="49">
        <v>225.91844</v>
      </c>
      <c r="Y126" s="49">
        <v>315.95981</v>
      </c>
      <c r="Z126" s="49">
        <f t="shared" si="21"/>
        <v>616.44708000000003</v>
      </c>
      <c r="AA126" s="49">
        <f t="shared" si="22"/>
        <v>296.62851000000001</v>
      </c>
      <c r="AB126" s="49">
        <f t="shared" si="23"/>
        <v>319.81857000000002</v>
      </c>
      <c r="AC126" s="290">
        <f t="shared" si="14"/>
        <v>0.5188094491420091</v>
      </c>
      <c r="AD126" s="511"/>
      <c r="AE126" s="49">
        <f t="shared" si="19"/>
        <v>1506.3326099999999</v>
      </c>
    </row>
    <row r="127" spans="2:31" ht="13" hidden="1" outlineLevel="1">
      <c r="B127" s="248" t="s">
        <v>386</v>
      </c>
      <c r="C127" s="295">
        <v>3201120130</v>
      </c>
      <c r="D127" s="110" t="s">
        <v>124</v>
      </c>
      <c r="E127" s="49">
        <v>0</v>
      </c>
      <c r="F127" s="49">
        <v>192</v>
      </c>
      <c r="G127" s="49">
        <v>96</v>
      </c>
      <c r="H127" s="49">
        <v>96</v>
      </c>
      <c r="I127" s="49">
        <v>96</v>
      </c>
      <c r="J127" s="49">
        <v>96</v>
      </c>
      <c r="K127" s="49">
        <v>96</v>
      </c>
      <c r="L127" s="49">
        <v>96</v>
      </c>
      <c r="M127" s="49">
        <v>96</v>
      </c>
      <c r="N127" s="49">
        <f t="shared" si="20"/>
        <v>864</v>
      </c>
      <c r="O127" s="290">
        <f t="shared" si="15"/>
        <v>5.0184057307152701E-4</v>
      </c>
      <c r="Q127" s="425">
        <v>13582.172790000002</v>
      </c>
      <c r="R127" s="426">
        <f t="shared" si="16"/>
        <v>9.0238697098493637E-3</v>
      </c>
      <c r="T127" s="425">
        <f t="shared" si="17"/>
        <v>-12718.172790000002</v>
      </c>
      <c r="U127" s="426">
        <f t="shared" si="18"/>
        <v>-8.522029136777836E-3</v>
      </c>
      <c r="V127" s="464"/>
      <c r="W127" s="49">
        <v>221.75425000000001</v>
      </c>
      <c r="X127" s="49">
        <v>96</v>
      </c>
      <c r="Y127" s="49">
        <v>221.75425000000001</v>
      </c>
      <c r="Z127" s="49">
        <f t="shared" si="21"/>
        <v>539.50850000000003</v>
      </c>
      <c r="AA127" s="49">
        <f t="shared" si="22"/>
        <v>288</v>
      </c>
      <c r="AB127" s="49">
        <f t="shared" si="23"/>
        <v>251.50850000000003</v>
      </c>
      <c r="AC127" s="290">
        <f t="shared" si="14"/>
        <v>0.46618079233228021</v>
      </c>
      <c r="AD127" s="511"/>
      <c r="AE127" s="49">
        <f t="shared" si="19"/>
        <v>1403.5084999999999</v>
      </c>
    </row>
    <row r="128" spans="2:31" ht="13" hidden="1" outlineLevel="1">
      <c r="B128" s="248" t="s">
        <v>386</v>
      </c>
      <c r="C128" s="295">
        <v>3205060032</v>
      </c>
      <c r="D128" s="110" t="s">
        <v>224</v>
      </c>
      <c r="E128" s="49">
        <v>86.254649999999998</v>
      </c>
      <c r="F128" s="49">
        <v>91.197050000000004</v>
      </c>
      <c r="G128" s="49">
        <v>90.790549999999996</v>
      </c>
      <c r="H128" s="49">
        <v>91.262219999999999</v>
      </c>
      <c r="I128" s="49">
        <v>92.888499999999993</v>
      </c>
      <c r="J128" s="49">
        <v>93.992419999999996</v>
      </c>
      <c r="K128" s="49">
        <v>91.025859999999994</v>
      </c>
      <c r="L128" s="49">
        <v>95.147320000000008</v>
      </c>
      <c r="M128" s="49">
        <v>25.39293</v>
      </c>
      <c r="N128" s="49">
        <f t="shared" si="20"/>
        <v>757.95150000000001</v>
      </c>
      <c r="O128" s="290">
        <f t="shared" si="15"/>
        <v>4.4024399898197163E-4</v>
      </c>
      <c r="Q128" s="425">
        <v>343.54746999999998</v>
      </c>
      <c r="R128" s="426">
        <f t="shared" si="16"/>
        <v>2.2824975476021627E-4</v>
      </c>
      <c r="T128" s="425">
        <f t="shared" si="17"/>
        <v>414.40403000000003</v>
      </c>
      <c r="U128" s="426">
        <f t="shared" si="18"/>
        <v>2.1199424422175536E-4</v>
      </c>
      <c r="V128" s="464"/>
      <c r="W128" s="49">
        <v>157.10904000000002</v>
      </c>
      <c r="X128" s="49">
        <v>34.804230000000004</v>
      </c>
      <c r="Y128" s="49">
        <v>99.988910000000004</v>
      </c>
      <c r="Z128" s="49">
        <f t="shared" si="21"/>
        <v>291.90218000000004</v>
      </c>
      <c r="AA128" s="49">
        <f t="shared" si="22"/>
        <v>252.65050000000002</v>
      </c>
      <c r="AB128" s="49">
        <f t="shared" si="23"/>
        <v>39.251680000000022</v>
      </c>
      <c r="AC128" s="290">
        <f t="shared" si="14"/>
        <v>0.13446860862772597</v>
      </c>
      <c r="AD128" s="511"/>
      <c r="AE128" s="49">
        <f t="shared" si="19"/>
        <v>1049.8536800000002</v>
      </c>
    </row>
    <row r="129" spans="2:31" ht="13" hidden="1" outlineLevel="1">
      <c r="B129" s="248" t="s">
        <v>386</v>
      </c>
      <c r="C129" s="295">
        <v>3205010051</v>
      </c>
      <c r="D129" s="110" t="s">
        <v>173</v>
      </c>
      <c r="E129" s="49">
        <v>0</v>
      </c>
      <c r="F129" s="49">
        <v>0</v>
      </c>
      <c r="G129" s="49">
        <v>0</v>
      </c>
      <c r="H129" s="49">
        <v>0</v>
      </c>
      <c r="I129" s="49">
        <v>0</v>
      </c>
      <c r="J129" s="49">
        <v>0</v>
      </c>
      <c r="K129" s="49">
        <v>533.46</v>
      </c>
      <c r="L129" s="49">
        <v>0</v>
      </c>
      <c r="M129" s="49">
        <v>223.44</v>
      </c>
      <c r="N129" s="49">
        <f t="shared" si="20"/>
        <v>756.90000000000009</v>
      </c>
      <c r="O129" s="290">
        <f t="shared" si="15"/>
        <v>4.3963325203453569E-4</v>
      </c>
      <c r="Q129" s="425">
        <v>445.89</v>
      </c>
      <c r="R129" s="426">
        <f t="shared" si="16"/>
        <v>2.9624518308934961E-4</v>
      </c>
      <c r="T129" s="425">
        <f t="shared" si="17"/>
        <v>311.0100000000001</v>
      </c>
      <c r="U129" s="426">
        <f t="shared" si="18"/>
        <v>1.4338806894518608E-4</v>
      </c>
      <c r="V129" s="464"/>
      <c r="W129" s="49">
        <v>77.55</v>
      </c>
      <c r="X129" s="49">
        <v>0</v>
      </c>
      <c r="Y129" s="49">
        <v>0</v>
      </c>
      <c r="Z129" s="49">
        <f t="shared" si="21"/>
        <v>77.55</v>
      </c>
      <c r="AA129" s="49">
        <f t="shared" si="22"/>
        <v>252.3</v>
      </c>
      <c r="AB129" s="49">
        <f t="shared" si="23"/>
        <v>-174.75</v>
      </c>
      <c r="AC129" s="290">
        <f t="shared" si="14"/>
        <v>-2.253384912959381</v>
      </c>
      <c r="AD129" s="511"/>
      <c r="AE129" s="49">
        <f t="shared" si="19"/>
        <v>834.45</v>
      </c>
    </row>
    <row r="130" spans="2:31" ht="13" hidden="1" outlineLevel="1">
      <c r="B130" s="248" t="s">
        <v>386</v>
      </c>
      <c r="C130" s="295">
        <v>3205010110</v>
      </c>
      <c r="D130" s="110" t="s">
        <v>178</v>
      </c>
      <c r="E130" s="49">
        <v>66.475999999999999</v>
      </c>
      <c r="F130" s="49">
        <v>70.285089999999997</v>
      </c>
      <c r="G130" s="49">
        <v>69.971800000000002</v>
      </c>
      <c r="H130" s="49">
        <v>70.335309999999993</v>
      </c>
      <c r="I130" s="49">
        <v>71.588680000000011</v>
      </c>
      <c r="J130" s="49">
        <v>72.439460000000011</v>
      </c>
      <c r="K130" s="49">
        <v>69.809190000000001</v>
      </c>
      <c r="L130" s="49">
        <v>72.613979999999998</v>
      </c>
      <c r="M130" s="49">
        <v>140.10261</v>
      </c>
      <c r="N130" s="49">
        <f t="shared" si="20"/>
        <v>703.62212</v>
      </c>
      <c r="O130" s="290">
        <f t="shared" si="15"/>
        <v>4.0868764806319759E-4</v>
      </c>
      <c r="Q130" s="425">
        <v>1470.6204799999998</v>
      </c>
      <c r="R130" s="426">
        <f t="shared" si="16"/>
        <v>9.7706661587509719E-4</v>
      </c>
      <c r="T130" s="425">
        <f t="shared" si="17"/>
        <v>-766.99835999999982</v>
      </c>
      <c r="U130" s="426">
        <f t="shared" si="18"/>
        <v>-5.6837896781189966E-4</v>
      </c>
      <c r="V130" s="464"/>
      <c r="W130" s="49">
        <v>3.9026000000000001</v>
      </c>
      <c r="X130" s="49">
        <v>26.201419999999999</v>
      </c>
      <c r="Y130" s="49">
        <v>75.872889999999998</v>
      </c>
      <c r="Z130" s="49">
        <f t="shared" si="21"/>
        <v>105.97691</v>
      </c>
      <c r="AA130" s="49">
        <f t="shared" si="22"/>
        <v>234.54070666666667</v>
      </c>
      <c r="AB130" s="49">
        <f t="shared" si="23"/>
        <v>-128.56379666666666</v>
      </c>
      <c r="AC130" s="290">
        <f t="shared" si="14"/>
        <v>-1.2131302626833209</v>
      </c>
      <c r="AD130" s="511"/>
      <c r="AE130" s="49">
        <f t="shared" si="19"/>
        <v>809.59902999999997</v>
      </c>
    </row>
    <row r="131" spans="2:31" ht="13" hidden="1" outlineLevel="1">
      <c r="B131" s="248" t="s">
        <v>386</v>
      </c>
      <c r="C131" s="295">
        <v>3205010040</v>
      </c>
      <c r="D131" s="110" t="s">
        <v>330</v>
      </c>
      <c r="E131" s="49">
        <v>0</v>
      </c>
      <c r="F131" s="49">
        <v>0</v>
      </c>
      <c r="G131" s="49">
        <v>0</v>
      </c>
      <c r="H131" s="49">
        <v>0</v>
      </c>
      <c r="I131" s="49">
        <v>0</v>
      </c>
      <c r="J131" s="49">
        <v>0</v>
      </c>
      <c r="K131" s="49">
        <v>0</v>
      </c>
      <c r="L131" s="49">
        <v>576.27118999999993</v>
      </c>
      <c r="M131" s="49">
        <v>0</v>
      </c>
      <c r="N131" s="49">
        <f t="shared" si="20"/>
        <v>576.27118999999993</v>
      </c>
      <c r="O131" s="290">
        <f t="shared" si="15"/>
        <v>3.3471789841922541E-4</v>
      </c>
      <c r="Q131" s="425" t="s">
        <v>391</v>
      </c>
      <c r="R131" s="426" t="s">
        <v>391</v>
      </c>
      <c r="T131" s="425" t="s">
        <v>391</v>
      </c>
      <c r="U131" s="426" t="s">
        <v>391</v>
      </c>
      <c r="V131" s="464"/>
      <c r="W131" s="49">
        <v>0</v>
      </c>
      <c r="X131" s="49">
        <v>0</v>
      </c>
      <c r="Y131" s="49">
        <v>0</v>
      </c>
      <c r="Z131" s="49">
        <f t="shared" si="21"/>
        <v>0</v>
      </c>
      <c r="AA131" s="49">
        <f t="shared" si="22"/>
        <v>192.09039666666666</v>
      </c>
      <c r="AB131" s="49">
        <f t="shared" si="23"/>
        <v>-192.09039666666666</v>
      </c>
      <c r="AC131" s="290">
        <v>-1</v>
      </c>
      <c r="AD131" s="511"/>
      <c r="AE131" s="49">
        <f t="shared" si="19"/>
        <v>576.27118999999993</v>
      </c>
    </row>
    <row r="132" spans="2:31" ht="13" hidden="1" outlineLevel="1">
      <c r="B132" s="248" t="s">
        <v>386</v>
      </c>
      <c r="C132" s="295">
        <v>3201120281</v>
      </c>
      <c r="D132" s="110" t="s">
        <v>129</v>
      </c>
      <c r="E132" s="49">
        <v>60.536619999999992</v>
      </c>
      <c r="F132" s="49">
        <v>60.536619999999992</v>
      </c>
      <c r="G132" s="49">
        <v>60.536679999999997</v>
      </c>
      <c r="H132" s="49">
        <v>60.536529999999999</v>
      </c>
      <c r="I132" s="49">
        <v>60.536559999999994</v>
      </c>
      <c r="J132" s="49">
        <v>57.22777</v>
      </c>
      <c r="K132" s="49">
        <v>57.231639999999999</v>
      </c>
      <c r="L132" s="49">
        <v>57.231649999999995</v>
      </c>
      <c r="M132" s="49">
        <v>57.23189</v>
      </c>
      <c r="N132" s="49">
        <f t="shared" si="20"/>
        <v>531.60595999999998</v>
      </c>
      <c r="O132" s="290">
        <f t="shared" si="15"/>
        <v>3.0877481436879543E-4</v>
      </c>
      <c r="Q132" s="425">
        <v>517.18076999999994</v>
      </c>
      <c r="R132" s="426">
        <f t="shared" si="16"/>
        <v>3.4361010989019888E-4</v>
      </c>
      <c r="T132" s="425">
        <f t="shared" si="17"/>
        <v>14.425190000000043</v>
      </c>
      <c r="U132" s="426">
        <f t="shared" si="18"/>
        <v>-3.4835295521403451E-5</v>
      </c>
      <c r="V132" s="464"/>
      <c r="W132" s="49">
        <v>57.232009999999995</v>
      </c>
      <c r="X132" s="49">
        <v>57.232079999999996</v>
      </c>
      <c r="Y132" s="49">
        <v>53.431820000000002</v>
      </c>
      <c r="Z132" s="49">
        <f t="shared" si="21"/>
        <v>167.89591000000001</v>
      </c>
      <c r="AA132" s="49">
        <f t="shared" si="22"/>
        <v>177.20198666666667</v>
      </c>
      <c r="AB132" s="49">
        <f t="shared" si="23"/>
        <v>-9.3060766666666552</v>
      </c>
      <c r="AC132" s="290">
        <f t="shared" ref="AC132:AC146" si="24">AB132/Z132</f>
        <v>-5.5427655543644004E-2</v>
      </c>
      <c r="AD132" s="511"/>
      <c r="AE132" s="49">
        <f t="shared" si="19"/>
        <v>699.50187000000005</v>
      </c>
    </row>
    <row r="133" spans="2:31" ht="13" hidden="1" outlineLevel="1">
      <c r="B133" s="248" t="s">
        <v>386</v>
      </c>
      <c r="C133" s="295">
        <v>3201120035</v>
      </c>
      <c r="D133" s="110" t="s">
        <v>119</v>
      </c>
      <c r="E133" s="49">
        <v>46.585639999999998</v>
      </c>
      <c r="F133" s="49">
        <v>52.796490000000006</v>
      </c>
      <c r="G133" s="49">
        <v>56.516590000000008</v>
      </c>
      <c r="H133" s="49">
        <v>57.969759999999994</v>
      </c>
      <c r="I133" s="49">
        <v>54.608280000000001</v>
      </c>
      <c r="J133" s="49">
        <v>0</v>
      </c>
      <c r="K133" s="49">
        <v>50.15945</v>
      </c>
      <c r="L133" s="49">
        <v>50.715720000000012</v>
      </c>
      <c r="M133" s="49">
        <v>103.65409000000001</v>
      </c>
      <c r="N133" s="49">
        <f t="shared" si="20"/>
        <v>473.00602000000003</v>
      </c>
      <c r="O133" s="290">
        <f t="shared" si="15"/>
        <v>2.7473797701745619E-4</v>
      </c>
      <c r="Q133" s="425">
        <v>676.85701000000006</v>
      </c>
      <c r="R133" s="426">
        <f t="shared" si="16"/>
        <v>4.4969752372280101E-4</v>
      </c>
      <c r="T133" s="425">
        <f t="shared" si="17"/>
        <v>-203.85099000000002</v>
      </c>
      <c r="U133" s="426">
        <f t="shared" si="18"/>
        <v>-1.7495954670534482E-4</v>
      </c>
      <c r="V133" s="464"/>
      <c r="W133" s="49">
        <v>57.108669999999996</v>
      </c>
      <c r="X133" s="49">
        <v>50.592410000000001</v>
      </c>
      <c r="Y133" s="49">
        <v>48.759339999999995</v>
      </c>
      <c r="Z133" s="49">
        <f t="shared" si="21"/>
        <v>156.46042</v>
      </c>
      <c r="AA133" s="49">
        <f t="shared" si="22"/>
        <v>157.66867333333334</v>
      </c>
      <c r="AB133" s="49">
        <f t="shared" si="23"/>
        <v>-1.2082533333333458</v>
      </c>
      <c r="AC133" s="290">
        <f t="shared" si="24"/>
        <v>-7.7224216407788364E-3</v>
      </c>
      <c r="AD133" s="511"/>
      <c r="AE133" s="49">
        <f t="shared" si="19"/>
        <v>629.46644000000003</v>
      </c>
    </row>
    <row r="134" spans="2:31" ht="13" hidden="1" outlineLevel="1">
      <c r="B134" s="248" t="s">
        <v>386</v>
      </c>
      <c r="C134" s="295">
        <v>3205010170</v>
      </c>
      <c r="D134" s="110" t="s">
        <v>313</v>
      </c>
      <c r="E134" s="49">
        <v>0</v>
      </c>
      <c r="F134" s="49">
        <v>6</v>
      </c>
      <c r="G134" s="49">
        <v>3.75</v>
      </c>
      <c r="H134" s="49">
        <v>47.502890000000001</v>
      </c>
      <c r="I134" s="49">
        <v>0</v>
      </c>
      <c r="J134" s="49">
        <v>92.059320000000014</v>
      </c>
      <c r="K134" s="49">
        <v>0</v>
      </c>
      <c r="L134" s="49">
        <v>247.32085999999998</v>
      </c>
      <c r="M134" s="49">
        <v>66.015059999999991</v>
      </c>
      <c r="N134" s="49">
        <f t="shared" si="20"/>
        <v>462.64812999999998</v>
      </c>
      <c r="O134" s="290">
        <f t="shared" si="15"/>
        <v>2.6872176237230361E-4</v>
      </c>
      <c r="Q134" s="425" t="s">
        <v>391</v>
      </c>
      <c r="R134" s="426" t="s">
        <v>391</v>
      </c>
      <c r="T134" s="425" t="s">
        <v>391</v>
      </c>
      <c r="U134" s="426" t="s">
        <v>391</v>
      </c>
      <c r="V134" s="464"/>
      <c r="W134" s="49">
        <v>10</v>
      </c>
      <c r="X134" s="49">
        <v>0</v>
      </c>
      <c r="Y134" s="49">
        <v>811.50460999999996</v>
      </c>
      <c r="Z134" s="49">
        <f t="shared" si="21"/>
        <v>821.50460999999996</v>
      </c>
      <c r="AA134" s="49">
        <f t="shared" si="22"/>
        <v>154.21604333333335</v>
      </c>
      <c r="AB134" s="49">
        <f t="shared" si="23"/>
        <v>667.28856666666661</v>
      </c>
      <c r="AC134" s="290">
        <f t="shared" si="24"/>
        <v>0.81227610721097065</v>
      </c>
      <c r="AD134" s="511"/>
      <c r="AE134" s="49">
        <f t="shared" si="19"/>
        <v>1284.15274</v>
      </c>
    </row>
    <row r="135" spans="2:31" ht="13" hidden="1" outlineLevel="1">
      <c r="B135" s="248" t="s">
        <v>386</v>
      </c>
      <c r="C135" s="295">
        <v>3201120340</v>
      </c>
      <c r="D135" s="110" t="s">
        <v>135</v>
      </c>
      <c r="E135" s="49">
        <v>2.494E-2</v>
      </c>
      <c r="F135" s="49">
        <v>2.666E-2</v>
      </c>
      <c r="G135" s="49">
        <v>2.7039999999999998E-2</v>
      </c>
      <c r="H135" s="49">
        <v>42.756740000000001</v>
      </c>
      <c r="I135" s="49">
        <v>6.1396799999999994</v>
      </c>
      <c r="J135" s="49">
        <v>4.8822900000000002</v>
      </c>
      <c r="K135" s="49">
        <v>86.973830000000007</v>
      </c>
      <c r="L135" s="49">
        <v>132.94595000000001</v>
      </c>
      <c r="M135" s="49">
        <v>147.7441</v>
      </c>
      <c r="N135" s="49">
        <f t="shared" si="20"/>
        <v>421.52123000000006</v>
      </c>
      <c r="O135" s="290">
        <f t="shared" si="15"/>
        <v>2.4483386067710063E-4</v>
      </c>
      <c r="Q135" s="425">
        <v>466.84809999999999</v>
      </c>
      <c r="R135" s="426">
        <f t="shared" si="16"/>
        <v>3.1016955047077753E-4</v>
      </c>
      <c r="T135" s="425">
        <f t="shared" si="17"/>
        <v>-45.326869999999928</v>
      </c>
      <c r="U135" s="426">
        <f t="shared" si="18"/>
        <v>-6.53356897936769E-5</v>
      </c>
      <c r="V135" s="464"/>
      <c r="W135" s="49">
        <v>56.568829999999998</v>
      </c>
      <c r="X135" s="49">
        <v>85.591899999999995</v>
      </c>
      <c r="Y135" s="49">
        <v>2.8219999999999999E-2</v>
      </c>
      <c r="Z135" s="49">
        <f t="shared" si="21"/>
        <v>142.18895000000001</v>
      </c>
      <c r="AA135" s="49">
        <f t="shared" si="22"/>
        <v>140.50707666666668</v>
      </c>
      <c r="AB135" s="49">
        <f t="shared" si="23"/>
        <v>1.6818733333333284</v>
      </c>
      <c r="AC135" s="290">
        <f t="shared" si="24"/>
        <v>1.1828439082877597E-2</v>
      </c>
      <c r="AD135" s="511"/>
      <c r="AE135" s="49">
        <f t="shared" si="19"/>
        <v>563.71018000000004</v>
      </c>
    </row>
    <row r="136" spans="2:31" ht="13" hidden="1" outlineLevel="1">
      <c r="B136" s="248" t="s">
        <v>386</v>
      </c>
      <c r="C136" s="295">
        <v>3205020252</v>
      </c>
      <c r="D136" s="110" t="s">
        <v>333</v>
      </c>
      <c r="E136" s="49">
        <v>0</v>
      </c>
      <c r="F136" s="49">
        <v>0</v>
      </c>
      <c r="G136" s="49">
        <v>0</v>
      </c>
      <c r="H136" s="49">
        <v>0</v>
      </c>
      <c r="I136" s="49">
        <v>0</v>
      </c>
      <c r="J136" s="49">
        <v>0</v>
      </c>
      <c r="K136" s="49">
        <v>0</v>
      </c>
      <c r="L136" s="49">
        <v>94.842309999999998</v>
      </c>
      <c r="M136" s="49">
        <v>270</v>
      </c>
      <c r="N136" s="49">
        <f t="shared" si="20"/>
        <v>364.84231</v>
      </c>
      <c r="O136" s="290">
        <f t="shared" si="15"/>
        <v>2.1191281704993021E-4</v>
      </c>
      <c r="Q136" s="425" t="s">
        <v>391</v>
      </c>
      <c r="R136" s="426" t="s">
        <v>391</v>
      </c>
      <c r="T136" s="425" t="s">
        <v>391</v>
      </c>
      <c r="U136" s="426" t="s">
        <v>391</v>
      </c>
      <c r="V136" s="464"/>
      <c r="W136" s="49">
        <v>471.80599999999998</v>
      </c>
      <c r="X136" s="49">
        <v>0</v>
      </c>
      <c r="Y136" s="49">
        <v>18.559279999999998</v>
      </c>
      <c r="Z136" s="49">
        <f t="shared" si="21"/>
        <v>490.36527999999998</v>
      </c>
      <c r="AA136" s="49">
        <f t="shared" si="22"/>
        <v>121.61410333333333</v>
      </c>
      <c r="AB136" s="49">
        <f t="shared" si="23"/>
        <v>368.75117666666665</v>
      </c>
      <c r="AC136" s="290">
        <f t="shared" si="24"/>
        <v>0.75199283413105156</v>
      </c>
      <c r="AD136" s="511"/>
      <c r="AE136" s="49">
        <f t="shared" si="19"/>
        <v>855.20758999999998</v>
      </c>
    </row>
    <row r="137" spans="2:31" ht="13" hidden="1" outlineLevel="1">
      <c r="B137" s="248" t="s">
        <v>386</v>
      </c>
      <c r="C137" s="295">
        <v>3304000015</v>
      </c>
      <c r="D137" s="110" t="s">
        <v>162</v>
      </c>
      <c r="E137" s="49">
        <v>39.928419999999996</v>
      </c>
      <c r="F137" s="49">
        <v>37.791789999999999</v>
      </c>
      <c r="G137" s="49">
        <v>39.959489999999995</v>
      </c>
      <c r="H137" s="49">
        <v>38.966699999999996</v>
      </c>
      <c r="I137" s="49">
        <v>37.456789999999998</v>
      </c>
      <c r="J137" s="49">
        <v>37.826740000000008</v>
      </c>
      <c r="K137" s="49">
        <v>40.931239999999995</v>
      </c>
      <c r="L137" s="49">
        <v>40.967359999999999</v>
      </c>
      <c r="M137" s="49">
        <v>42.282719999999998</v>
      </c>
      <c r="N137" s="49">
        <f t="shared" si="20"/>
        <v>356.11124999999993</v>
      </c>
      <c r="O137" s="290">
        <f t="shared" si="15"/>
        <v>2.0684152057548353E-4</v>
      </c>
      <c r="Q137" s="425">
        <v>198.76835999999997</v>
      </c>
      <c r="R137" s="426">
        <f t="shared" si="16"/>
        <v>1.3205985601957824E-4</v>
      </c>
      <c r="T137" s="425">
        <f t="shared" si="17"/>
        <v>157.34288999999995</v>
      </c>
      <c r="U137" s="426">
        <f t="shared" si="18"/>
        <v>7.4781664555905288E-5</v>
      </c>
      <c r="V137" s="464"/>
      <c r="W137" s="49">
        <v>44.698749999999997</v>
      </c>
      <c r="X137" s="49">
        <v>41.31926</v>
      </c>
      <c r="Y137" s="49">
        <v>40.016829999999999</v>
      </c>
      <c r="Z137" s="49">
        <f t="shared" si="21"/>
        <v>126.03484</v>
      </c>
      <c r="AA137" s="49">
        <f t="shared" si="22"/>
        <v>118.70374999999999</v>
      </c>
      <c r="AB137" s="49">
        <f t="shared" si="23"/>
        <v>7.3310900000000174</v>
      </c>
      <c r="AC137" s="290">
        <f t="shared" si="24"/>
        <v>5.8167170284026362E-2</v>
      </c>
      <c r="AD137" s="511"/>
      <c r="AE137" s="49">
        <f t="shared" si="19"/>
        <v>482.14608999999996</v>
      </c>
    </row>
    <row r="138" spans="2:31" ht="13" hidden="1" outlineLevel="1">
      <c r="B138" s="248" t="s">
        <v>386</v>
      </c>
      <c r="C138" s="295">
        <v>3205020251</v>
      </c>
      <c r="D138" s="110" t="s">
        <v>332</v>
      </c>
      <c r="E138" s="49">
        <v>0</v>
      </c>
      <c r="F138" s="49">
        <v>0</v>
      </c>
      <c r="G138" s="49">
        <v>0</v>
      </c>
      <c r="H138" s="49">
        <v>0</v>
      </c>
      <c r="I138" s="49">
        <v>0</v>
      </c>
      <c r="J138" s="49">
        <v>0</v>
      </c>
      <c r="K138" s="49">
        <v>0</v>
      </c>
      <c r="L138" s="49">
        <v>131.38559000000001</v>
      </c>
      <c r="M138" s="49">
        <v>173.12774999999999</v>
      </c>
      <c r="N138" s="49">
        <f t="shared" si="20"/>
        <v>304.51333999999997</v>
      </c>
      <c r="O138" s="290">
        <f t="shared" si="15"/>
        <v>1.7687170029343139E-4</v>
      </c>
      <c r="Q138" s="425" t="s">
        <v>391</v>
      </c>
      <c r="R138" s="426" t="s">
        <v>391</v>
      </c>
      <c r="T138" s="425" t="s">
        <v>391</v>
      </c>
      <c r="U138" s="426" t="s">
        <v>391</v>
      </c>
      <c r="V138" s="464"/>
      <c r="W138" s="49">
        <v>322.38938999999999</v>
      </c>
      <c r="X138" s="49">
        <v>68.114000000000004</v>
      </c>
      <c r="Y138" s="49">
        <v>154.14778000000001</v>
      </c>
      <c r="Z138" s="49">
        <f t="shared" si="21"/>
        <v>544.65116999999998</v>
      </c>
      <c r="AA138" s="49">
        <f t="shared" si="22"/>
        <v>101.50444666666665</v>
      </c>
      <c r="AB138" s="49">
        <f t="shared" si="23"/>
        <v>443.14672333333334</v>
      </c>
      <c r="AC138" s="290">
        <f t="shared" si="24"/>
        <v>0.81363402438543064</v>
      </c>
      <c r="AD138" s="511"/>
      <c r="AE138" s="49">
        <f t="shared" si="19"/>
        <v>849.16450999999995</v>
      </c>
    </row>
    <row r="139" spans="2:31" ht="13" hidden="1" outlineLevel="1">
      <c r="B139" s="248" t="s">
        <v>386</v>
      </c>
      <c r="C139" s="295">
        <v>3205020254</v>
      </c>
      <c r="D139" s="110" t="s">
        <v>334</v>
      </c>
      <c r="E139" s="49">
        <v>0</v>
      </c>
      <c r="F139" s="49">
        <v>0</v>
      </c>
      <c r="G139" s="49">
        <v>0</v>
      </c>
      <c r="H139" s="49">
        <v>0</v>
      </c>
      <c r="I139" s="49">
        <v>0</v>
      </c>
      <c r="J139" s="49">
        <v>0</v>
      </c>
      <c r="K139" s="49">
        <v>32.235590000000002</v>
      </c>
      <c r="L139" s="49">
        <v>83.621440000000007</v>
      </c>
      <c r="M139" s="49">
        <v>125.22655</v>
      </c>
      <c r="N139" s="49">
        <f t="shared" si="20"/>
        <v>241.08358000000001</v>
      </c>
      <c r="O139" s="290">
        <f t="shared" si="15"/>
        <v>1.4002953928858255E-4</v>
      </c>
      <c r="Q139" s="425" t="s">
        <v>391</v>
      </c>
      <c r="R139" s="426" t="s">
        <v>391</v>
      </c>
      <c r="T139" s="425" t="s">
        <v>391</v>
      </c>
      <c r="U139" s="426" t="s">
        <v>391</v>
      </c>
      <c r="V139" s="464"/>
      <c r="W139" s="49">
        <v>153.02142999999998</v>
      </c>
      <c r="X139" s="49">
        <v>151.44631000000001</v>
      </c>
      <c r="Y139" s="49">
        <v>362.27706000000001</v>
      </c>
      <c r="Z139" s="49">
        <f t="shared" si="21"/>
        <v>666.74479999999994</v>
      </c>
      <c r="AA139" s="49">
        <f t="shared" si="22"/>
        <v>80.361193333333347</v>
      </c>
      <c r="AB139" s="49">
        <f t="shared" si="23"/>
        <v>586.38360666666654</v>
      </c>
      <c r="AC139" s="290">
        <f t="shared" si="24"/>
        <v>0.87947233584223916</v>
      </c>
      <c r="AD139" s="511"/>
      <c r="AE139" s="49">
        <f t="shared" si="19"/>
        <v>907.82837999999992</v>
      </c>
    </row>
    <row r="140" spans="2:31" ht="13" hidden="1" outlineLevel="1">
      <c r="B140" s="248" t="s">
        <v>386</v>
      </c>
      <c r="C140" s="295">
        <v>3205060021</v>
      </c>
      <c r="D140" s="110" t="s">
        <v>221</v>
      </c>
      <c r="E140" s="49">
        <v>29.660550000000001</v>
      </c>
      <c r="F140" s="49">
        <v>7.3480799999999995</v>
      </c>
      <c r="G140" s="49">
        <v>21.409120000000001</v>
      </c>
      <c r="H140" s="49">
        <v>25.723730000000003</v>
      </c>
      <c r="I140" s="49">
        <v>27.363919999999997</v>
      </c>
      <c r="J140" s="49">
        <v>27.33784</v>
      </c>
      <c r="K140" s="49">
        <v>22.719669999999997</v>
      </c>
      <c r="L140" s="49">
        <v>29.26493</v>
      </c>
      <c r="M140" s="49">
        <v>28.871729999999999</v>
      </c>
      <c r="N140" s="49">
        <f t="shared" si="20"/>
        <v>219.69956999999999</v>
      </c>
      <c r="O140" s="290">
        <f t="shared" si="15"/>
        <v>1.2760897929672228E-4</v>
      </c>
      <c r="Q140" s="425">
        <v>239.66299000000001</v>
      </c>
      <c r="R140" s="426">
        <f t="shared" si="16"/>
        <v>1.5922986914326619E-4</v>
      </c>
      <c r="T140" s="425">
        <f t="shared" si="17"/>
        <v>-19.963420000000013</v>
      </c>
      <c r="U140" s="426">
        <f t="shared" si="18"/>
        <v>-3.1620889846543915E-5</v>
      </c>
      <c r="V140" s="464"/>
      <c r="W140" s="49">
        <v>23.318339999999999</v>
      </c>
      <c r="X140" s="49">
        <v>9.5038000000000036</v>
      </c>
      <c r="Y140" s="49">
        <v>41.68817</v>
      </c>
      <c r="Z140" s="49">
        <f t="shared" si="21"/>
        <v>74.510310000000004</v>
      </c>
      <c r="AA140" s="49">
        <f t="shared" si="22"/>
        <v>73.233189999999993</v>
      </c>
      <c r="AB140" s="49">
        <f t="shared" si="23"/>
        <v>1.2771200000000107</v>
      </c>
      <c r="AC140" s="290">
        <f t="shared" si="24"/>
        <v>1.7140178318946875E-2</v>
      </c>
      <c r="AD140" s="511"/>
      <c r="AE140" s="49">
        <f t="shared" si="19"/>
        <v>294.20988</v>
      </c>
    </row>
    <row r="141" spans="2:31" ht="13" hidden="1" outlineLevel="1">
      <c r="B141" s="248" t="s">
        <v>386</v>
      </c>
      <c r="C141" s="295">
        <v>3205010050</v>
      </c>
      <c r="D141" s="110" t="s">
        <v>172</v>
      </c>
      <c r="E141" s="49">
        <v>0</v>
      </c>
      <c r="F141" s="49">
        <v>0</v>
      </c>
      <c r="G141" s="49">
        <v>0</v>
      </c>
      <c r="H141" s="49">
        <v>0</v>
      </c>
      <c r="I141" s="49">
        <v>0</v>
      </c>
      <c r="J141" s="49">
        <v>0</v>
      </c>
      <c r="K141" s="49">
        <v>135.04</v>
      </c>
      <c r="L141" s="49">
        <v>0</v>
      </c>
      <c r="M141" s="49">
        <v>76.56</v>
      </c>
      <c r="N141" s="49">
        <f t="shared" si="20"/>
        <v>211.6</v>
      </c>
      <c r="O141" s="290">
        <f t="shared" si="15"/>
        <v>1.2290447368279526E-4</v>
      </c>
      <c r="Q141" s="425">
        <v>154.10999999999999</v>
      </c>
      <c r="R141" s="426">
        <f t="shared" si="16"/>
        <v>1.0238925556953432E-4</v>
      </c>
      <c r="T141" s="425">
        <f t="shared" si="17"/>
        <v>57.490000000000009</v>
      </c>
      <c r="U141" s="426">
        <f t="shared" si="18"/>
        <v>2.0515218113260935E-5</v>
      </c>
      <c r="V141" s="464"/>
      <c r="W141" s="49">
        <v>22.45</v>
      </c>
      <c r="X141" s="49">
        <v>0</v>
      </c>
      <c r="Y141" s="49">
        <v>18.5</v>
      </c>
      <c r="Z141" s="49">
        <f t="shared" si="21"/>
        <v>40.950000000000003</v>
      </c>
      <c r="AA141" s="49">
        <f t="shared" si="22"/>
        <v>70.533333333333331</v>
      </c>
      <c r="AB141" s="49">
        <f t="shared" si="23"/>
        <v>-29.583333333333329</v>
      </c>
      <c r="AC141" s="290">
        <f t="shared" si="24"/>
        <v>-0.72242572242572223</v>
      </c>
      <c r="AD141" s="511"/>
      <c r="AE141" s="49">
        <f t="shared" si="19"/>
        <v>252.55</v>
      </c>
    </row>
    <row r="142" spans="2:31" ht="13" hidden="1" outlineLevel="1">
      <c r="B142" s="248" t="s">
        <v>386</v>
      </c>
      <c r="C142" s="295">
        <v>3205010120</v>
      </c>
      <c r="D142" s="110" t="s">
        <v>179</v>
      </c>
      <c r="E142" s="49">
        <v>16.249100000000002</v>
      </c>
      <c r="F142" s="49">
        <v>30.012199999999996</v>
      </c>
      <c r="G142" s="49">
        <v>23.084970000000002</v>
      </c>
      <c r="H142" s="49">
        <v>23.137129999999999</v>
      </c>
      <c r="I142" s="49">
        <v>23.20532</v>
      </c>
      <c r="J142" s="49">
        <v>16.220939999999999</v>
      </c>
      <c r="K142" s="49">
        <v>30.535379999999996</v>
      </c>
      <c r="L142" s="49">
        <v>24.187450000000002</v>
      </c>
      <c r="M142" s="49">
        <v>24.004099999999998</v>
      </c>
      <c r="N142" s="49">
        <f t="shared" si="20"/>
        <v>210.63659000000001</v>
      </c>
      <c r="O142" s="290">
        <f t="shared" si="15"/>
        <v>1.2234489240212069E-4</v>
      </c>
      <c r="Q142" s="425">
        <v>205.3066</v>
      </c>
      <c r="R142" s="426">
        <f t="shared" si="16"/>
        <v>1.3640380207327336E-4</v>
      </c>
      <c r="T142" s="425">
        <f t="shared" si="17"/>
        <v>5.3299900000000093</v>
      </c>
      <c r="U142" s="426">
        <f t="shared" si="18"/>
        <v>-1.4058909671152675E-5</v>
      </c>
      <c r="V142" s="464"/>
      <c r="W142" s="49">
        <v>23.94342</v>
      </c>
      <c r="X142" s="49">
        <v>20.81305</v>
      </c>
      <c r="Y142" s="49">
        <v>24.167200000000001</v>
      </c>
      <c r="Z142" s="49">
        <f t="shared" si="21"/>
        <v>68.923670000000001</v>
      </c>
      <c r="AA142" s="49">
        <f t="shared" si="22"/>
        <v>70.212196666666671</v>
      </c>
      <c r="AB142" s="49">
        <f t="shared" si="23"/>
        <v>-1.2885266666666695</v>
      </c>
      <c r="AC142" s="290">
        <f t="shared" si="24"/>
        <v>-1.8694980500409648E-2</v>
      </c>
      <c r="AD142" s="511"/>
      <c r="AE142" s="49">
        <f t="shared" si="19"/>
        <v>279.56026000000003</v>
      </c>
    </row>
    <row r="143" spans="2:31" ht="13" hidden="1" outlineLevel="1">
      <c r="B143" s="248" t="s">
        <v>386</v>
      </c>
      <c r="C143" s="295">
        <v>3205010261</v>
      </c>
      <c r="D143" s="110" t="s">
        <v>193</v>
      </c>
      <c r="E143" s="49">
        <v>0</v>
      </c>
      <c r="F143" s="49">
        <v>13.917479999999999</v>
      </c>
      <c r="G143" s="49">
        <v>1.89</v>
      </c>
      <c r="H143" s="49">
        <v>3.55</v>
      </c>
      <c r="I143" s="49">
        <v>0</v>
      </c>
      <c r="J143" s="49">
        <v>0</v>
      </c>
      <c r="K143" s="49">
        <v>163.58467000000002</v>
      </c>
      <c r="L143" s="49">
        <v>0</v>
      </c>
      <c r="M143" s="49">
        <v>0</v>
      </c>
      <c r="N143" s="49">
        <f t="shared" si="20"/>
        <v>182.94215000000003</v>
      </c>
      <c r="O143" s="290">
        <f t="shared" si="15"/>
        <v>1.0625902013302924E-4</v>
      </c>
      <c r="Q143" s="425">
        <v>270.44143000000003</v>
      </c>
      <c r="R143" s="426">
        <f t="shared" si="16"/>
        <v>1.7967877939692643E-4</v>
      </c>
      <c r="T143" s="425">
        <f t="shared" si="17"/>
        <v>-87.499279999999999</v>
      </c>
      <c r="U143" s="426">
        <f t="shared" si="18"/>
        <v>-7.3419759263897193E-5</v>
      </c>
      <c r="V143" s="464"/>
      <c r="W143" s="49">
        <v>13.6</v>
      </c>
      <c r="X143" s="49">
        <v>35.47</v>
      </c>
      <c r="Y143" s="49">
        <v>2483.64</v>
      </c>
      <c r="Z143" s="49">
        <f t="shared" si="21"/>
        <v>2532.71</v>
      </c>
      <c r="AA143" s="49">
        <f t="shared" si="22"/>
        <v>60.98071666666668</v>
      </c>
      <c r="AB143" s="49">
        <f t="shared" si="23"/>
        <v>2471.7292833333336</v>
      </c>
      <c r="AC143" s="290">
        <f t="shared" si="24"/>
        <v>0.97592274020054948</v>
      </c>
      <c r="AD143" s="511"/>
      <c r="AE143" s="49">
        <f t="shared" si="19"/>
        <v>2715.6521499999999</v>
      </c>
    </row>
    <row r="144" spans="2:31" ht="13" hidden="1" outlineLevel="1">
      <c r="B144" s="248" t="s">
        <v>386</v>
      </c>
      <c r="C144" s="295">
        <v>3205090180</v>
      </c>
      <c r="D144" s="110" t="s">
        <v>235</v>
      </c>
      <c r="E144" s="49">
        <v>0</v>
      </c>
      <c r="F144" s="49">
        <v>0</v>
      </c>
      <c r="G144" s="49">
        <v>169.97399999999999</v>
      </c>
      <c r="H144" s="49">
        <v>0</v>
      </c>
      <c r="I144" s="49">
        <v>0.31595000000000001</v>
      </c>
      <c r="J144" s="49">
        <v>0</v>
      </c>
      <c r="K144" s="49">
        <v>0</v>
      </c>
      <c r="L144" s="49">
        <v>2.7329999999999997E-2</v>
      </c>
      <c r="M144" s="49">
        <v>5.9856800000000003</v>
      </c>
      <c r="N144" s="49">
        <f t="shared" si="20"/>
        <v>176.30295999999998</v>
      </c>
      <c r="O144" s="290">
        <f t="shared" si="15"/>
        <v>1.0240275287107233E-4</v>
      </c>
      <c r="Q144" s="425">
        <v>3.5164200000000001</v>
      </c>
      <c r="R144" s="426">
        <f t="shared" si="16"/>
        <v>2.3362768546481213E-6</v>
      </c>
      <c r="T144" s="425">
        <f t="shared" si="17"/>
        <v>172.78653999999997</v>
      </c>
      <c r="U144" s="426">
        <f t="shared" si="18"/>
        <v>1.0006647601642421E-4</v>
      </c>
      <c r="V144" s="464"/>
      <c r="W144" s="49">
        <v>0</v>
      </c>
      <c r="X144" s="49">
        <v>1.2509400000000002</v>
      </c>
      <c r="Y144" s="49">
        <v>251.83154999999999</v>
      </c>
      <c r="Z144" s="49">
        <f t="shared" si="21"/>
        <v>253.08249000000001</v>
      </c>
      <c r="AA144" s="49">
        <f t="shared" si="22"/>
        <v>58.767653333333328</v>
      </c>
      <c r="AB144" s="49">
        <f t="shared" si="23"/>
        <v>194.31483666666668</v>
      </c>
      <c r="AC144" s="290">
        <f t="shared" si="24"/>
        <v>0.76779249590387177</v>
      </c>
      <c r="AD144" s="511"/>
      <c r="AE144" s="49">
        <f t="shared" si="19"/>
        <v>429.38544999999999</v>
      </c>
    </row>
    <row r="145" spans="2:31" ht="13" hidden="1" outlineLevel="1">
      <c r="B145" s="248" t="s">
        <v>386</v>
      </c>
      <c r="C145" s="295">
        <v>3205010210</v>
      </c>
      <c r="D145" s="110" t="s">
        <v>186</v>
      </c>
      <c r="E145" s="49">
        <v>16.633310000000002</v>
      </c>
      <c r="F145" s="49">
        <v>17.515439999999998</v>
      </c>
      <c r="G145" s="49">
        <v>18.166970000000003</v>
      </c>
      <c r="H145" s="49">
        <v>19.058060000000001</v>
      </c>
      <c r="I145" s="49">
        <v>19.704979999999999</v>
      </c>
      <c r="J145" s="49">
        <v>12.006210000000001</v>
      </c>
      <c r="K145" s="49">
        <v>14.914010000000001</v>
      </c>
      <c r="L145" s="49">
        <v>9.9678500000000003</v>
      </c>
      <c r="M145" s="49">
        <v>17.569700000000001</v>
      </c>
      <c r="N145" s="49">
        <f t="shared" si="20"/>
        <v>145.53653</v>
      </c>
      <c r="O145" s="290">
        <f t="shared" si="15"/>
        <v>8.4532564372733195E-5</v>
      </c>
      <c r="Q145" s="425">
        <v>161.30841999999998</v>
      </c>
      <c r="R145" s="426">
        <f t="shared" si="16"/>
        <v>1.0717181909608579E-4</v>
      </c>
      <c r="T145" s="425">
        <f t="shared" si="17"/>
        <v>-15.771889999999985</v>
      </c>
      <c r="U145" s="426">
        <f t="shared" si="18"/>
        <v>-2.2639254723352597E-5</v>
      </c>
      <c r="V145" s="464"/>
      <c r="W145" s="49">
        <v>19.21838</v>
      </c>
      <c r="X145" s="49">
        <v>31.203499999999998</v>
      </c>
      <c r="Y145" s="49">
        <v>17.15728</v>
      </c>
      <c r="Z145" s="49">
        <f t="shared" si="21"/>
        <v>67.579160000000002</v>
      </c>
      <c r="AA145" s="49">
        <f t="shared" si="22"/>
        <v>48.512176666666669</v>
      </c>
      <c r="AB145" s="49">
        <f t="shared" si="23"/>
        <v>19.066983333333333</v>
      </c>
      <c r="AC145" s="290">
        <f t="shared" si="24"/>
        <v>0.28214294663226552</v>
      </c>
      <c r="AD145" s="511"/>
      <c r="AE145" s="49">
        <f t="shared" si="19"/>
        <v>213.11569</v>
      </c>
    </row>
    <row r="146" spans="2:31" ht="13" hidden="1" outlineLevel="1">
      <c r="B146" s="248" t="s">
        <v>386</v>
      </c>
      <c r="C146" s="295">
        <v>3201120270</v>
      </c>
      <c r="D146" s="110" t="s">
        <v>128</v>
      </c>
      <c r="E146" s="49">
        <v>10.698469999999999</v>
      </c>
      <c r="F146" s="49">
        <v>9.0321500000000015</v>
      </c>
      <c r="G146" s="49">
        <v>29.17577</v>
      </c>
      <c r="H146" s="49">
        <v>15.012420000000001</v>
      </c>
      <c r="I146" s="49">
        <v>8.7606099999999998</v>
      </c>
      <c r="J146" s="49">
        <v>26.23724</v>
      </c>
      <c r="K146" s="49">
        <v>18.402819999999998</v>
      </c>
      <c r="L146" s="49">
        <v>7.7180600000000004</v>
      </c>
      <c r="M146" s="49">
        <v>6.3245500000000012</v>
      </c>
      <c r="N146" s="49">
        <f t="shared" si="20"/>
        <v>131.36208999999999</v>
      </c>
      <c r="O146" s="290">
        <f t="shared" si="15"/>
        <v>7.6299567737816553E-5</v>
      </c>
      <c r="Q146" s="425">
        <v>130.96634</v>
      </c>
      <c r="R146" s="426">
        <f t="shared" si="16"/>
        <v>8.7012822381847557E-5</v>
      </c>
      <c r="T146" s="425">
        <f t="shared" si="17"/>
        <v>0.3957499999999925</v>
      </c>
      <c r="U146" s="426">
        <f t="shared" si="18"/>
        <v>-1.0713254644031004E-5</v>
      </c>
      <c r="V146" s="464"/>
      <c r="W146" s="49">
        <v>5.3294300000000003</v>
      </c>
      <c r="X146" s="49">
        <v>5.7853800000000009</v>
      </c>
      <c r="Y146" s="49">
        <v>8.8588400000000007</v>
      </c>
      <c r="Z146" s="49">
        <f t="shared" si="21"/>
        <v>19.973650000000003</v>
      </c>
      <c r="AA146" s="49">
        <f t="shared" si="22"/>
        <v>43.787363333333332</v>
      </c>
      <c r="AB146" s="49">
        <f t="shared" si="23"/>
        <v>-23.813713333333329</v>
      </c>
      <c r="AC146" s="290">
        <f t="shared" si="24"/>
        <v>-1.1922564645587224</v>
      </c>
      <c r="AD146" s="511"/>
      <c r="AE146" s="49">
        <f t="shared" si="19"/>
        <v>151.33573999999999</v>
      </c>
    </row>
    <row r="147" spans="2:31" ht="13" hidden="1" outlineLevel="1">
      <c r="B147" s="248" t="s">
        <v>386</v>
      </c>
      <c r="C147" s="295">
        <v>3205090063</v>
      </c>
      <c r="D147" s="110" t="s">
        <v>231</v>
      </c>
      <c r="E147" s="49">
        <v>0</v>
      </c>
      <c r="F147" s="49">
        <v>0</v>
      </c>
      <c r="G147" s="49">
        <v>117.2</v>
      </c>
      <c r="H147" s="49">
        <v>0</v>
      </c>
      <c r="I147" s="49">
        <v>0</v>
      </c>
      <c r="J147" s="49">
        <v>0</v>
      </c>
      <c r="K147" s="49">
        <v>0</v>
      </c>
      <c r="L147" s="49">
        <v>0</v>
      </c>
      <c r="M147" s="49">
        <v>0</v>
      </c>
      <c r="N147" s="49">
        <f t="shared" si="20"/>
        <v>117.2</v>
      </c>
      <c r="O147" s="290">
        <f t="shared" si="15"/>
        <v>6.807374440275806E-5</v>
      </c>
      <c r="Q147" s="425">
        <v>-0.20452999999999996</v>
      </c>
      <c r="R147" s="426">
        <f t="shared" si="16"/>
        <v>-1.3588783623150251E-7</v>
      </c>
      <c r="T147" s="425">
        <f t="shared" si="17"/>
        <v>117.40453000000001</v>
      </c>
      <c r="U147" s="426">
        <f t="shared" si="18"/>
        <v>6.8209632238989566E-5</v>
      </c>
      <c r="V147" s="464"/>
      <c r="W147" s="49">
        <v>0</v>
      </c>
      <c r="X147" s="49">
        <v>0</v>
      </c>
      <c r="Y147" s="49">
        <v>0</v>
      </c>
      <c r="Z147" s="49">
        <f t="shared" si="21"/>
        <v>0</v>
      </c>
      <c r="AA147" s="49">
        <f t="shared" si="22"/>
        <v>39.066666666666663</v>
      </c>
      <c r="AB147" s="49">
        <f t="shared" si="23"/>
        <v>-39.066666666666663</v>
      </c>
      <c r="AC147" s="290">
        <v>-1</v>
      </c>
      <c r="AD147" s="511"/>
      <c r="AE147" s="49">
        <f t="shared" si="19"/>
        <v>117.2</v>
      </c>
    </row>
    <row r="148" spans="2:31" ht="13" hidden="1" outlineLevel="1">
      <c r="B148" s="248" t="s">
        <v>386</v>
      </c>
      <c r="C148" s="295">
        <v>3201120095</v>
      </c>
      <c r="D148" s="110" t="s">
        <v>327</v>
      </c>
      <c r="E148" s="49">
        <v>0</v>
      </c>
      <c r="F148" s="49">
        <v>0</v>
      </c>
      <c r="G148" s="49">
        <v>0</v>
      </c>
      <c r="H148" s="49">
        <v>0</v>
      </c>
      <c r="I148" s="49">
        <v>0</v>
      </c>
      <c r="J148" s="49">
        <v>0</v>
      </c>
      <c r="K148" s="49">
        <v>0</v>
      </c>
      <c r="L148" s="49">
        <v>92.683189999999982</v>
      </c>
      <c r="M148" s="49">
        <v>5.0646599999999999</v>
      </c>
      <c r="N148" s="49">
        <f t="shared" si="20"/>
        <v>97.747849999999985</v>
      </c>
      <c r="O148" s="290">
        <f t="shared" si="15"/>
        <v>5.6775274375589873E-5</v>
      </c>
      <c r="Q148" s="425" t="s">
        <v>391</v>
      </c>
      <c r="R148" s="426" t="s">
        <v>391</v>
      </c>
      <c r="T148" s="425" t="s">
        <v>391</v>
      </c>
      <c r="U148" s="426" t="s">
        <v>391</v>
      </c>
      <c r="V148" s="464"/>
      <c r="W148" s="49">
        <v>1622.3651900000002</v>
      </c>
      <c r="X148" s="49">
        <v>527.38566000000003</v>
      </c>
      <c r="Y148" s="49">
        <v>1308.39393</v>
      </c>
      <c r="Z148" s="49">
        <f t="shared" si="21"/>
        <v>3458.1447800000005</v>
      </c>
      <c r="AA148" s="49">
        <f t="shared" si="22"/>
        <v>32.582616666666659</v>
      </c>
      <c r="AB148" s="49">
        <f t="shared" si="23"/>
        <v>3425.562163333334</v>
      </c>
      <c r="AC148" s="290">
        <f>AB148/Z148</f>
        <v>0.99057800678123531</v>
      </c>
      <c r="AD148" s="511"/>
      <c r="AE148" s="49">
        <f t="shared" si="19"/>
        <v>3555.8926300000007</v>
      </c>
    </row>
    <row r="149" spans="2:31" ht="13" hidden="1" outlineLevel="1">
      <c r="B149" s="248" t="s">
        <v>386</v>
      </c>
      <c r="C149" s="295">
        <v>3205090080</v>
      </c>
      <c r="D149" s="110" t="s">
        <v>234</v>
      </c>
      <c r="E149" s="49">
        <v>1.50979</v>
      </c>
      <c r="F149" s="49">
        <v>12.27045</v>
      </c>
      <c r="G149" s="49">
        <v>1.1834</v>
      </c>
      <c r="H149" s="49">
        <v>10.28645</v>
      </c>
      <c r="I149" s="49">
        <v>16.243970000000001</v>
      </c>
      <c r="J149" s="49">
        <v>25.764099999999999</v>
      </c>
      <c r="K149" s="49">
        <v>14.59357</v>
      </c>
      <c r="L149" s="49">
        <v>4.7021100000000002</v>
      </c>
      <c r="M149" s="49">
        <v>3.6641999999999997</v>
      </c>
      <c r="N149" s="49">
        <f t="shared" si="20"/>
        <v>90.218040000000002</v>
      </c>
      <c r="O149" s="290">
        <f t="shared" si="15"/>
        <v>5.2401704739571694E-5</v>
      </c>
      <c r="Q149" s="425">
        <v>66.527739999999994</v>
      </c>
      <c r="R149" s="426">
        <f t="shared" si="16"/>
        <v>4.420041381690696E-5</v>
      </c>
      <c r="T149" s="425">
        <f t="shared" si="17"/>
        <v>23.690300000000008</v>
      </c>
      <c r="U149" s="426">
        <f t="shared" si="18"/>
        <v>8.2012909226647341E-6</v>
      </c>
      <c r="V149" s="464"/>
      <c r="W149" s="49">
        <v>11.96907</v>
      </c>
      <c r="X149" s="49">
        <v>0.19836000000000001</v>
      </c>
      <c r="Y149" s="49">
        <v>1.31253</v>
      </c>
      <c r="Z149" s="49">
        <f t="shared" si="21"/>
        <v>13.47996</v>
      </c>
      <c r="AA149" s="49">
        <f t="shared" si="22"/>
        <v>30.072680000000002</v>
      </c>
      <c r="AB149" s="49">
        <f t="shared" si="23"/>
        <v>-16.59272</v>
      </c>
      <c r="AC149" s="290">
        <f>AB149/Z149</f>
        <v>-1.2309175991620154</v>
      </c>
      <c r="AD149" s="511"/>
      <c r="AE149" s="49">
        <f t="shared" si="19"/>
        <v>103.69800000000001</v>
      </c>
    </row>
    <row r="150" spans="2:31" ht="13" hidden="1" outlineLevel="1">
      <c r="B150" s="248" t="s">
        <v>386</v>
      </c>
      <c r="C150" s="295">
        <v>3205060040</v>
      </c>
      <c r="D150" s="110" t="s">
        <v>225</v>
      </c>
      <c r="E150" s="49">
        <v>0</v>
      </c>
      <c r="F150" s="49">
        <v>0</v>
      </c>
      <c r="G150" s="49">
        <v>0</v>
      </c>
      <c r="H150" s="49">
        <v>0</v>
      </c>
      <c r="I150" s="49">
        <v>0</v>
      </c>
      <c r="J150" s="49">
        <v>18.374929999999999</v>
      </c>
      <c r="K150" s="49">
        <v>0</v>
      </c>
      <c r="L150" s="49">
        <v>0</v>
      </c>
      <c r="M150" s="49">
        <v>49.129390000000001</v>
      </c>
      <c r="N150" s="49">
        <f t="shared" si="20"/>
        <v>67.504320000000007</v>
      </c>
      <c r="O150" s="290">
        <f t="shared" si="15"/>
        <v>3.9208803974078407E-5</v>
      </c>
      <c r="Q150" s="425">
        <v>9.10426</v>
      </c>
      <c r="R150" s="426">
        <f t="shared" si="16"/>
        <v>6.0487859575075508E-6</v>
      </c>
      <c r="T150" s="425">
        <f t="shared" si="17"/>
        <v>58.400060000000011</v>
      </c>
      <c r="U150" s="426">
        <f t="shared" si="18"/>
        <v>3.3160018016570855E-5</v>
      </c>
      <c r="V150" s="464"/>
      <c r="W150" s="49">
        <v>0</v>
      </c>
      <c r="X150" s="49">
        <v>0</v>
      </c>
      <c r="Y150" s="49">
        <v>0</v>
      </c>
      <c r="Z150" s="49">
        <f t="shared" si="21"/>
        <v>0</v>
      </c>
      <c r="AA150" s="49">
        <f t="shared" si="22"/>
        <v>22.501440000000002</v>
      </c>
      <c r="AB150" s="49">
        <f t="shared" si="23"/>
        <v>-22.501440000000002</v>
      </c>
      <c r="AC150" s="290">
        <v>-1</v>
      </c>
      <c r="AD150" s="511"/>
      <c r="AE150" s="49">
        <f t="shared" si="19"/>
        <v>67.504320000000007</v>
      </c>
    </row>
    <row r="151" spans="2:31" ht="13" hidden="1" outlineLevel="1">
      <c r="B151" s="248" t="s">
        <v>386</v>
      </c>
      <c r="C151" s="295">
        <v>3205060033</v>
      </c>
      <c r="D151" s="110" t="s">
        <v>336</v>
      </c>
      <c r="E151" s="49">
        <v>0</v>
      </c>
      <c r="F151" s="49">
        <v>0</v>
      </c>
      <c r="G151" s="49">
        <v>0</v>
      </c>
      <c r="H151" s="49">
        <v>0</v>
      </c>
      <c r="I151" s="49">
        <v>0</v>
      </c>
      <c r="J151" s="49">
        <v>0</v>
      </c>
      <c r="K151" s="49">
        <v>32</v>
      </c>
      <c r="L151" s="49">
        <v>32</v>
      </c>
      <c r="M151" s="49">
        <v>0</v>
      </c>
      <c r="N151" s="49">
        <f t="shared" si="20"/>
        <v>64</v>
      </c>
      <c r="O151" s="290">
        <f t="shared" si="15"/>
        <v>3.7173375783076075E-5</v>
      </c>
      <c r="Q151" s="425" t="s">
        <v>391</v>
      </c>
      <c r="R151" s="426" t="s">
        <v>391</v>
      </c>
      <c r="T151" s="425" t="s">
        <v>391</v>
      </c>
      <c r="U151" s="426" t="s">
        <v>391</v>
      </c>
      <c r="V151" s="464"/>
      <c r="W151" s="49">
        <v>32</v>
      </c>
      <c r="X151" s="49">
        <v>32</v>
      </c>
      <c r="Y151" s="49">
        <v>64</v>
      </c>
      <c r="Z151" s="49">
        <f t="shared" si="21"/>
        <v>128</v>
      </c>
      <c r="AA151" s="49">
        <f t="shared" si="22"/>
        <v>21.333333333333332</v>
      </c>
      <c r="AB151" s="49">
        <f t="shared" si="23"/>
        <v>106.66666666666667</v>
      </c>
      <c r="AC151" s="290">
        <f t="shared" ref="AC151:AC157" si="25">AB151/Z151</f>
        <v>0.83333333333333337</v>
      </c>
      <c r="AD151" s="511"/>
      <c r="AE151" s="49">
        <f t="shared" si="19"/>
        <v>192</v>
      </c>
    </row>
    <row r="152" spans="2:31" ht="13" hidden="1" outlineLevel="1">
      <c r="B152" s="248" t="s">
        <v>386</v>
      </c>
      <c r="C152" s="295">
        <v>3201120015</v>
      </c>
      <c r="D152" s="110" t="s">
        <v>116</v>
      </c>
      <c r="E152" s="49">
        <v>0</v>
      </c>
      <c r="F152" s="49">
        <v>1.52328</v>
      </c>
      <c r="G152" s="49">
        <v>14.279500000000001</v>
      </c>
      <c r="H152" s="49">
        <v>3.8373900000000001</v>
      </c>
      <c r="I152" s="49">
        <v>8.4877299999999991</v>
      </c>
      <c r="J152" s="49">
        <v>3.6313</v>
      </c>
      <c r="K152" s="49">
        <v>1.2785299999999999</v>
      </c>
      <c r="L152" s="49">
        <v>16.786529999999999</v>
      </c>
      <c r="M152" s="49">
        <v>12.80034</v>
      </c>
      <c r="N152" s="49">
        <f t="shared" si="20"/>
        <v>62.624599999999994</v>
      </c>
      <c r="O152" s="290">
        <f t="shared" si="15"/>
        <v>3.6374496704137897E-5</v>
      </c>
      <c r="Q152" s="425">
        <v>709.0236000000001</v>
      </c>
      <c r="R152" s="426">
        <f t="shared" si="16"/>
        <v>4.7106870796983515E-4</v>
      </c>
      <c r="T152" s="425">
        <f t="shared" si="17"/>
        <v>-646.39900000000011</v>
      </c>
      <c r="U152" s="426">
        <f t="shared" si="18"/>
        <v>-4.3469421126569727E-4</v>
      </c>
      <c r="V152" s="464"/>
      <c r="W152" s="49">
        <v>10.958120000000001</v>
      </c>
      <c r="X152" s="49">
        <v>15.932829999999999</v>
      </c>
      <c r="Y152" s="49">
        <v>5.1808900000000007</v>
      </c>
      <c r="Z152" s="49">
        <f t="shared" ref="Z152:Z165" si="26">SUM(W152:Y152)</f>
        <v>32.071840000000002</v>
      </c>
      <c r="AA152" s="49">
        <f t="shared" ref="AA152:AA165" si="27">N152/9*3</f>
        <v>20.874866666666666</v>
      </c>
      <c r="AB152" s="49">
        <f t="shared" ref="AB152:AB165" si="28">Z152-AA152</f>
        <v>11.196973333333336</v>
      </c>
      <c r="AC152" s="290">
        <f t="shared" si="25"/>
        <v>0.34912163858803658</v>
      </c>
      <c r="AD152" s="511"/>
      <c r="AE152" s="49">
        <f t="shared" si="19"/>
        <v>94.696439999999996</v>
      </c>
    </row>
    <row r="153" spans="2:31" ht="13" hidden="1" outlineLevel="1">
      <c r="B153" s="248" t="s">
        <v>386</v>
      </c>
      <c r="C153" s="295">
        <v>3205010904</v>
      </c>
      <c r="D153" s="110" t="s">
        <v>197</v>
      </c>
      <c r="E153" s="49">
        <v>5.6953999999999994</v>
      </c>
      <c r="F153" s="49">
        <v>5.6953999999999994</v>
      </c>
      <c r="G153" s="49">
        <v>5.6953999999999994</v>
      </c>
      <c r="H153" s="49">
        <v>5.6953999999999994</v>
      </c>
      <c r="I153" s="49">
        <v>5.6953999999999994</v>
      </c>
      <c r="J153" s="49">
        <v>5.6953999999999994</v>
      </c>
      <c r="K153" s="49">
        <v>5.6953999999999994</v>
      </c>
      <c r="L153" s="49">
        <v>5.6953999999999994</v>
      </c>
      <c r="M153" s="49">
        <v>5.6953999999999994</v>
      </c>
      <c r="N153" s="49">
        <f t="shared" ref="N153:N164" si="29">SUM(E153:M153)</f>
        <v>51.258599999999994</v>
      </c>
      <c r="O153" s="290">
        <f t="shared" ref="O153:O165" si="30">N153/$N$165</f>
        <v>2.9772737498662233E-5</v>
      </c>
      <c r="Q153" s="425">
        <v>51.258599999999994</v>
      </c>
      <c r="R153" s="426">
        <f t="shared" ref="R153:R165" si="31">Q153/$Q$165</f>
        <v>3.4055738729067106E-5</v>
      </c>
      <c r="T153" s="425">
        <f t="shared" ref="T153:T165" si="32">N153-Q153</f>
        <v>0</v>
      </c>
      <c r="U153" s="426">
        <f t="shared" ref="U153:U165" si="33">O153-R153</f>
        <v>-4.2830012304048732E-6</v>
      </c>
      <c r="V153" s="464"/>
      <c r="W153" s="49">
        <v>5.6953999999999994</v>
      </c>
      <c r="X153" s="49">
        <v>5.6953999999999994</v>
      </c>
      <c r="Y153" s="49">
        <v>5.6953999999999994</v>
      </c>
      <c r="Z153" s="49">
        <f t="shared" si="26"/>
        <v>17.086199999999998</v>
      </c>
      <c r="AA153" s="49">
        <f t="shared" si="27"/>
        <v>17.086199999999998</v>
      </c>
      <c r="AB153" s="49">
        <f t="shared" si="28"/>
        <v>0</v>
      </c>
      <c r="AC153" s="290">
        <f t="shared" si="25"/>
        <v>0</v>
      </c>
      <c r="AD153" s="511"/>
      <c r="AE153" s="49">
        <f t="shared" ref="AE153:AE164" si="34">Z153+N153</f>
        <v>68.344799999999992</v>
      </c>
    </row>
    <row r="154" spans="2:31" ht="13" hidden="1" outlineLevel="1">
      <c r="B154" s="248" t="s">
        <v>386</v>
      </c>
      <c r="C154" s="295">
        <v>3304000019</v>
      </c>
      <c r="D154" s="110" t="s">
        <v>164</v>
      </c>
      <c r="E154" s="49">
        <v>3.5277999999999996</v>
      </c>
      <c r="F154" s="49">
        <v>1.48238</v>
      </c>
      <c r="G154" s="49">
        <v>2.8998400000000002</v>
      </c>
      <c r="H154" s="49">
        <v>4.56473</v>
      </c>
      <c r="I154" s="49">
        <v>3.0763400000000001</v>
      </c>
      <c r="J154" s="49">
        <v>3.1181400000000004</v>
      </c>
      <c r="K154" s="49">
        <v>7.3178099999999997</v>
      </c>
      <c r="L154" s="49">
        <v>6.1959699999999991</v>
      </c>
      <c r="M154" s="49">
        <v>5.8380000000000001</v>
      </c>
      <c r="N154" s="49">
        <f t="shared" si="29"/>
        <v>38.021009999999997</v>
      </c>
      <c r="O154" s="290">
        <f t="shared" si="30"/>
        <v>2.2083895193470203E-5</v>
      </c>
      <c r="Q154" s="425">
        <v>22.639330000000001</v>
      </c>
      <c r="R154" s="426">
        <f t="shared" si="31"/>
        <v>1.5041361010272051E-5</v>
      </c>
      <c r="T154" s="425">
        <f t="shared" si="32"/>
        <v>15.381679999999996</v>
      </c>
      <c r="U154" s="426">
        <f t="shared" si="33"/>
        <v>7.0425341831981514E-6</v>
      </c>
      <c r="V154" s="464"/>
      <c r="W154" s="49">
        <v>6.1709300000000002</v>
      </c>
      <c r="X154" s="49">
        <v>5.9379699999999991</v>
      </c>
      <c r="Y154" s="49">
        <v>0.21262000000000081</v>
      </c>
      <c r="Z154" s="49">
        <f t="shared" si="26"/>
        <v>12.32152</v>
      </c>
      <c r="AA154" s="49">
        <f t="shared" si="27"/>
        <v>12.67367</v>
      </c>
      <c r="AB154" s="49">
        <f t="shared" si="28"/>
        <v>-0.35214999999999996</v>
      </c>
      <c r="AC154" s="290">
        <f t="shared" si="25"/>
        <v>-2.8580077782611235E-2</v>
      </c>
      <c r="AD154" s="511"/>
      <c r="AE154" s="49">
        <f t="shared" si="34"/>
        <v>50.342529999999996</v>
      </c>
    </row>
    <row r="155" spans="2:31" ht="13" hidden="1" outlineLevel="1">
      <c r="B155" s="248" t="s">
        <v>386</v>
      </c>
      <c r="C155" s="295">
        <v>3205010320</v>
      </c>
      <c r="D155" s="110" t="s">
        <v>331</v>
      </c>
      <c r="E155" s="49">
        <v>0</v>
      </c>
      <c r="F155" s="49">
        <v>0</v>
      </c>
      <c r="G155" s="49">
        <v>0</v>
      </c>
      <c r="H155" s="49">
        <v>0</v>
      </c>
      <c r="I155" s="49">
        <v>0</v>
      </c>
      <c r="J155" s="49">
        <v>0</v>
      </c>
      <c r="K155" s="49">
        <v>0</v>
      </c>
      <c r="L155" s="49">
        <v>33</v>
      </c>
      <c r="M155" s="49">
        <v>0</v>
      </c>
      <c r="N155" s="49">
        <f t="shared" si="29"/>
        <v>33</v>
      </c>
      <c r="O155" s="290">
        <f t="shared" si="30"/>
        <v>1.9167521888148601E-5</v>
      </c>
      <c r="Q155" s="425" t="s">
        <v>391</v>
      </c>
      <c r="R155" s="426" t="s">
        <v>391</v>
      </c>
      <c r="T155" s="425" t="s">
        <v>391</v>
      </c>
      <c r="U155" s="426" t="s">
        <v>391</v>
      </c>
      <c r="V155" s="464"/>
      <c r="W155" s="49">
        <v>60</v>
      </c>
      <c r="X155" s="49">
        <v>0</v>
      </c>
      <c r="Y155" s="49">
        <v>0</v>
      </c>
      <c r="Z155" s="49">
        <f t="shared" si="26"/>
        <v>60</v>
      </c>
      <c r="AA155" s="49">
        <f t="shared" si="27"/>
        <v>11</v>
      </c>
      <c r="AB155" s="49">
        <f t="shared" si="28"/>
        <v>49</v>
      </c>
      <c r="AC155" s="290">
        <f t="shared" si="25"/>
        <v>0.81666666666666665</v>
      </c>
      <c r="AD155" s="511"/>
      <c r="AE155" s="49">
        <f t="shared" si="34"/>
        <v>93</v>
      </c>
    </row>
    <row r="156" spans="2:31" ht="13" hidden="1" outlineLevel="1">
      <c r="B156" s="248" t="s">
        <v>386</v>
      </c>
      <c r="C156" s="295">
        <v>3205060028</v>
      </c>
      <c r="D156" s="110" t="s">
        <v>223</v>
      </c>
      <c r="E156" s="49">
        <v>2.6561699999999999</v>
      </c>
      <c r="F156" s="49">
        <v>-0.17341999999999999</v>
      </c>
      <c r="G156" s="49">
        <v>4.7829999999999998E-2</v>
      </c>
      <c r="H156" s="49">
        <v>1.0928199999999999</v>
      </c>
      <c r="I156" s="49">
        <v>1.6047199999999999</v>
      </c>
      <c r="J156" s="49">
        <v>1.40357</v>
      </c>
      <c r="K156" s="49">
        <v>1.006</v>
      </c>
      <c r="L156" s="49">
        <v>1.4608299999999999</v>
      </c>
      <c r="M156" s="49">
        <v>0.83716000000000013</v>
      </c>
      <c r="N156" s="49">
        <f t="shared" si="29"/>
        <v>9.9356799999999996</v>
      </c>
      <c r="O156" s="290">
        <f t="shared" si="30"/>
        <v>5.7709807234436445E-6</v>
      </c>
      <c r="Q156" s="425">
        <v>20.76238</v>
      </c>
      <c r="R156" s="426">
        <f t="shared" si="31"/>
        <v>1.3794332827537398E-5</v>
      </c>
      <c r="T156" s="425">
        <f t="shared" si="32"/>
        <v>-10.826700000000001</v>
      </c>
      <c r="U156" s="426">
        <f t="shared" si="33"/>
        <v>-8.023352104093753E-6</v>
      </c>
      <c r="V156" s="464"/>
      <c r="W156" s="49">
        <v>0.80215999999999998</v>
      </c>
      <c r="X156" s="49">
        <v>0.37684999999999991</v>
      </c>
      <c r="Y156" s="49">
        <v>2.1391200000000001</v>
      </c>
      <c r="Z156" s="49">
        <f>SUM(W156:Y156)</f>
        <v>3.31813</v>
      </c>
      <c r="AA156" s="49">
        <f t="shared" si="27"/>
        <v>3.3118933333333329</v>
      </c>
      <c r="AB156" s="49">
        <f t="shared" si="28"/>
        <v>6.2366666666671122E-3</v>
      </c>
      <c r="AC156" s="290">
        <f t="shared" si="25"/>
        <v>1.8795727312272612E-3</v>
      </c>
      <c r="AD156" s="511"/>
      <c r="AE156" s="49">
        <f t="shared" si="34"/>
        <v>13.25381</v>
      </c>
    </row>
    <row r="157" spans="2:31" ht="13" hidden="1" outlineLevel="1">
      <c r="B157" s="248" t="s">
        <v>386</v>
      </c>
      <c r="C157" s="295">
        <v>3205010081</v>
      </c>
      <c r="D157" s="110" t="s">
        <v>177</v>
      </c>
      <c r="E157" s="49">
        <v>2.1335199999999999</v>
      </c>
      <c r="F157" s="49">
        <v>0</v>
      </c>
      <c r="G157" s="49">
        <v>0.65666000000000002</v>
      </c>
      <c r="H157" s="49">
        <v>2.5126500000000003</v>
      </c>
      <c r="I157" s="49">
        <v>2.4374499999999997</v>
      </c>
      <c r="J157" s="49">
        <v>0</v>
      </c>
      <c r="K157" s="49">
        <v>0</v>
      </c>
      <c r="L157" s="49">
        <v>9.0859999999999996E-2</v>
      </c>
      <c r="M157" s="49">
        <v>0.26626</v>
      </c>
      <c r="N157" s="49">
        <f t="shared" si="29"/>
        <v>8.0974000000000004</v>
      </c>
      <c r="O157" s="290">
        <f t="shared" si="30"/>
        <v>4.7032452041543779E-6</v>
      </c>
      <c r="Q157" s="425">
        <v>24.159399999999998</v>
      </c>
      <c r="R157" s="426">
        <f t="shared" si="31"/>
        <v>1.60512814288924E-5</v>
      </c>
      <c r="T157" s="425">
        <f>N157-Q157</f>
        <v>-16.061999999999998</v>
      </c>
      <c r="U157" s="426">
        <f t="shared" si="33"/>
        <v>-1.1348036224738023E-5</v>
      </c>
      <c r="V157" s="464"/>
      <c r="W157" s="49">
        <v>2.0374299999999996</v>
      </c>
      <c r="X157" s="49">
        <v>6.8000000000000005E-4</v>
      </c>
      <c r="Y157" s="49">
        <v>2.2418899999999997</v>
      </c>
      <c r="Z157" s="49">
        <f t="shared" si="26"/>
        <v>4.2799999999999994</v>
      </c>
      <c r="AA157" s="49">
        <f t="shared" si="27"/>
        <v>2.6991333333333332</v>
      </c>
      <c r="AB157" s="49">
        <f t="shared" si="28"/>
        <v>1.5808666666666662</v>
      </c>
      <c r="AC157" s="290">
        <f t="shared" si="25"/>
        <v>0.36936137071651087</v>
      </c>
      <c r="AD157" s="511"/>
      <c r="AE157" s="49">
        <f t="shared" si="34"/>
        <v>12.3774</v>
      </c>
    </row>
    <row r="158" spans="2:31" ht="13" hidden="1" outlineLevel="1">
      <c r="B158" s="248" t="s">
        <v>386</v>
      </c>
      <c r="C158" s="295">
        <v>3299000706</v>
      </c>
      <c r="D158" s="110" t="s">
        <v>341</v>
      </c>
      <c r="E158" s="49">
        <v>0</v>
      </c>
      <c r="F158" s="49">
        <v>0</v>
      </c>
      <c r="G158" s="49">
        <v>0</v>
      </c>
      <c r="H158" s="49">
        <v>0</v>
      </c>
      <c r="I158" s="49">
        <v>0</v>
      </c>
      <c r="J158" s="49">
        <v>0</v>
      </c>
      <c r="K158" s="49">
        <v>0</v>
      </c>
      <c r="L158" s="49">
        <v>2.1235399999999998</v>
      </c>
      <c r="M158" s="49">
        <v>0</v>
      </c>
      <c r="N158" s="49">
        <f t="shared" si="29"/>
        <v>2.1235399999999998</v>
      </c>
      <c r="O158" s="290">
        <f t="shared" si="30"/>
        <v>1.2334242251623961E-6</v>
      </c>
      <c r="Q158" s="425" t="s">
        <v>391</v>
      </c>
      <c r="R158" s="426" t="s">
        <v>391</v>
      </c>
      <c r="T158" s="425" t="s">
        <v>391</v>
      </c>
      <c r="U158" s="426" t="s">
        <v>391</v>
      </c>
      <c r="V158" s="464"/>
      <c r="W158" s="49">
        <v>0</v>
      </c>
      <c r="X158" s="49">
        <v>0</v>
      </c>
      <c r="Y158" s="49">
        <v>0</v>
      </c>
      <c r="Z158" s="49">
        <f t="shared" si="26"/>
        <v>0</v>
      </c>
      <c r="AA158" s="49">
        <f t="shared" si="27"/>
        <v>0.70784666666666662</v>
      </c>
      <c r="AB158" s="49">
        <f t="shared" si="28"/>
        <v>-0.70784666666666662</v>
      </c>
      <c r="AC158" s="290">
        <v>-1</v>
      </c>
      <c r="AD158" s="511"/>
      <c r="AE158" s="49">
        <f t="shared" si="34"/>
        <v>2.1235399999999998</v>
      </c>
    </row>
    <row r="159" spans="2:31" ht="13" hidden="1" outlineLevel="1">
      <c r="B159" s="248" t="s">
        <v>386</v>
      </c>
      <c r="C159" s="295">
        <v>3201120297</v>
      </c>
      <c r="D159" s="110" t="s">
        <v>132</v>
      </c>
      <c r="E159" s="49">
        <v>0</v>
      </c>
      <c r="F159" s="49">
        <v>0</v>
      </c>
      <c r="G159" s="49">
        <v>0</v>
      </c>
      <c r="H159" s="49">
        <v>0</v>
      </c>
      <c r="I159" s="49">
        <v>0</v>
      </c>
      <c r="J159" s="49">
        <v>0</v>
      </c>
      <c r="K159" s="49">
        <v>0</v>
      </c>
      <c r="L159" s="49">
        <v>0</v>
      </c>
      <c r="M159" s="49">
        <v>0</v>
      </c>
      <c r="N159" s="49">
        <f t="shared" si="29"/>
        <v>0</v>
      </c>
      <c r="O159" s="290">
        <f t="shared" si="30"/>
        <v>0</v>
      </c>
      <c r="Q159" s="425">
        <v>1.2520000000000002E-2</v>
      </c>
      <c r="R159" s="426">
        <f t="shared" si="31"/>
        <v>8.3181719533487131E-9</v>
      </c>
      <c r="T159" s="425">
        <f t="shared" si="32"/>
        <v>-1.2520000000000002E-2</v>
      </c>
      <c r="U159" s="426">
        <f t="shared" si="33"/>
        <v>-8.3181719533487131E-9</v>
      </c>
      <c r="V159" s="464"/>
      <c r="W159" s="49">
        <v>0</v>
      </c>
      <c r="X159" s="49">
        <v>0</v>
      </c>
      <c r="Y159" s="49">
        <v>0</v>
      </c>
      <c r="Z159" s="49">
        <f t="shared" si="26"/>
        <v>0</v>
      </c>
      <c r="AA159" s="49">
        <f t="shared" si="27"/>
        <v>0</v>
      </c>
      <c r="AB159" s="49">
        <f t="shared" si="28"/>
        <v>0</v>
      </c>
      <c r="AC159" s="290">
        <v>0</v>
      </c>
      <c r="AD159" s="511"/>
      <c r="AE159" s="49">
        <f t="shared" si="34"/>
        <v>0</v>
      </c>
    </row>
    <row r="160" spans="2:31" ht="13" hidden="1" outlineLevel="1">
      <c r="B160" s="248" t="s">
        <v>386</v>
      </c>
      <c r="C160" s="295">
        <v>3201120360</v>
      </c>
      <c r="D160" s="110" t="s">
        <v>136</v>
      </c>
      <c r="E160" s="49">
        <v>0</v>
      </c>
      <c r="F160" s="49">
        <v>0</v>
      </c>
      <c r="G160" s="49">
        <v>0</v>
      </c>
      <c r="H160" s="49">
        <v>0</v>
      </c>
      <c r="I160" s="49">
        <v>0</v>
      </c>
      <c r="J160" s="49">
        <v>0</v>
      </c>
      <c r="K160" s="49">
        <v>0</v>
      </c>
      <c r="L160" s="49">
        <v>0</v>
      </c>
      <c r="M160" s="49">
        <v>0</v>
      </c>
      <c r="N160" s="49">
        <f t="shared" si="29"/>
        <v>0</v>
      </c>
      <c r="O160" s="290">
        <f t="shared" si="30"/>
        <v>0</v>
      </c>
      <c r="Q160" s="425">
        <v>-2.5057500000000008</v>
      </c>
      <c r="R160" s="426">
        <f t="shared" si="31"/>
        <v>-1.6647970744491645E-6</v>
      </c>
      <c r="T160" s="425">
        <f t="shared" si="32"/>
        <v>2.5057500000000008</v>
      </c>
      <c r="U160" s="426">
        <f t="shared" si="33"/>
        <v>1.6647970744491645E-6</v>
      </c>
      <c r="V160" s="464"/>
      <c r="W160" s="49">
        <v>0</v>
      </c>
      <c r="X160" s="49">
        <v>0</v>
      </c>
      <c r="Y160" s="49">
        <v>0</v>
      </c>
      <c r="Z160" s="49">
        <f t="shared" si="26"/>
        <v>0</v>
      </c>
      <c r="AA160" s="49">
        <f t="shared" si="27"/>
        <v>0</v>
      </c>
      <c r="AB160" s="49">
        <f t="shared" si="28"/>
        <v>0</v>
      </c>
      <c r="AC160" s="290">
        <v>0</v>
      </c>
      <c r="AD160" s="511"/>
      <c r="AE160" s="49">
        <f t="shared" si="34"/>
        <v>0</v>
      </c>
    </row>
    <row r="161" spans="2:32" ht="13" hidden="1" outlineLevel="1">
      <c r="B161" s="248" t="s">
        <v>386</v>
      </c>
      <c r="C161" s="295">
        <v>3205010230</v>
      </c>
      <c r="D161" s="110" t="s">
        <v>187</v>
      </c>
      <c r="E161" s="49">
        <v>0</v>
      </c>
      <c r="F161" s="49">
        <v>0</v>
      </c>
      <c r="G161" s="49">
        <v>0</v>
      </c>
      <c r="H161" s="49">
        <v>0</v>
      </c>
      <c r="I161" s="49">
        <v>0</v>
      </c>
      <c r="J161" s="49">
        <v>0</v>
      </c>
      <c r="K161" s="49">
        <v>0</v>
      </c>
      <c r="L161" s="49">
        <v>0</v>
      </c>
      <c r="M161" s="49">
        <v>0</v>
      </c>
      <c r="N161" s="49">
        <f t="shared" si="29"/>
        <v>0</v>
      </c>
      <c r="O161" s="290">
        <f t="shared" si="30"/>
        <v>0</v>
      </c>
      <c r="Q161" s="425">
        <v>76.724369999999993</v>
      </c>
      <c r="R161" s="426">
        <f t="shared" si="31"/>
        <v>5.0974960277344184E-5</v>
      </c>
      <c r="T161" s="425">
        <f t="shared" si="32"/>
        <v>-76.724369999999993</v>
      </c>
      <c r="U161" s="426">
        <f t="shared" si="33"/>
        <v>-5.0974960277344184E-5</v>
      </c>
      <c r="V161" s="464"/>
      <c r="W161" s="49">
        <v>0</v>
      </c>
      <c r="X161" s="49">
        <v>0</v>
      </c>
      <c r="Y161" s="49">
        <v>0</v>
      </c>
      <c r="Z161" s="49">
        <f t="shared" si="26"/>
        <v>0</v>
      </c>
      <c r="AA161" s="49">
        <f t="shared" si="27"/>
        <v>0</v>
      </c>
      <c r="AB161" s="49">
        <f t="shared" si="28"/>
        <v>0</v>
      </c>
      <c r="AC161" s="290">
        <v>0</v>
      </c>
      <c r="AD161" s="511"/>
      <c r="AE161" s="49">
        <f t="shared" si="34"/>
        <v>0</v>
      </c>
    </row>
    <row r="162" spans="2:32" ht="13" hidden="1" outlineLevel="1">
      <c r="B162" s="248" t="s">
        <v>386</v>
      </c>
      <c r="C162" s="295">
        <v>3205010901</v>
      </c>
      <c r="D162" s="110" t="s">
        <v>195</v>
      </c>
      <c r="E162" s="49">
        <v>0</v>
      </c>
      <c r="F162" s="49">
        <v>0</v>
      </c>
      <c r="G162" s="49">
        <v>0</v>
      </c>
      <c r="H162" s="49">
        <v>0</v>
      </c>
      <c r="I162" s="49">
        <v>0</v>
      </c>
      <c r="J162" s="49">
        <v>0</v>
      </c>
      <c r="K162" s="49">
        <v>0</v>
      </c>
      <c r="L162" s="49">
        <v>0</v>
      </c>
      <c r="M162" s="49">
        <v>0</v>
      </c>
      <c r="N162" s="49">
        <f t="shared" si="29"/>
        <v>0</v>
      </c>
      <c r="O162" s="290">
        <f t="shared" si="30"/>
        <v>0</v>
      </c>
      <c r="Q162" s="425">
        <v>12</v>
      </c>
      <c r="R162" s="426">
        <f t="shared" si="31"/>
        <v>7.9726887731776793E-6</v>
      </c>
      <c r="T162" s="425">
        <f t="shared" si="32"/>
        <v>-12</v>
      </c>
      <c r="U162" s="426">
        <f t="shared" si="33"/>
        <v>-7.9726887731776793E-6</v>
      </c>
      <c r="V162" s="464"/>
      <c r="W162" s="49">
        <v>0</v>
      </c>
      <c r="X162" s="49">
        <v>0</v>
      </c>
      <c r="Y162" s="49">
        <v>0</v>
      </c>
      <c r="Z162" s="49">
        <f t="shared" si="26"/>
        <v>0</v>
      </c>
      <c r="AA162" s="49">
        <f t="shared" si="27"/>
        <v>0</v>
      </c>
      <c r="AB162" s="49">
        <f t="shared" si="28"/>
        <v>0</v>
      </c>
      <c r="AC162" s="290">
        <v>0</v>
      </c>
      <c r="AD162" s="511"/>
      <c r="AE162" s="49">
        <f t="shared" si="34"/>
        <v>0</v>
      </c>
    </row>
    <row r="163" spans="2:32" ht="13" hidden="1" outlineLevel="1">
      <c r="B163" s="248" t="s">
        <v>386</v>
      </c>
      <c r="C163" s="295">
        <v>3299000710</v>
      </c>
      <c r="D163" s="110" t="s">
        <v>340</v>
      </c>
      <c r="E163" s="49">
        <v>0</v>
      </c>
      <c r="F163" s="49">
        <v>0</v>
      </c>
      <c r="G163" s="49">
        <v>0</v>
      </c>
      <c r="H163" s="49">
        <v>0</v>
      </c>
      <c r="I163" s="49">
        <v>0</v>
      </c>
      <c r="J163" s="49">
        <v>0</v>
      </c>
      <c r="K163" s="49">
        <v>33</v>
      </c>
      <c r="L163" s="49">
        <v>-33</v>
      </c>
      <c r="M163" s="49">
        <v>0</v>
      </c>
      <c r="N163" s="49">
        <f t="shared" si="29"/>
        <v>0</v>
      </c>
      <c r="O163" s="290">
        <f t="shared" si="30"/>
        <v>0</v>
      </c>
      <c r="Q163" s="425" t="s">
        <v>391</v>
      </c>
      <c r="R163" s="426" t="s">
        <v>391</v>
      </c>
      <c r="T163" s="425" t="s">
        <v>391</v>
      </c>
      <c r="U163" s="426" t="s">
        <v>391</v>
      </c>
      <c r="V163" s="464"/>
      <c r="W163" s="49">
        <v>0</v>
      </c>
      <c r="X163" s="49">
        <v>0</v>
      </c>
      <c r="Y163" s="49">
        <v>0</v>
      </c>
      <c r="Z163" s="49">
        <f t="shared" si="26"/>
        <v>0</v>
      </c>
      <c r="AA163" s="49">
        <f t="shared" si="27"/>
        <v>0</v>
      </c>
      <c r="AB163" s="49">
        <f t="shared" si="28"/>
        <v>0</v>
      </c>
      <c r="AC163" s="290">
        <v>0</v>
      </c>
      <c r="AD163" s="511"/>
      <c r="AE163" s="49">
        <f t="shared" si="34"/>
        <v>0</v>
      </c>
    </row>
    <row r="164" spans="2:32" ht="13" hidden="1" outlineLevel="1">
      <c r="B164" s="248" t="s">
        <v>386</v>
      </c>
      <c r="C164" s="295">
        <v>3299000032</v>
      </c>
      <c r="D164" s="110" t="s">
        <v>237</v>
      </c>
      <c r="E164" s="49">
        <v>-15.06737</v>
      </c>
      <c r="F164" s="49">
        <v>-17.640909999999998</v>
      </c>
      <c r="G164" s="49">
        <v>-15.98598</v>
      </c>
      <c r="H164" s="49">
        <v>-21.273779999999999</v>
      </c>
      <c r="I164" s="49">
        <v>-11.42806</v>
      </c>
      <c r="J164" s="49">
        <v>-16.989979999999999</v>
      </c>
      <c r="K164" s="49">
        <v>-21.437159999999999</v>
      </c>
      <c r="L164" s="49">
        <v>-26.18451</v>
      </c>
      <c r="M164" s="49">
        <v>-23.754750000000001</v>
      </c>
      <c r="N164" s="49">
        <f t="shared" si="29"/>
        <v>-169.76249999999999</v>
      </c>
      <c r="O164" s="290">
        <f t="shared" si="30"/>
        <v>-9.8603831349600805E-5</v>
      </c>
      <c r="Q164" s="425">
        <v>-154.57972999999998</v>
      </c>
      <c r="R164" s="426">
        <f t="shared" si="31"/>
        <v>-1.0270133982765306E-4</v>
      </c>
      <c r="T164" s="425">
        <f t="shared" si="32"/>
        <v>-15.182770000000005</v>
      </c>
      <c r="U164" s="426">
        <f t="shared" si="33"/>
        <v>4.0975084780522507E-6</v>
      </c>
      <c r="V164" s="464"/>
      <c r="W164" s="49">
        <v>-21.171659999999999</v>
      </c>
      <c r="X164" s="49">
        <v>-29.439959999999999</v>
      </c>
      <c r="Y164" s="49">
        <v>-27.194830000000003</v>
      </c>
      <c r="Z164" s="49">
        <f t="shared" si="26"/>
        <v>-77.806450000000012</v>
      </c>
      <c r="AA164" s="49">
        <f t="shared" si="27"/>
        <v>-56.587499999999991</v>
      </c>
      <c r="AB164" s="49">
        <f t="shared" si="28"/>
        <v>-21.218950000000021</v>
      </c>
      <c r="AC164" s="290">
        <f>AB164/Z164</f>
        <v>0.27271453716240773</v>
      </c>
      <c r="AD164" s="511"/>
      <c r="AE164" s="49">
        <f t="shared" si="34"/>
        <v>-247.56895</v>
      </c>
    </row>
    <row r="165" spans="2:32" s="109" customFormat="1" ht="13" collapsed="1">
      <c r="B165" s="202"/>
      <c r="C165" s="244"/>
      <c r="D165" s="245" t="s">
        <v>385</v>
      </c>
      <c r="E165" s="203">
        <f t="shared" ref="E165:M165" si="35">SUM(E88:E164)</f>
        <v>118252.47815000001</v>
      </c>
      <c r="F165" s="203">
        <f t="shared" si="35"/>
        <v>121796.94472000003</v>
      </c>
      <c r="G165" s="203">
        <f t="shared" si="35"/>
        <v>303359.81013000017</v>
      </c>
      <c r="H165" s="203">
        <f t="shared" si="35"/>
        <v>150041.43338000009</v>
      </c>
      <c r="I165" s="203">
        <f t="shared" si="35"/>
        <v>126108.77986999995</v>
      </c>
      <c r="J165" s="203">
        <f t="shared" si="35"/>
        <v>200662.59779000003</v>
      </c>
      <c r="K165" s="203">
        <f t="shared" si="35"/>
        <v>314230.60921000014</v>
      </c>
      <c r="L165" s="203">
        <f t="shared" si="35"/>
        <v>170647.24677000006</v>
      </c>
      <c r="M165" s="203">
        <f t="shared" si="35"/>
        <v>216562.40941000005</v>
      </c>
      <c r="N165" s="203">
        <f>SUM(N88:N164)</f>
        <v>1721662.3094300004</v>
      </c>
      <c r="O165" s="427">
        <f t="shared" si="30"/>
        <v>1</v>
      </c>
      <c r="Q165" s="429">
        <v>1505138.3970199998</v>
      </c>
      <c r="R165" s="428">
        <f t="shared" si="31"/>
        <v>1</v>
      </c>
      <c r="S165" s="198"/>
      <c r="T165" s="429">
        <f t="shared" si="32"/>
        <v>216523.91241000057</v>
      </c>
      <c r="U165" s="428">
        <f t="shared" si="33"/>
        <v>0</v>
      </c>
      <c r="V165" s="403" t="str">
        <f t="shared" ref="V165" si="36">IF(AND(ABS(T165)&gt;$F$5,ABS(U165)&gt;5%),"анализировать","несущ")</f>
        <v>несущ</v>
      </c>
      <c r="W165" s="466">
        <f>SUM(W88:W164)</f>
        <v>143540.55708</v>
      </c>
      <c r="X165" s="466">
        <f>SUM(X88:X164)</f>
        <v>254762.10720000006</v>
      </c>
      <c r="Y165" s="466">
        <f>SUM(Y88:Y164)</f>
        <v>257658.05887000001</v>
      </c>
      <c r="Z165" s="466">
        <f t="shared" si="26"/>
        <v>655960.72314999998</v>
      </c>
      <c r="AA165" s="466">
        <f t="shared" si="27"/>
        <v>573887.43647666683</v>
      </c>
      <c r="AB165" s="466">
        <f t="shared" si="28"/>
        <v>82073.286673333147</v>
      </c>
      <c r="AC165" s="427">
        <f>AB165/Z165</f>
        <v>0.12511920878312294</v>
      </c>
      <c r="AE165" s="510">
        <f>Z165+N165</f>
        <v>2377623.0325800003</v>
      </c>
    </row>
    <row r="166" spans="2:32" ht="13">
      <c r="M166" s="132" t="s">
        <v>66</v>
      </c>
      <c r="N166" s="246">
        <f>D65</f>
        <v>1607258</v>
      </c>
      <c r="Y166" s="132"/>
      <c r="Z166" s="116"/>
      <c r="AA166" s="116"/>
      <c r="AB166" s="116"/>
      <c r="AC166" s="116"/>
      <c r="AD166" s="132" t="s">
        <v>66</v>
      </c>
      <c r="AE166" s="98">
        <v>2268923</v>
      </c>
    </row>
    <row r="167" spans="2:32" ht="13">
      <c r="M167" s="242" t="s">
        <v>27</v>
      </c>
      <c r="N167" s="133">
        <f>F189+N166-N165</f>
        <v>18107.021529999562</v>
      </c>
      <c r="O167" s="186" t="str">
        <f>B183</f>
        <v>Комментарий 2</v>
      </c>
      <c r="Y167" s="242"/>
      <c r="Z167" s="116"/>
      <c r="AA167" s="116"/>
      <c r="AB167" s="116"/>
      <c r="AC167" s="116"/>
      <c r="AD167" s="242" t="s">
        <v>27</v>
      </c>
      <c r="AE167" s="137">
        <f>F193+AE166-AE165</f>
        <v>76168.572389999405</v>
      </c>
      <c r="AF167" s="511" t="s">
        <v>585</v>
      </c>
    </row>
    <row r="169" spans="2:32" ht="13">
      <c r="B169" s="13"/>
      <c r="C169" s="249" t="s">
        <v>392</v>
      </c>
      <c r="D169" s="249"/>
      <c r="E169" s="250">
        <f>(E165-$C$171)/$C$171</f>
        <v>-0.3818344645632894</v>
      </c>
      <c r="F169" s="250">
        <f>(F165-$C$171)/$C$171</f>
        <v>-0.36330574440993857</v>
      </c>
      <c r="G169" s="296">
        <f>(G165-$C$171)/$C$171</f>
        <v>0.58581521835946748</v>
      </c>
      <c r="H169" s="250">
        <f t="shared" ref="H169:M169" si="37">(H165-$C$171)/$C$171</f>
        <v>-0.21565751133445241</v>
      </c>
      <c r="I169" s="250">
        <f t="shared" si="37"/>
        <v>-0.3407656004238353</v>
      </c>
      <c r="J169" s="250">
        <f t="shared" si="37"/>
        <v>4.896492780161376E-2</v>
      </c>
      <c r="K169" s="296">
        <f t="shared" si="37"/>
        <v>0.64264238544334884</v>
      </c>
      <c r="L169" s="250">
        <f t="shared" si="37"/>
        <v>-0.10794049883192609</v>
      </c>
      <c r="M169" s="250">
        <f t="shared" si="37"/>
        <v>0.132081287959011</v>
      </c>
      <c r="N169" s="251"/>
      <c r="O169" s="314"/>
    </row>
    <row r="170" spans="2:32" ht="13">
      <c r="G170" s="143" t="str">
        <f>B197</f>
        <v>Комментарий 3</v>
      </c>
      <c r="H170" s="306"/>
      <c r="I170" s="143"/>
      <c r="J170" s="306"/>
      <c r="K170" s="143" t="str">
        <f>B197</f>
        <v>Комментарий 3</v>
      </c>
      <c r="L170" s="143"/>
      <c r="M170" s="242"/>
      <c r="N170" s="242"/>
      <c r="O170" s="133"/>
    </row>
    <row r="171" spans="2:32">
      <c r="B171" s="252" t="s">
        <v>473</v>
      </c>
      <c r="C171" s="253">
        <f>AVERAGE(E165:M165)</f>
        <v>191295.81215888896</v>
      </c>
    </row>
    <row r="172" spans="2:32">
      <c r="B172" s="254"/>
      <c r="C172" s="255"/>
    </row>
    <row r="174" spans="2:32" ht="13">
      <c r="B174" s="270" t="s">
        <v>393</v>
      </c>
      <c r="C174" s="264"/>
      <c r="D174" s="276"/>
      <c r="E174" s="129"/>
      <c r="F174" s="126"/>
      <c r="G174" s="126"/>
    </row>
    <row r="175" spans="2:32">
      <c r="B175" s="116" t="s">
        <v>818</v>
      </c>
      <c r="C175" s="264"/>
      <c r="D175" s="276"/>
      <c r="E175" s="129"/>
      <c r="F175" s="126"/>
      <c r="G175" s="126"/>
    </row>
    <row r="176" spans="2:32" ht="13">
      <c r="B176" s="116" t="s">
        <v>819</v>
      </c>
      <c r="C176" s="264"/>
      <c r="D176" s="276"/>
      <c r="E176" s="129"/>
      <c r="F176" s="126"/>
      <c r="G176" s="126"/>
    </row>
    <row r="177" spans="2:10">
      <c r="B177" s="116" t="s">
        <v>820</v>
      </c>
      <c r="C177" s="264"/>
      <c r="D177" s="276"/>
      <c r="E177" s="129"/>
      <c r="F177" s="126"/>
      <c r="G177" s="126"/>
    </row>
    <row r="178" spans="2:10">
      <c r="B178" s="116"/>
      <c r="C178" s="264"/>
      <c r="D178" s="276"/>
      <c r="E178" s="129"/>
      <c r="F178" s="126"/>
      <c r="G178" s="126"/>
    </row>
    <row r="179" spans="2:10">
      <c r="B179" s="445" t="s">
        <v>440</v>
      </c>
      <c r="C179" s="445" t="s">
        <v>440</v>
      </c>
      <c r="D179" s="445" t="s">
        <v>277</v>
      </c>
      <c r="E179" s="445" t="s">
        <v>440</v>
      </c>
      <c r="F179" s="126"/>
      <c r="G179" s="126"/>
    </row>
    <row r="180" spans="2:10">
      <c r="B180" s="449" t="s">
        <v>522</v>
      </c>
      <c r="C180" s="450" t="s">
        <v>821</v>
      </c>
      <c r="D180" s="451" t="s">
        <v>523</v>
      </c>
      <c r="E180" s="452" t="s">
        <v>27</v>
      </c>
      <c r="F180" s="126"/>
      <c r="G180" s="126"/>
    </row>
    <row r="181" spans="2:10" ht="13">
      <c r="B181" s="444">
        <f>H57/2</f>
        <v>13194</v>
      </c>
      <c r="C181" s="446">
        <f>B181*9</f>
        <v>118746</v>
      </c>
      <c r="D181" s="447">
        <f>D57</f>
        <v>113359</v>
      </c>
      <c r="E181" s="448">
        <f>C181-D181</f>
        <v>5387</v>
      </c>
      <c r="F181" s="39" t="str">
        <f>IF(AND(ABS(E181)&gt;$F$5),"анализировать","несущ")</f>
        <v>несущ</v>
      </c>
      <c r="G181" s="126"/>
    </row>
    <row r="183" spans="2:10" ht="13">
      <c r="B183" s="237" t="s">
        <v>417</v>
      </c>
    </row>
    <row r="184" spans="2:10">
      <c r="B184" s="221" t="s">
        <v>394</v>
      </c>
    </row>
    <row r="185" spans="2:10" ht="13">
      <c r="B185" s="221" t="s">
        <v>395</v>
      </c>
    </row>
    <row r="186" spans="2:10">
      <c r="B186" s="221"/>
      <c r="D186" s="135"/>
      <c r="J186" s="424"/>
    </row>
    <row r="187" spans="2:10" ht="13">
      <c r="B187" s="256" t="s">
        <v>401</v>
      </c>
      <c r="D187" s="329" t="s">
        <v>290</v>
      </c>
      <c r="E187" s="329" t="s">
        <v>290</v>
      </c>
    </row>
    <row r="188" spans="2:10" ht="26">
      <c r="B188" s="257" t="s">
        <v>256</v>
      </c>
      <c r="C188" s="258" t="s">
        <v>396</v>
      </c>
      <c r="D188" s="259" t="s">
        <v>530</v>
      </c>
      <c r="E188" s="259" t="s">
        <v>531</v>
      </c>
      <c r="F188" s="259" t="s">
        <v>402</v>
      </c>
    </row>
    <row r="189" spans="2:10" ht="13">
      <c r="B189" s="260">
        <v>701</v>
      </c>
      <c r="C189" s="261" t="s">
        <v>397</v>
      </c>
      <c r="D189" s="262">
        <f>'ВД7 Сверка'!D286</f>
        <v>70079.096909999978</v>
      </c>
      <c r="E189" s="262">
        <f>'ВД7 Сверка'!D276</f>
        <v>62432.234049999999</v>
      </c>
      <c r="F189" s="263">
        <f>SUM(D189:E189)</f>
        <v>132511.33095999999</v>
      </c>
    </row>
    <row r="191" spans="2:10" ht="13">
      <c r="B191" s="256" t="s">
        <v>557</v>
      </c>
    </row>
    <row r="192" spans="2:10" ht="26">
      <c r="B192" s="495" t="s">
        <v>256</v>
      </c>
      <c r="C192" s="496" t="s">
        <v>396</v>
      </c>
      <c r="D192" s="497" t="s">
        <v>530</v>
      </c>
      <c r="E192" s="497" t="s">
        <v>531</v>
      </c>
      <c r="F192" s="497" t="s">
        <v>558</v>
      </c>
    </row>
    <row r="193" spans="2:9" ht="13">
      <c r="B193" s="260">
        <v>701</v>
      </c>
      <c r="C193" s="261" t="s">
        <v>397</v>
      </c>
      <c r="D193" s="347">
        <f>'ВД7 Сверка'!E286</f>
        <v>101441.32362000001</v>
      </c>
      <c r="E193" s="347">
        <f>'ВД7 Сверка'!E276</f>
        <v>83427.28134999999</v>
      </c>
      <c r="F193" s="466">
        <f>E193+D193</f>
        <v>184868.60496999999</v>
      </c>
    </row>
    <row r="197" spans="2:9" ht="13">
      <c r="B197" s="186" t="s">
        <v>426</v>
      </c>
    </row>
    <row r="198" spans="2:9">
      <c r="B198" s="110" t="s">
        <v>823</v>
      </c>
    </row>
    <row r="199" spans="2:9" ht="13">
      <c r="B199" s="116" t="s">
        <v>822</v>
      </c>
      <c r="E199" s="330" t="s">
        <v>535</v>
      </c>
      <c r="F199" s="330" t="s">
        <v>536</v>
      </c>
      <c r="G199" s="330" t="s">
        <v>541</v>
      </c>
    </row>
    <row r="200" spans="2:9">
      <c r="B200" s="110" t="s">
        <v>824</v>
      </c>
      <c r="E200" s="432">
        <v>140620</v>
      </c>
      <c r="F200" s="110" t="s">
        <v>537</v>
      </c>
      <c r="G200" s="110" t="s">
        <v>532</v>
      </c>
    </row>
    <row r="201" spans="2:9">
      <c r="B201" s="110" t="s">
        <v>825</v>
      </c>
      <c r="E201" s="391">
        <v>19660</v>
      </c>
      <c r="F201" s="110" t="s">
        <v>538</v>
      </c>
      <c r="G201" s="110" t="s">
        <v>533</v>
      </c>
    </row>
    <row r="202" spans="2:9">
      <c r="B202" s="110" t="s">
        <v>826</v>
      </c>
      <c r="E202" s="391">
        <v>10004</v>
      </c>
      <c r="F202" s="110" t="s">
        <v>539</v>
      </c>
      <c r="G202" s="110" t="s">
        <v>533</v>
      </c>
    </row>
    <row r="203" spans="2:9">
      <c r="B203" s="110" t="s">
        <v>827</v>
      </c>
      <c r="E203" s="391">
        <v>57526</v>
      </c>
      <c r="F203" s="110" t="s">
        <v>540</v>
      </c>
      <c r="G203" s="110" t="s">
        <v>534</v>
      </c>
    </row>
    <row r="204" spans="2:9">
      <c r="B204" s="110" t="s">
        <v>828</v>
      </c>
      <c r="E204" s="462">
        <f>SUM(E200:E203)</f>
        <v>227810</v>
      </c>
      <c r="F204" s="169"/>
      <c r="G204" s="169"/>
    </row>
    <row r="205" spans="2:9">
      <c r="G205" s="432"/>
      <c r="H205" s="135"/>
      <c r="I205" s="135"/>
    </row>
    <row r="206" spans="2:9">
      <c r="B206" s="460" t="s">
        <v>829</v>
      </c>
      <c r="C206" s="462">
        <f>E204</f>
        <v>227810</v>
      </c>
      <c r="G206" s="391"/>
    </row>
    <row r="207" spans="2:9" ht="13">
      <c r="B207" s="461" t="s">
        <v>528</v>
      </c>
      <c r="C207" s="347">
        <f>I55-C206</f>
        <v>44035.703579999972</v>
      </c>
      <c r="D207" s="125" t="s">
        <v>11</v>
      </c>
      <c r="G207" s="391"/>
    </row>
    <row r="209" spans="2:9" ht="13">
      <c r="B209" s="237" t="s">
        <v>461</v>
      </c>
    </row>
    <row r="210" spans="2:9" ht="13">
      <c r="B210" s="109" t="s">
        <v>427</v>
      </c>
    </row>
    <row r="211" spans="2:9" ht="13">
      <c r="B211" s="307" t="s">
        <v>418</v>
      </c>
    </row>
    <row r="212" spans="2:9" ht="13">
      <c r="B212" s="330" t="s">
        <v>419</v>
      </c>
      <c r="C212" s="330" t="s">
        <v>420</v>
      </c>
      <c r="D212" s="330" t="s">
        <v>421</v>
      </c>
      <c r="E212" s="330" t="s">
        <v>422</v>
      </c>
      <c r="F212" s="330" t="s">
        <v>423</v>
      </c>
      <c r="G212" s="331" t="s">
        <v>424</v>
      </c>
      <c r="H212" s="330" t="s">
        <v>425</v>
      </c>
      <c r="I212" s="308"/>
    </row>
    <row r="213" spans="2:9">
      <c r="B213" s="110" t="s">
        <v>386</v>
      </c>
      <c r="C213" s="110" t="s">
        <v>428</v>
      </c>
      <c r="D213" s="110">
        <v>3205010160</v>
      </c>
      <c r="E213" s="110" t="s">
        <v>431</v>
      </c>
      <c r="F213" s="110">
        <v>2660106000</v>
      </c>
      <c r="G213" s="399">
        <v>23.1</v>
      </c>
      <c r="H213" s="316">
        <v>43322</v>
      </c>
    </row>
    <row r="214" spans="2:9">
      <c r="B214" s="110" t="s">
        <v>386</v>
      </c>
      <c r="C214" s="110" t="s">
        <v>428</v>
      </c>
      <c r="D214" s="110">
        <v>3205010160</v>
      </c>
      <c r="E214" s="110" t="s">
        <v>431</v>
      </c>
      <c r="F214" s="110">
        <v>2660106000</v>
      </c>
      <c r="G214" s="399">
        <v>23.1</v>
      </c>
      <c r="H214" s="316">
        <v>43325</v>
      </c>
    </row>
    <row r="215" spans="2:9" hidden="1" outlineLevel="1">
      <c r="B215" s="110" t="s">
        <v>386</v>
      </c>
      <c r="C215" s="110" t="s">
        <v>428</v>
      </c>
      <c r="D215" s="110">
        <v>3205010160</v>
      </c>
      <c r="E215" s="110" t="s">
        <v>431</v>
      </c>
      <c r="F215" s="110">
        <v>2660106000</v>
      </c>
      <c r="G215" s="399">
        <v>5.2161299999999997</v>
      </c>
      <c r="H215" s="316">
        <v>43325</v>
      </c>
    </row>
    <row r="216" spans="2:9" hidden="1" outlineLevel="1">
      <c r="B216" s="110" t="s">
        <v>386</v>
      </c>
      <c r="C216" s="110" t="s">
        <v>428</v>
      </c>
      <c r="D216" s="110">
        <v>3205010160</v>
      </c>
      <c r="E216" s="110" t="s">
        <v>431</v>
      </c>
      <c r="F216" s="110">
        <v>2660106000</v>
      </c>
      <c r="G216" s="399">
        <v>23.1</v>
      </c>
      <c r="H216" s="316">
        <v>43339</v>
      </c>
    </row>
    <row r="217" spans="2:9" hidden="1" outlineLevel="1">
      <c r="B217" s="110" t="s">
        <v>386</v>
      </c>
      <c r="C217" s="110" t="s">
        <v>429</v>
      </c>
      <c r="D217" s="110">
        <v>3205010160</v>
      </c>
      <c r="E217" s="110" t="s">
        <v>431</v>
      </c>
      <c r="F217" s="110">
        <v>2660106000</v>
      </c>
      <c r="G217" s="399">
        <v>38.340650000000004</v>
      </c>
      <c r="H217" s="316">
        <v>43306</v>
      </c>
    </row>
    <row r="218" spans="2:9" hidden="1" outlineLevel="1">
      <c r="B218" s="110" t="s">
        <v>386</v>
      </c>
      <c r="C218" s="110" t="s">
        <v>429</v>
      </c>
      <c r="D218" s="110">
        <v>3205010160</v>
      </c>
      <c r="E218" s="110" t="s">
        <v>431</v>
      </c>
      <c r="F218" s="110">
        <v>2660106000</v>
      </c>
      <c r="G218" s="399">
        <v>25.75065</v>
      </c>
      <c r="H218" s="316">
        <v>43342</v>
      </c>
    </row>
    <row r="219" spans="2:9" hidden="1" outlineLevel="1">
      <c r="B219" s="110" t="s">
        <v>386</v>
      </c>
      <c r="C219" s="110" t="s">
        <v>429</v>
      </c>
      <c r="D219" s="110">
        <v>3205010160</v>
      </c>
      <c r="E219" s="110" t="s">
        <v>431</v>
      </c>
      <c r="F219" s="110">
        <v>2660106000</v>
      </c>
      <c r="G219" s="399">
        <v>7.6796499999999996</v>
      </c>
      <c r="H219" s="316">
        <v>43370</v>
      </c>
    </row>
    <row r="220" spans="2:9" hidden="1" outlineLevel="1">
      <c r="B220" s="110" t="s">
        <v>386</v>
      </c>
      <c r="C220" s="110" t="s">
        <v>430</v>
      </c>
      <c r="D220" s="110">
        <v>3205010160</v>
      </c>
      <c r="E220" s="110" t="s">
        <v>431</v>
      </c>
      <c r="F220" s="110">
        <v>2600600000</v>
      </c>
      <c r="G220" s="399">
        <v>67.5</v>
      </c>
      <c r="H220" s="316">
        <v>43369</v>
      </c>
    </row>
    <row r="221" spans="2:9" hidden="1" outlineLevel="1">
      <c r="B221" s="110" t="s">
        <v>386</v>
      </c>
      <c r="C221" s="185" t="s">
        <v>808</v>
      </c>
      <c r="D221" s="110">
        <v>3205010160</v>
      </c>
      <c r="E221" s="110" t="s">
        <v>431</v>
      </c>
      <c r="F221" s="110">
        <v>2600600000</v>
      </c>
      <c r="G221" s="399">
        <v>18547.9493</v>
      </c>
      <c r="H221" s="316">
        <v>43126</v>
      </c>
    </row>
    <row r="222" spans="2:9" hidden="1" outlineLevel="1">
      <c r="B222" s="110" t="s">
        <v>386</v>
      </c>
      <c r="C222" s="185" t="s">
        <v>808</v>
      </c>
      <c r="D222" s="110">
        <v>3205010160</v>
      </c>
      <c r="E222" s="110" t="s">
        <v>431</v>
      </c>
      <c r="F222" s="110">
        <v>2600600000</v>
      </c>
      <c r="G222" s="399">
        <v>137.12664000000001</v>
      </c>
      <c r="H222" s="316">
        <v>43126</v>
      </c>
    </row>
    <row r="223" spans="2:9" hidden="1" outlineLevel="1">
      <c r="B223" s="110" t="s">
        <v>386</v>
      </c>
      <c r="C223" s="185" t="s">
        <v>808</v>
      </c>
      <c r="D223" s="110">
        <v>3205010160</v>
      </c>
      <c r="E223" s="110" t="s">
        <v>431</v>
      </c>
      <c r="F223" s="110">
        <v>2600600000</v>
      </c>
      <c r="G223" s="399">
        <v>21886.580170000001</v>
      </c>
      <c r="H223" s="316">
        <v>43158</v>
      </c>
    </row>
    <row r="224" spans="2:9" hidden="1" outlineLevel="1">
      <c r="B224" s="110" t="s">
        <v>386</v>
      </c>
      <c r="C224" s="185" t="s">
        <v>808</v>
      </c>
      <c r="D224" s="110">
        <v>3205010160</v>
      </c>
      <c r="E224" s="110" t="s">
        <v>431</v>
      </c>
      <c r="F224" s="110">
        <v>2600600000</v>
      </c>
      <c r="G224" s="399">
        <v>123.85632000000001</v>
      </c>
      <c r="H224" s="316">
        <v>43158</v>
      </c>
    </row>
    <row r="225" spans="2:8" hidden="1" outlineLevel="1">
      <c r="B225" s="110" t="s">
        <v>386</v>
      </c>
      <c r="C225" s="185" t="s">
        <v>808</v>
      </c>
      <c r="D225" s="110">
        <v>3205010160</v>
      </c>
      <c r="E225" s="110" t="s">
        <v>431</v>
      </c>
      <c r="F225" s="110">
        <v>2600600000</v>
      </c>
      <c r="G225" s="399">
        <v>-21886.580170000001</v>
      </c>
      <c r="H225" s="316">
        <v>43158</v>
      </c>
    </row>
    <row r="226" spans="2:8" hidden="1" outlineLevel="1">
      <c r="B226" s="110" t="s">
        <v>386</v>
      </c>
      <c r="C226" s="185" t="s">
        <v>808</v>
      </c>
      <c r="D226" s="110">
        <v>3205010160</v>
      </c>
      <c r="E226" s="110" t="s">
        <v>431</v>
      </c>
      <c r="F226" s="110">
        <v>2600600000</v>
      </c>
      <c r="G226" s="399">
        <v>18547.9493</v>
      </c>
      <c r="H226" s="316">
        <v>43158</v>
      </c>
    </row>
    <row r="227" spans="2:8" hidden="1" outlineLevel="1">
      <c r="B227" s="110" t="s">
        <v>386</v>
      </c>
      <c r="C227" s="185" t="s">
        <v>808</v>
      </c>
      <c r="D227" s="110">
        <v>3205010160</v>
      </c>
      <c r="E227" s="110" t="s">
        <v>431</v>
      </c>
      <c r="F227" s="110">
        <v>2600600000</v>
      </c>
      <c r="G227" s="399">
        <v>18547.9493</v>
      </c>
      <c r="H227" s="316">
        <v>43182</v>
      </c>
    </row>
    <row r="228" spans="2:8" hidden="1" outlineLevel="1">
      <c r="B228" s="110" t="s">
        <v>386</v>
      </c>
      <c r="C228" s="185" t="s">
        <v>808</v>
      </c>
      <c r="D228" s="110">
        <v>3205010160</v>
      </c>
      <c r="E228" s="110" t="s">
        <v>431</v>
      </c>
      <c r="F228" s="110">
        <v>2600600000</v>
      </c>
      <c r="G228" s="399">
        <v>137.12664000000001</v>
      </c>
      <c r="H228" s="316">
        <v>43182</v>
      </c>
    </row>
    <row r="229" spans="2:8" hidden="1" outlineLevel="1">
      <c r="B229" s="110" t="s">
        <v>386</v>
      </c>
      <c r="C229" s="185" t="s">
        <v>808</v>
      </c>
      <c r="D229" s="110">
        <v>3205010160</v>
      </c>
      <c r="E229" s="110" t="s">
        <v>431</v>
      </c>
      <c r="F229" s="110">
        <v>2600600000</v>
      </c>
      <c r="G229" s="399">
        <v>18547.9493</v>
      </c>
      <c r="H229" s="316">
        <v>43214</v>
      </c>
    </row>
    <row r="230" spans="2:8" hidden="1" outlineLevel="1">
      <c r="B230" s="110" t="s">
        <v>386</v>
      </c>
      <c r="C230" s="185" t="s">
        <v>808</v>
      </c>
      <c r="D230" s="110">
        <v>3205010160</v>
      </c>
      <c r="E230" s="110" t="s">
        <v>431</v>
      </c>
      <c r="F230" s="110">
        <v>2600600000</v>
      </c>
      <c r="G230" s="399">
        <v>132.70320000000001</v>
      </c>
      <c r="H230" s="316">
        <v>43214</v>
      </c>
    </row>
    <row r="231" spans="2:8" hidden="1" outlineLevel="1">
      <c r="B231" s="110" t="s">
        <v>386</v>
      </c>
      <c r="C231" s="185" t="s">
        <v>808</v>
      </c>
      <c r="D231" s="110">
        <v>3205010160</v>
      </c>
      <c r="E231" s="110" t="s">
        <v>431</v>
      </c>
      <c r="F231" s="110">
        <v>2600600000</v>
      </c>
      <c r="G231" s="399">
        <v>137.12664000000001</v>
      </c>
      <c r="H231" s="316">
        <v>43244</v>
      </c>
    </row>
    <row r="232" spans="2:8" hidden="1" outlineLevel="1">
      <c r="B232" s="110" t="s">
        <v>386</v>
      </c>
      <c r="C232" s="185" t="s">
        <v>808</v>
      </c>
      <c r="D232" s="110">
        <v>3205010160</v>
      </c>
      <c r="E232" s="110" t="s">
        <v>431</v>
      </c>
      <c r="F232" s="110">
        <v>2600600000</v>
      </c>
      <c r="G232" s="399">
        <v>18547.9493</v>
      </c>
      <c r="H232" s="316">
        <v>43244</v>
      </c>
    </row>
    <row r="233" spans="2:8" hidden="1" outlineLevel="1">
      <c r="B233" s="110" t="s">
        <v>386</v>
      </c>
      <c r="C233" s="185" t="s">
        <v>808</v>
      </c>
      <c r="D233" s="110">
        <v>3205010160</v>
      </c>
      <c r="E233" s="110" t="s">
        <v>431</v>
      </c>
      <c r="F233" s="110">
        <v>2600600000</v>
      </c>
      <c r="G233" s="399">
        <v>18547.9493</v>
      </c>
      <c r="H233" s="316">
        <v>43278</v>
      </c>
    </row>
    <row r="234" spans="2:8" hidden="1" outlineLevel="1">
      <c r="B234" s="110" t="s">
        <v>386</v>
      </c>
      <c r="C234" s="185" t="s">
        <v>808</v>
      </c>
      <c r="D234" s="110">
        <v>3205010160</v>
      </c>
      <c r="E234" s="110" t="s">
        <v>431</v>
      </c>
      <c r="F234" s="110">
        <v>2600600000</v>
      </c>
      <c r="G234" s="399">
        <v>132.70320000000001</v>
      </c>
      <c r="H234" s="316">
        <v>43278</v>
      </c>
    </row>
    <row r="235" spans="2:8" hidden="1" outlineLevel="1">
      <c r="B235" s="110" t="s">
        <v>386</v>
      </c>
      <c r="C235" s="185" t="s">
        <v>808</v>
      </c>
      <c r="D235" s="110">
        <v>3205010160</v>
      </c>
      <c r="E235" s="110" t="s">
        <v>431</v>
      </c>
      <c r="F235" s="110">
        <v>2600600000</v>
      </c>
      <c r="G235" s="399">
        <v>137.12664000000001</v>
      </c>
      <c r="H235" s="316">
        <v>43308</v>
      </c>
    </row>
    <row r="236" spans="2:8" hidden="1" outlineLevel="1">
      <c r="B236" s="110" t="s">
        <v>386</v>
      </c>
      <c r="C236" s="185" t="s">
        <v>808</v>
      </c>
      <c r="D236" s="110">
        <v>3205010160</v>
      </c>
      <c r="E236" s="110" t="s">
        <v>431</v>
      </c>
      <c r="F236" s="110">
        <v>2600600000</v>
      </c>
      <c r="G236" s="399">
        <v>18547.9493</v>
      </c>
      <c r="H236" s="316">
        <v>43308</v>
      </c>
    </row>
    <row r="237" spans="2:8" hidden="1" outlineLevel="1">
      <c r="B237" s="110" t="s">
        <v>386</v>
      </c>
      <c r="C237" s="185" t="s">
        <v>808</v>
      </c>
      <c r="D237" s="110">
        <v>3205010160</v>
      </c>
      <c r="E237" s="110" t="s">
        <v>431</v>
      </c>
      <c r="F237" s="110">
        <v>2600600000</v>
      </c>
      <c r="G237" s="399">
        <v>476.73169999999999</v>
      </c>
      <c r="H237" s="316">
        <v>43312</v>
      </c>
    </row>
    <row r="238" spans="2:8" hidden="1" outlineLevel="1">
      <c r="B238" s="110" t="s">
        <v>386</v>
      </c>
      <c r="C238" s="185" t="s">
        <v>808</v>
      </c>
      <c r="D238" s="110">
        <v>3205010160</v>
      </c>
      <c r="E238" s="110" t="s">
        <v>431</v>
      </c>
      <c r="F238" s="110">
        <v>2600600000</v>
      </c>
      <c r="G238" s="399">
        <v>19024.681</v>
      </c>
      <c r="H238" s="316">
        <v>43339</v>
      </c>
    </row>
    <row r="239" spans="2:8" hidden="1" outlineLevel="1">
      <c r="B239" s="110" t="s">
        <v>386</v>
      </c>
      <c r="C239" s="185" t="s">
        <v>808</v>
      </c>
      <c r="D239" s="110">
        <v>3205010160</v>
      </c>
      <c r="E239" s="110" t="s">
        <v>431</v>
      </c>
      <c r="F239" s="110">
        <v>2600600000</v>
      </c>
      <c r="G239" s="399">
        <v>137.12664000000001</v>
      </c>
      <c r="H239" s="316">
        <v>43339</v>
      </c>
    </row>
    <row r="240" spans="2:8" hidden="1" outlineLevel="1">
      <c r="B240" s="110" t="s">
        <v>386</v>
      </c>
      <c r="C240" s="185" t="s">
        <v>808</v>
      </c>
      <c r="D240" s="110">
        <v>3205010160</v>
      </c>
      <c r="E240" s="110" t="s">
        <v>431</v>
      </c>
      <c r="F240" s="110">
        <v>2600600000</v>
      </c>
      <c r="G240" s="399">
        <v>19024.681</v>
      </c>
      <c r="H240" s="316">
        <v>43370</v>
      </c>
    </row>
    <row r="241" spans="2:8" hidden="1" outlineLevel="1">
      <c r="B241" s="110" t="s">
        <v>386</v>
      </c>
      <c r="C241" s="185" t="s">
        <v>808</v>
      </c>
      <c r="D241" s="110">
        <v>3205010160</v>
      </c>
      <c r="E241" s="110" t="s">
        <v>431</v>
      </c>
      <c r="F241" s="110">
        <v>2600600000</v>
      </c>
      <c r="G241" s="399">
        <v>132.70320000000001</v>
      </c>
      <c r="H241" s="316">
        <v>43370</v>
      </c>
    </row>
    <row r="242" spans="2:8" hidden="1" outlineLevel="1">
      <c r="B242" s="110" t="s">
        <v>367</v>
      </c>
      <c r="C242" s="185" t="s">
        <v>432</v>
      </c>
      <c r="D242" s="110">
        <v>3205010160</v>
      </c>
      <c r="E242" s="110" t="s">
        <v>431</v>
      </c>
      <c r="F242" s="110">
        <v>2600600000</v>
      </c>
      <c r="G242" s="399">
        <v>23.687999999999999</v>
      </c>
      <c r="H242" s="316">
        <v>43110</v>
      </c>
    </row>
    <row r="243" spans="2:8" hidden="1" outlineLevel="1">
      <c r="B243" s="110" t="s">
        <v>367</v>
      </c>
      <c r="C243" s="185" t="s">
        <v>432</v>
      </c>
      <c r="D243" s="110">
        <v>3205010160</v>
      </c>
      <c r="E243" s="110" t="s">
        <v>431</v>
      </c>
      <c r="F243" s="110">
        <v>2600000801</v>
      </c>
      <c r="G243" s="399">
        <v>181.35593</v>
      </c>
      <c r="H243" s="316">
        <v>43123</v>
      </c>
    </row>
    <row r="244" spans="2:8" hidden="1" outlineLevel="1">
      <c r="B244" s="110" t="s">
        <v>367</v>
      </c>
      <c r="C244" s="185" t="s">
        <v>432</v>
      </c>
      <c r="D244" s="110">
        <v>3205010160</v>
      </c>
      <c r="E244" s="110" t="s">
        <v>431</v>
      </c>
      <c r="F244" s="110">
        <v>2600600000</v>
      </c>
      <c r="G244" s="399">
        <v>2008.3373799999999</v>
      </c>
      <c r="H244" s="316">
        <v>43123</v>
      </c>
    </row>
    <row r="245" spans="2:8" hidden="1" outlineLevel="1">
      <c r="B245" s="110" t="s">
        <v>367</v>
      </c>
      <c r="C245" s="185" t="s">
        <v>432</v>
      </c>
      <c r="D245" s="110">
        <v>3205010160</v>
      </c>
      <c r="E245" s="110" t="s">
        <v>431</v>
      </c>
      <c r="F245" s="110">
        <v>2605400000</v>
      </c>
      <c r="G245" s="399">
        <v>89.200559999999996</v>
      </c>
      <c r="H245" s="316">
        <v>43123</v>
      </c>
    </row>
    <row r="246" spans="2:8" hidden="1" outlineLevel="1">
      <c r="B246" s="110" t="s">
        <v>367</v>
      </c>
      <c r="C246" s="185" t="s">
        <v>432</v>
      </c>
      <c r="D246" s="110">
        <v>3205010160</v>
      </c>
      <c r="E246" s="110" t="s">
        <v>431</v>
      </c>
      <c r="F246" s="110">
        <v>2600000801</v>
      </c>
      <c r="G246" s="399">
        <v>181.35593</v>
      </c>
      <c r="H246" s="316">
        <v>43151</v>
      </c>
    </row>
    <row r="247" spans="2:8" hidden="1" outlineLevel="1">
      <c r="B247" s="110" t="s">
        <v>367</v>
      </c>
      <c r="C247" s="185" t="s">
        <v>432</v>
      </c>
      <c r="D247" s="110">
        <v>3205010160</v>
      </c>
      <c r="E247" s="110" t="s">
        <v>431</v>
      </c>
      <c r="F247" s="110">
        <v>2600600000</v>
      </c>
      <c r="G247" s="399">
        <v>7.3427199999999999</v>
      </c>
      <c r="H247" s="316">
        <v>43151</v>
      </c>
    </row>
    <row r="248" spans="2:8" hidden="1" outlineLevel="1">
      <c r="B248" s="110" t="s">
        <v>367</v>
      </c>
      <c r="C248" s="185" t="s">
        <v>432</v>
      </c>
      <c r="D248" s="110">
        <v>3205010160</v>
      </c>
      <c r="E248" s="110" t="s">
        <v>431</v>
      </c>
      <c r="F248" s="110">
        <v>2600600000</v>
      </c>
      <c r="G248" s="399">
        <v>2008.3373799999999</v>
      </c>
      <c r="H248" s="316">
        <v>43151</v>
      </c>
    </row>
    <row r="249" spans="2:8" hidden="1" outlineLevel="1">
      <c r="B249" s="110" t="s">
        <v>367</v>
      </c>
      <c r="C249" s="185" t="s">
        <v>432</v>
      </c>
      <c r="D249" s="110">
        <v>3205010160</v>
      </c>
      <c r="E249" s="110" t="s">
        <v>431</v>
      </c>
      <c r="F249" s="110">
        <v>2605400000</v>
      </c>
      <c r="G249" s="399">
        <v>89.200559999999996</v>
      </c>
      <c r="H249" s="316">
        <v>43151</v>
      </c>
    </row>
    <row r="250" spans="2:8" hidden="1" outlineLevel="1">
      <c r="B250" s="110" t="s">
        <v>367</v>
      </c>
      <c r="C250" s="185" t="s">
        <v>432</v>
      </c>
      <c r="D250" s="110">
        <v>3205010160</v>
      </c>
      <c r="E250" s="110" t="s">
        <v>431</v>
      </c>
      <c r="F250" s="110">
        <v>2600000801</v>
      </c>
      <c r="G250" s="399">
        <v>181.35593</v>
      </c>
      <c r="H250" s="316">
        <v>43180</v>
      </c>
    </row>
    <row r="251" spans="2:8" hidden="1" outlineLevel="1">
      <c r="B251" s="110" t="s">
        <v>367</v>
      </c>
      <c r="C251" s="185" t="s">
        <v>432</v>
      </c>
      <c r="D251" s="110">
        <v>3205010160</v>
      </c>
      <c r="E251" s="110" t="s">
        <v>431</v>
      </c>
      <c r="F251" s="110">
        <v>2600600000</v>
      </c>
      <c r="G251" s="399">
        <v>2008.3373799999999</v>
      </c>
      <c r="H251" s="316">
        <v>43180</v>
      </c>
    </row>
    <row r="252" spans="2:8" hidden="1" outlineLevel="1">
      <c r="B252" s="110" t="s">
        <v>367</v>
      </c>
      <c r="C252" s="185" t="s">
        <v>432</v>
      </c>
      <c r="D252" s="110">
        <v>3205010160</v>
      </c>
      <c r="E252" s="110" t="s">
        <v>431</v>
      </c>
      <c r="F252" s="110">
        <v>2605400000</v>
      </c>
      <c r="G252" s="399">
        <v>89.200559999999996</v>
      </c>
      <c r="H252" s="316">
        <v>43180</v>
      </c>
    </row>
    <row r="253" spans="2:8" hidden="1" outlineLevel="1">
      <c r="B253" s="110" t="s">
        <v>367</v>
      </c>
      <c r="C253" s="185" t="s">
        <v>432</v>
      </c>
      <c r="D253" s="110">
        <v>3205010160</v>
      </c>
      <c r="E253" s="110" t="s">
        <v>431</v>
      </c>
      <c r="F253" s="110">
        <v>2600600000</v>
      </c>
      <c r="G253" s="399">
        <v>0.12218999999999999</v>
      </c>
      <c r="H253" s="316">
        <v>43187</v>
      </c>
    </row>
    <row r="254" spans="2:8" hidden="1" outlineLevel="1">
      <c r="B254" s="110" t="s">
        <v>367</v>
      </c>
      <c r="C254" s="185" t="s">
        <v>432</v>
      </c>
      <c r="D254" s="110">
        <v>3205010160</v>
      </c>
      <c r="E254" s="110" t="s">
        <v>431</v>
      </c>
      <c r="F254" s="110">
        <v>2600000801</v>
      </c>
      <c r="G254" s="399">
        <v>181.35593</v>
      </c>
      <c r="H254" s="316">
        <v>43214</v>
      </c>
    </row>
    <row r="255" spans="2:8" hidden="1" outlineLevel="1">
      <c r="B255" s="110" t="s">
        <v>367</v>
      </c>
      <c r="C255" s="185" t="s">
        <v>432</v>
      </c>
      <c r="D255" s="110">
        <v>3205010160</v>
      </c>
      <c r="E255" s="110" t="s">
        <v>431</v>
      </c>
      <c r="F255" s="110">
        <v>2600600000</v>
      </c>
      <c r="G255" s="399">
        <v>0.12218999999999999</v>
      </c>
      <c r="H255" s="316">
        <v>43214</v>
      </c>
    </row>
    <row r="256" spans="2:8" hidden="1" outlineLevel="1">
      <c r="B256" s="110" t="s">
        <v>367</v>
      </c>
      <c r="C256" s="185" t="s">
        <v>432</v>
      </c>
      <c r="D256" s="110">
        <v>3205010160</v>
      </c>
      <c r="E256" s="110" t="s">
        <v>431</v>
      </c>
      <c r="F256" s="110">
        <v>2600600000</v>
      </c>
      <c r="G256" s="399">
        <v>2008.3373799999999</v>
      </c>
      <c r="H256" s="316">
        <v>43214</v>
      </c>
    </row>
    <row r="257" spans="2:8" hidden="1" outlineLevel="1">
      <c r="B257" s="110" t="s">
        <v>367</v>
      </c>
      <c r="C257" s="185" t="s">
        <v>432</v>
      </c>
      <c r="D257" s="110">
        <v>3205010160</v>
      </c>
      <c r="E257" s="110" t="s">
        <v>431</v>
      </c>
      <c r="F257" s="110">
        <v>2605400000</v>
      </c>
      <c r="G257" s="399">
        <v>89.200559999999996</v>
      </c>
      <c r="H257" s="316">
        <v>43214</v>
      </c>
    </row>
    <row r="258" spans="2:8" hidden="1" outlineLevel="1">
      <c r="B258" s="110" t="s">
        <v>367</v>
      </c>
      <c r="C258" s="185" t="s">
        <v>432</v>
      </c>
      <c r="D258" s="110">
        <v>3205010160</v>
      </c>
      <c r="E258" s="110" t="s">
        <v>431</v>
      </c>
      <c r="F258" s="110">
        <v>2600000801</v>
      </c>
      <c r="G258" s="399">
        <v>181.35593</v>
      </c>
      <c r="H258" s="316">
        <v>43242</v>
      </c>
    </row>
    <row r="259" spans="2:8" hidden="1" outlineLevel="1">
      <c r="B259" s="110" t="s">
        <v>367</v>
      </c>
      <c r="C259" s="185" t="s">
        <v>432</v>
      </c>
      <c r="D259" s="110">
        <v>3205010160</v>
      </c>
      <c r="E259" s="110" t="s">
        <v>431</v>
      </c>
      <c r="F259" s="110">
        <v>2600600000</v>
      </c>
      <c r="G259" s="399">
        <v>0.12218999999999999</v>
      </c>
      <c r="H259" s="316">
        <v>43242</v>
      </c>
    </row>
    <row r="260" spans="2:8" hidden="1" outlineLevel="1">
      <c r="B260" s="110" t="s">
        <v>367</v>
      </c>
      <c r="C260" s="185" t="s">
        <v>432</v>
      </c>
      <c r="D260" s="110">
        <v>3205010160</v>
      </c>
      <c r="E260" s="110" t="s">
        <v>431</v>
      </c>
      <c r="F260" s="110">
        <v>2600600000</v>
      </c>
      <c r="G260" s="399">
        <v>2008.3373799999999</v>
      </c>
      <c r="H260" s="316">
        <v>43242</v>
      </c>
    </row>
    <row r="261" spans="2:8" hidden="1" outlineLevel="1">
      <c r="B261" s="110" t="s">
        <v>367</v>
      </c>
      <c r="C261" s="185" t="s">
        <v>432</v>
      </c>
      <c r="D261" s="110">
        <v>3205010160</v>
      </c>
      <c r="E261" s="110" t="s">
        <v>431</v>
      </c>
      <c r="F261" s="110">
        <v>2605400000</v>
      </c>
      <c r="G261" s="399">
        <v>89.200559999999996</v>
      </c>
      <c r="H261" s="316">
        <v>43242</v>
      </c>
    </row>
    <row r="262" spans="2:8" hidden="1" outlineLevel="1">
      <c r="B262" s="110" t="s">
        <v>367</v>
      </c>
      <c r="C262" s="185" t="s">
        <v>432</v>
      </c>
      <c r="D262" s="110">
        <v>3205010160</v>
      </c>
      <c r="E262" s="110" t="s">
        <v>431</v>
      </c>
      <c r="F262" s="110">
        <v>2600000801</v>
      </c>
      <c r="G262" s="399">
        <v>181.35593</v>
      </c>
      <c r="H262" s="316">
        <v>43271</v>
      </c>
    </row>
    <row r="263" spans="2:8" hidden="1" outlineLevel="1">
      <c r="B263" s="110" t="s">
        <v>367</v>
      </c>
      <c r="C263" s="185" t="s">
        <v>432</v>
      </c>
      <c r="D263" s="110">
        <v>3205010160</v>
      </c>
      <c r="E263" s="110" t="s">
        <v>431</v>
      </c>
      <c r="F263" s="110">
        <v>2600600000</v>
      </c>
      <c r="G263" s="399">
        <v>25.605840000000001</v>
      </c>
      <c r="H263" s="316">
        <v>43271</v>
      </c>
    </row>
    <row r="264" spans="2:8" hidden="1" outlineLevel="1">
      <c r="B264" s="110" t="s">
        <v>367</v>
      </c>
      <c r="C264" s="185" t="s">
        <v>432</v>
      </c>
      <c r="D264" s="110">
        <v>3205010160</v>
      </c>
      <c r="E264" s="110" t="s">
        <v>431</v>
      </c>
      <c r="F264" s="110">
        <v>2600600000</v>
      </c>
      <c r="G264" s="399">
        <v>0.12218999999999999</v>
      </c>
      <c r="H264" s="316">
        <v>43271</v>
      </c>
    </row>
    <row r="265" spans="2:8" hidden="1" outlineLevel="1">
      <c r="B265" s="110" t="s">
        <v>367</v>
      </c>
      <c r="C265" s="185" t="s">
        <v>432</v>
      </c>
      <c r="D265" s="110">
        <v>3205010160</v>
      </c>
      <c r="E265" s="110" t="s">
        <v>431</v>
      </c>
      <c r="F265" s="110">
        <v>2600600000</v>
      </c>
      <c r="G265" s="399">
        <v>2008.3373799999999</v>
      </c>
      <c r="H265" s="316">
        <v>43271</v>
      </c>
    </row>
    <row r="266" spans="2:8" hidden="1" outlineLevel="1">
      <c r="B266" s="110" t="s">
        <v>367</v>
      </c>
      <c r="C266" s="185" t="s">
        <v>432</v>
      </c>
      <c r="D266" s="110">
        <v>3205010160</v>
      </c>
      <c r="E266" s="110" t="s">
        <v>431</v>
      </c>
      <c r="F266" s="110">
        <v>2605400000</v>
      </c>
      <c r="G266" s="399">
        <v>89.200559999999996</v>
      </c>
      <c r="H266" s="316">
        <v>43271</v>
      </c>
    </row>
    <row r="267" spans="2:8" hidden="1" outlineLevel="1">
      <c r="B267" s="110" t="s">
        <v>367</v>
      </c>
      <c r="C267" s="185" t="s">
        <v>432</v>
      </c>
      <c r="D267" s="110">
        <v>3205010160</v>
      </c>
      <c r="E267" s="110" t="s">
        <v>431</v>
      </c>
      <c r="F267" s="110">
        <v>2600600000</v>
      </c>
      <c r="G267" s="399">
        <v>12.512</v>
      </c>
      <c r="H267" s="316">
        <v>43278</v>
      </c>
    </row>
    <row r="268" spans="2:8" hidden="1" outlineLevel="1">
      <c r="B268" s="110" t="s">
        <v>367</v>
      </c>
      <c r="C268" s="185" t="s">
        <v>432</v>
      </c>
      <c r="D268" s="110">
        <v>3205010160</v>
      </c>
      <c r="E268" s="110" t="s">
        <v>431</v>
      </c>
      <c r="F268" s="110">
        <v>2600600000</v>
      </c>
      <c r="G268" s="399">
        <v>2.395</v>
      </c>
      <c r="H268" s="316">
        <v>43278</v>
      </c>
    </row>
    <row r="269" spans="2:8" hidden="1" outlineLevel="1">
      <c r="B269" s="110" t="s">
        <v>367</v>
      </c>
      <c r="C269" s="185" t="s">
        <v>432</v>
      </c>
      <c r="D269" s="110">
        <v>3205010160</v>
      </c>
      <c r="E269" s="110" t="s">
        <v>431</v>
      </c>
      <c r="F269" s="110">
        <v>2600000801</v>
      </c>
      <c r="G269" s="399">
        <v>181.35593</v>
      </c>
      <c r="H269" s="316">
        <v>43305</v>
      </c>
    </row>
    <row r="270" spans="2:8" hidden="1" outlineLevel="1">
      <c r="B270" s="110" t="s">
        <v>367</v>
      </c>
      <c r="C270" s="185" t="s">
        <v>432</v>
      </c>
      <c r="D270" s="110">
        <v>3205010160</v>
      </c>
      <c r="E270" s="110" t="s">
        <v>431</v>
      </c>
      <c r="F270" s="110">
        <v>2600600000</v>
      </c>
      <c r="G270" s="399">
        <v>2008.3373799999999</v>
      </c>
      <c r="H270" s="316">
        <v>43305</v>
      </c>
    </row>
    <row r="271" spans="2:8" hidden="1" outlineLevel="1">
      <c r="B271" s="110" t="s">
        <v>367</v>
      </c>
      <c r="C271" s="185" t="s">
        <v>432</v>
      </c>
      <c r="D271" s="110">
        <v>3205010160</v>
      </c>
      <c r="E271" s="110" t="s">
        <v>431</v>
      </c>
      <c r="F271" s="110">
        <v>2600600000</v>
      </c>
      <c r="G271" s="399">
        <v>10.978</v>
      </c>
      <c r="H271" s="316">
        <v>43305</v>
      </c>
    </row>
    <row r="272" spans="2:8" hidden="1" outlineLevel="1">
      <c r="B272" s="110" t="s">
        <v>367</v>
      </c>
      <c r="C272" s="185" t="s">
        <v>432</v>
      </c>
      <c r="D272" s="110">
        <v>3205010160</v>
      </c>
      <c r="E272" s="110" t="s">
        <v>431</v>
      </c>
      <c r="F272" s="110">
        <v>2600600000</v>
      </c>
      <c r="G272" s="399">
        <v>16.303000000000001</v>
      </c>
      <c r="H272" s="316">
        <v>43305</v>
      </c>
    </row>
    <row r="273" spans="2:8" hidden="1" outlineLevel="1">
      <c r="B273" s="110" t="s">
        <v>367</v>
      </c>
      <c r="C273" s="185" t="s">
        <v>432</v>
      </c>
      <c r="D273" s="110">
        <v>3205010160</v>
      </c>
      <c r="E273" s="110" t="s">
        <v>431</v>
      </c>
      <c r="F273" s="110">
        <v>2600600000</v>
      </c>
      <c r="G273" s="399">
        <v>136.02679999999998</v>
      </c>
      <c r="H273" s="316">
        <v>43305</v>
      </c>
    </row>
    <row r="274" spans="2:8" hidden="1" outlineLevel="1">
      <c r="B274" s="110" t="s">
        <v>367</v>
      </c>
      <c r="C274" s="185" t="s">
        <v>432</v>
      </c>
      <c r="D274" s="110">
        <v>3205010160</v>
      </c>
      <c r="E274" s="110" t="s">
        <v>431</v>
      </c>
      <c r="F274" s="110">
        <v>2600600000</v>
      </c>
      <c r="G274" s="399">
        <v>2.5024000000000002</v>
      </c>
      <c r="H274" s="316">
        <v>43305</v>
      </c>
    </row>
    <row r="275" spans="2:8" hidden="1" outlineLevel="1">
      <c r="B275" s="110" t="s">
        <v>367</v>
      </c>
      <c r="C275" s="185" t="s">
        <v>432</v>
      </c>
      <c r="D275" s="110">
        <v>3205010160</v>
      </c>
      <c r="E275" s="110" t="s">
        <v>431</v>
      </c>
      <c r="F275" s="110">
        <v>2605400000</v>
      </c>
      <c r="G275" s="399">
        <v>89.200559999999996</v>
      </c>
      <c r="H275" s="316">
        <v>43305</v>
      </c>
    </row>
    <row r="276" spans="2:8" hidden="1" outlineLevel="1">
      <c r="B276" s="110" t="s">
        <v>367</v>
      </c>
      <c r="C276" s="185" t="s">
        <v>432</v>
      </c>
      <c r="D276" s="110">
        <v>3205010160</v>
      </c>
      <c r="E276" s="110" t="s">
        <v>431</v>
      </c>
      <c r="F276" s="110">
        <v>2660106000</v>
      </c>
      <c r="G276" s="399">
        <v>45.862250000000003</v>
      </c>
      <c r="H276" s="316">
        <v>43306</v>
      </c>
    </row>
    <row r="277" spans="2:8" hidden="1" outlineLevel="1">
      <c r="B277" s="110" t="s">
        <v>367</v>
      </c>
      <c r="C277" s="185" t="s">
        <v>432</v>
      </c>
      <c r="D277" s="110">
        <v>3205010160</v>
      </c>
      <c r="E277" s="110" t="s">
        <v>431</v>
      </c>
      <c r="F277" s="110">
        <v>2600600000</v>
      </c>
      <c r="G277" s="399">
        <v>272.8</v>
      </c>
      <c r="H277" s="316">
        <v>43308</v>
      </c>
    </row>
    <row r="278" spans="2:8" hidden="1" outlineLevel="1">
      <c r="B278" s="110" t="s">
        <v>367</v>
      </c>
      <c r="C278" s="185" t="s">
        <v>432</v>
      </c>
      <c r="D278" s="110">
        <v>3205010160</v>
      </c>
      <c r="E278" s="110" t="s">
        <v>431</v>
      </c>
      <c r="F278" s="110">
        <v>2600600000</v>
      </c>
      <c r="G278" s="399">
        <v>407.71957000000003</v>
      </c>
      <c r="H278" s="316">
        <v>43320</v>
      </c>
    </row>
    <row r="279" spans="2:8" hidden="1" outlineLevel="1">
      <c r="B279" s="110" t="s">
        <v>367</v>
      </c>
      <c r="C279" s="185" t="s">
        <v>432</v>
      </c>
      <c r="D279" s="110">
        <v>3205010160</v>
      </c>
      <c r="E279" s="110" t="s">
        <v>431</v>
      </c>
      <c r="F279" s="110">
        <v>2605400000</v>
      </c>
      <c r="G279" s="399">
        <v>18.108919999999998</v>
      </c>
      <c r="H279" s="316">
        <v>43320</v>
      </c>
    </row>
    <row r="280" spans="2:8" hidden="1" outlineLevel="1">
      <c r="B280" s="110" t="s">
        <v>367</v>
      </c>
      <c r="C280" s="185" t="s">
        <v>432</v>
      </c>
      <c r="D280" s="110">
        <v>3205010160</v>
      </c>
      <c r="E280" s="110" t="s">
        <v>431</v>
      </c>
      <c r="F280" s="110">
        <v>2600000801</v>
      </c>
      <c r="G280" s="399">
        <v>181.35593</v>
      </c>
      <c r="H280" s="316">
        <v>43339</v>
      </c>
    </row>
    <row r="281" spans="2:8" hidden="1" outlineLevel="1">
      <c r="B281" s="110" t="s">
        <v>367</v>
      </c>
      <c r="C281" s="185" t="s">
        <v>432</v>
      </c>
      <c r="D281" s="110">
        <v>3205010160</v>
      </c>
      <c r="E281" s="110" t="s">
        <v>431</v>
      </c>
      <c r="F281" s="110">
        <v>2600600000</v>
      </c>
      <c r="G281" s="399">
        <v>2416.0569500000001</v>
      </c>
      <c r="H281" s="316">
        <v>43339</v>
      </c>
    </row>
    <row r="282" spans="2:8" hidden="1" outlineLevel="1">
      <c r="B282" s="110" t="s">
        <v>367</v>
      </c>
      <c r="C282" s="185" t="s">
        <v>432</v>
      </c>
      <c r="D282" s="110">
        <v>3205010160</v>
      </c>
      <c r="E282" s="110" t="s">
        <v>431</v>
      </c>
      <c r="F282" s="110">
        <v>2605400000</v>
      </c>
      <c r="G282" s="399">
        <v>107.30947999999999</v>
      </c>
      <c r="H282" s="316">
        <v>43339</v>
      </c>
    </row>
    <row r="283" spans="2:8" hidden="1" outlineLevel="1">
      <c r="B283" s="110" t="s">
        <v>367</v>
      </c>
      <c r="C283" s="185" t="s">
        <v>432</v>
      </c>
      <c r="D283" s="110">
        <v>3205010160</v>
      </c>
      <c r="E283" s="110" t="s">
        <v>431</v>
      </c>
      <c r="F283" s="110">
        <v>2600600000</v>
      </c>
      <c r="G283" s="399">
        <v>272.8</v>
      </c>
      <c r="H283" s="316">
        <v>43341</v>
      </c>
    </row>
    <row r="284" spans="2:8" hidden="1" outlineLevel="1">
      <c r="B284" s="110" t="s">
        <v>367</v>
      </c>
      <c r="C284" s="185" t="s">
        <v>432</v>
      </c>
      <c r="D284" s="110">
        <v>3205010160</v>
      </c>
      <c r="E284" s="110" t="s">
        <v>431</v>
      </c>
      <c r="F284" s="110">
        <v>2660106000</v>
      </c>
      <c r="G284" s="399">
        <v>53.655000000000001</v>
      </c>
      <c r="H284" s="316">
        <v>43341</v>
      </c>
    </row>
    <row r="285" spans="2:8" hidden="1" outlineLevel="1">
      <c r="B285" s="110" t="s">
        <v>367</v>
      </c>
      <c r="C285" s="185" t="s">
        <v>432</v>
      </c>
      <c r="D285" s="110">
        <v>3205010160</v>
      </c>
      <c r="E285" s="110" t="s">
        <v>431</v>
      </c>
      <c r="F285" s="110">
        <v>2660106000</v>
      </c>
      <c r="G285" s="399">
        <v>7.7927499999999998</v>
      </c>
      <c r="H285" s="316">
        <v>43342</v>
      </c>
    </row>
    <row r="286" spans="2:8" hidden="1" outlineLevel="1">
      <c r="B286" s="110" t="s">
        <v>367</v>
      </c>
      <c r="C286" s="185" t="s">
        <v>432</v>
      </c>
      <c r="D286" s="110">
        <v>3205010160</v>
      </c>
      <c r="E286" s="110" t="s">
        <v>431</v>
      </c>
      <c r="F286" s="110">
        <v>2600000801</v>
      </c>
      <c r="G286" s="399">
        <v>181.35593</v>
      </c>
      <c r="H286" s="316">
        <v>43362</v>
      </c>
    </row>
    <row r="287" spans="2:8" hidden="1" outlineLevel="1">
      <c r="B287" s="110" t="s">
        <v>367</v>
      </c>
      <c r="C287" s="185" t="s">
        <v>432</v>
      </c>
      <c r="D287" s="110">
        <v>3205010160</v>
      </c>
      <c r="E287" s="110" t="s">
        <v>431</v>
      </c>
      <c r="F287" s="110">
        <v>2600600000</v>
      </c>
      <c r="G287" s="399">
        <v>272.8</v>
      </c>
      <c r="H287" s="316">
        <v>43362</v>
      </c>
    </row>
    <row r="288" spans="2:8" hidden="1" outlineLevel="1">
      <c r="B288" s="110" t="s">
        <v>367</v>
      </c>
      <c r="C288" s="185" t="s">
        <v>432</v>
      </c>
      <c r="D288" s="110">
        <v>3205010160</v>
      </c>
      <c r="E288" s="110" t="s">
        <v>431</v>
      </c>
      <c r="F288" s="110">
        <v>2600600000</v>
      </c>
      <c r="G288" s="399">
        <v>3.9689999999999999</v>
      </c>
      <c r="H288" s="316">
        <v>43362</v>
      </c>
    </row>
    <row r="289" spans="2:8" hidden="1" outlineLevel="1">
      <c r="B289" s="110" t="s">
        <v>367</v>
      </c>
      <c r="C289" s="185" t="s">
        <v>432</v>
      </c>
      <c r="D289" s="110">
        <v>3205010160</v>
      </c>
      <c r="E289" s="110" t="s">
        <v>431</v>
      </c>
      <c r="F289" s="110">
        <v>2600600000</v>
      </c>
      <c r="G289" s="399">
        <v>2416.0569500000001</v>
      </c>
      <c r="H289" s="316">
        <v>43362</v>
      </c>
    </row>
    <row r="290" spans="2:8" hidden="1" outlineLevel="1">
      <c r="B290" s="110" t="s">
        <v>367</v>
      </c>
      <c r="C290" s="185" t="s">
        <v>432</v>
      </c>
      <c r="D290" s="110">
        <v>3205010160</v>
      </c>
      <c r="E290" s="110" t="s">
        <v>431</v>
      </c>
      <c r="F290" s="110">
        <v>2605400000</v>
      </c>
      <c r="G290" s="399">
        <v>107.30947999999999</v>
      </c>
      <c r="H290" s="316">
        <v>43362</v>
      </c>
    </row>
    <row r="291" spans="2:8" hidden="1" outlineLevel="1">
      <c r="B291" s="110" t="s">
        <v>367</v>
      </c>
      <c r="C291" s="185" t="s">
        <v>432</v>
      </c>
      <c r="D291" s="110">
        <v>3205010160</v>
      </c>
      <c r="E291" s="110" t="s">
        <v>431</v>
      </c>
      <c r="F291" s="110">
        <v>2660106000</v>
      </c>
      <c r="G291" s="399">
        <v>53.655000000000001</v>
      </c>
      <c r="H291" s="316">
        <v>43369</v>
      </c>
    </row>
    <row r="292" spans="2:8" hidden="1" outlineLevel="1">
      <c r="B292" s="110" t="s">
        <v>386</v>
      </c>
      <c r="C292" s="185" t="s">
        <v>433</v>
      </c>
      <c r="D292" s="110">
        <v>3205010160</v>
      </c>
      <c r="E292" s="110" t="s">
        <v>431</v>
      </c>
      <c r="F292" s="110">
        <v>2600600000</v>
      </c>
      <c r="G292" s="399">
        <v>12534.39</v>
      </c>
      <c r="H292" s="316">
        <v>43129</v>
      </c>
    </row>
    <row r="293" spans="2:8" hidden="1" outlineLevel="1">
      <c r="B293" s="110" t="s">
        <v>386</v>
      </c>
      <c r="C293" s="185" t="s">
        <v>433</v>
      </c>
      <c r="D293" s="110">
        <v>3205010160</v>
      </c>
      <c r="E293" s="110" t="s">
        <v>431</v>
      </c>
      <c r="F293" s="110">
        <v>2600600000</v>
      </c>
      <c r="G293" s="399">
        <v>12534.39</v>
      </c>
      <c r="H293" s="316">
        <v>43159</v>
      </c>
    </row>
    <row r="294" spans="2:8" hidden="1" outlineLevel="1">
      <c r="B294" s="110" t="s">
        <v>386</v>
      </c>
      <c r="C294" s="185" t="s">
        <v>433</v>
      </c>
      <c r="D294" s="110">
        <v>3205010160</v>
      </c>
      <c r="E294" s="110" t="s">
        <v>431</v>
      </c>
      <c r="F294" s="110">
        <v>2600600000</v>
      </c>
      <c r="G294" s="399">
        <v>12534.39</v>
      </c>
      <c r="H294" s="316">
        <v>43186</v>
      </c>
    </row>
    <row r="295" spans="2:8" hidden="1" outlineLevel="1">
      <c r="B295" s="110" t="s">
        <v>386</v>
      </c>
      <c r="C295" s="185" t="s">
        <v>433</v>
      </c>
      <c r="D295" s="110">
        <v>3205010160</v>
      </c>
      <c r="E295" s="110" t="s">
        <v>431</v>
      </c>
      <c r="F295" s="110">
        <v>2600600000</v>
      </c>
      <c r="G295" s="399">
        <v>12534.39</v>
      </c>
      <c r="H295" s="316">
        <v>43215</v>
      </c>
    </row>
    <row r="296" spans="2:8" hidden="1" outlineLevel="1">
      <c r="B296" s="110" t="s">
        <v>386</v>
      </c>
      <c r="C296" s="185" t="s">
        <v>433</v>
      </c>
      <c r="D296" s="110">
        <v>3205010160</v>
      </c>
      <c r="E296" s="110" t="s">
        <v>431</v>
      </c>
      <c r="F296" s="110">
        <v>2600600000</v>
      </c>
      <c r="G296" s="399">
        <v>12534.39</v>
      </c>
      <c r="H296" s="316">
        <v>43250</v>
      </c>
    </row>
    <row r="297" spans="2:8" hidden="1" outlineLevel="1">
      <c r="B297" s="110" t="s">
        <v>386</v>
      </c>
      <c r="C297" s="185" t="s">
        <v>433</v>
      </c>
      <c r="D297" s="110">
        <v>3205010160</v>
      </c>
      <c r="E297" s="110" t="s">
        <v>431</v>
      </c>
      <c r="F297" s="110">
        <v>2600600000</v>
      </c>
      <c r="G297" s="399">
        <v>12534.39</v>
      </c>
      <c r="H297" s="316">
        <v>43278</v>
      </c>
    </row>
    <row r="298" spans="2:8" hidden="1" outlineLevel="1">
      <c r="B298" s="110" t="s">
        <v>386</v>
      </c>
      <c r="C298" s="185" t="s">
        <v>433</v>
      </c>
      <c r="D298" s="110">
        <v>3205010160</v>
      </c>
      <c r="E298" s="110" t="s">
        <v>431</v>
      </c>
      <c r="F298" s="110">
        <v>2600600000</v>
      </c>
      <c r="G298" s="399">
        <v>12534.39</v>
      </c>
      <c r="H298" s="316">
        <v>43308</v>
      </c>
    </row>
    <row r="299" spans="2:8" hidden="1" outlineLevel="1">
      <c r="B299" s="110" t="s">
        <v>386</v>
      </c>
      <c r="C299" s="185" t="s">
        <v>433</v>
      </c>
      <c r="D299" s="110">
        <v>3205010160</v>
      </c>
      <c r="E299" s="110" t="s">
        <v>431</v>
      </c>
      <c r="F299" s="110">
        <v>2600600000</v>
      </c>
      <c r="G299" s="399">
        <v>349.93200000000002</v>
      </c>
      <c r="H299" s="316">
        <v>43320</v>
      </c>
    </row>
    <row r="300" spans="2:8" hidden="1" outlineLevel="1">
      <c r="B300" s="110" t="s">
        <v>386</v>
      </c>
      <c r="C300" s="185" t="s">
        <v>433</v>
      </c>
      <c r="D300" s="110">
        <v>3205010160</v>
      </c>
      <c r="E300" s="110" t="s">
        <v>431</v>
      </c>
      <c r="F300" s="110">
        <v>2600600000</v>
      </c>
      <c r="G300" s="399">
        <v>12880.822</v>
      </c>
      <c r="H300" s="316">
        <v>43341</v>
      </c>
    </row>
    <row r="301" spans="2:8" hidden="1" outlineLevel="1">
      <c r="B301" s="110" t="s">
        <v>386</v>
      </c>
      <c r="C301" s="185" t="s">
        <v>433</v>
      </c>
      <c r="D301" s="110">
        <v>3205010160</v>
      </c>
      <c r="E301" s="110" t="s">
        <v>431</v>
      </c>
      <c r="F301" s="110">
        <v>2600600000</v>
      </c>
      <c r="G301" s="399">
        <v>12880.822</v>
      </c>
      <c r="H301" s="316">
        <v>43369</v>
      </c>
    </row>
    <row r="302" spans="2:8" hidden="1" outlineLevel="1">
      <c r="B302" s="110" t="s">
        <v>386</v>
      </c>
      <c r="C302" s="185" t="s">
        <v>435</v>
      </c>
      <c r="D302" s="110">
        <v>3205010160</v>
      </c>
      <c r="E302" s="110" t="s">
        <v>431</v>
      </c>
      <c r="F302" s="110">
        <v>2600600000</v>
      </c>
      <c r="G302" s="399">
        <v>12.933999999999999</v>
      </c>
      <c r="H302" s="316">
        <v>43129</v>
      </c>
    </row>
    <row r="303" spans="2:8" hidden="1" outlineLevel="1">
      <c r="B303" s="110" t="s">
        <v>386</v>
      </c>
      <c r="C303" s="185" t="s">
        <v>435</v>
      </c>
      <c r="D303" s="110">
        <v>3205010160</v>
      </c>
      <c r="E303" s="110" t="s">
        <v>431</v>
      </c>
      <c r="F303" s="110">
        <v>2600600000</v>
      </c>
      <c r="G303" s="399">
        <v>34.165800000000004</v>
      </c>
      <c r="H303" s="316">
        <v>43129</v>
      </c>
    </row>
    <row r="304" spans="2:8" hidden="1" outlineLevel="1">
      <c r="B304" s="110" t="s">
        <v>386</v>
      </c>
      <c r="C304" s="185" t="s">
        <v>435</v>
      </c>
      <c r="D304" s="110">
        <v>3205010160</v>
      </c>
      <c r="E304" s="110" t="s">
        <v>431</v>
      </c>
      <c r="F304" s="110">
        <v>2600600000</v>
      </c>
      <c r="G304" s="399">
        <v>12.933999999999999</v>
      </c>
      <c r="H304" s="316">
        <v>43147</v>
      </c>
    </row>
    <row r="305" spans="2:8" hidden="1" outlineLevel="1">
      <c r="B305" s="110" t="s">
        <v>386</v>
      </c>
      <c r="C305" s="185" t="s">
        <v>435</v>
      </c>
      <c r="D305" s="110">
        <v>3205010160</v>
      </c>
      <c r="E305" s="110" t="s">
        <v>431</v>
      </c>
      <c r="F305" s="110">
        <v>2600600000</v>
      </c>
      <c r="G305" s="399">
        <v>34.165800000000004</v>
      </c>
      <c r="H305" s="316">
        <v>43147</v>
      </c>
    </row>
    <row r="306" spans="2:8" hidden="1" outlineLevel="1">
      <c r="B306" s="110" t="s">
        <v>386</v>
      </c>
      <c r="C306" s="185" t="s">
        <v>435</v>
      </c>
      <c r="D306" s="110">
        <v>3205010160</v>
      </c>
      <c r="E306" s="110" t="s">
        <v>431</v>
      </c>
      <c r="F306" s="110">
        <v>2600600000</v>
      </c>
      <c r="G306" s="399">
        <v>12.933999999999999</v>
      </c>
      <c r="H306" s="316">
        <v>43186</v>
      </c>
    </row>
    <row r="307" spans="2:8" hidden="1" outlineLevel="1">
      <c r="B307" s="110" t="s">
        <v>386</v>
      </c>
      <c r="C307" s="185" t="s">
        <v>435</v>
      </c>
      <c r="D307" s="110">
        <v>3205010160</v>
      </c>
      <c r="E307" s="110" t="s">
        <v>431</v>
      </c>
      <c r="F307" s="110">
        <v>2600600000</v>
      </c>
      <c r="G307" s="399">
        <v>34.165800000000004</v>
      </c>
      <c r="H307" s="316">
        <v>43186</v>
      </c>
    </row>
    <row r="308" spans="2:8" hidden="1" outlineLevel="1">
      <c r="B308" s="110" t="s">
        <v>386</v>
      </c>
      <c r="C308" s="185" t="s">
        <v>435</v>
      </c>
      <c r="D308" s="110">
        <v>3205010160</v>
      </c>
      <c r="E308" s="110" t="s">
        <v>431</v>
      </c>
      <c r="F308" s="110">
        <v>2600600000</v>
      </c>
      <c r="G308" s="399">
        <v>12.933999999999999</v>
      </c>
      <c r="H308" s="316">
        <v>43206</v>
      </c>
    </row>
    <row r="309" spans="2:8" hidden="1" outlineLevel="1">
      <c r="B309" s="110" t="s">
        <v>386</v>
      </c>
      <c r="C309" s="185" t="s">
        <v>435</v>
      </c>
      <c r="D309" s="110">
        <v>3205010160</v>
      </c>
      <c r="E309" s="110" t="s">
        <v>431</v>
      </c>
      <c r="F309" s="110">
        <v>2600600000</v>
      </c>
      <c r="G309" s="399">
        <v>34.165800000000004</v>
      </c>
      <c r="H309" s="316">
        <v>43206</v>
      </c>
    </row>
    <row r="310" spans="2:8" hidden="1" outlineLevel="1">
      <c r="B310" s="110" t="s">
        <v>386</v>
      </c>
      <c r="C310" s="185" t="s">
        <v>435</v>
      </c>
      <c r="D310" s="110">
        <v>3205010160</v>
      </c>
      <c r="E310" s="110" t="s">
        <v>431</v>
      </c>
      <c r="F310" s="110">
        <v>2600600000</v>
      </c>
      <c r="G310" s="399">
        <v>34.165800000000004</v>
      </c>
      <c r="H310" s="316">
        <v>43236</v>
      </c>
    </row>
    <row r="311" spans="2:8" hidden="1" outlineLevel="1">
      <c r="B311" s="110" t="s">
        <v>386</v>
      </c>
      <c r="C311" s="185" t="s">
        <v>435</v>
      </c>
      <c r="D311" s="110">
        <v>3205010160</v>
      </c>
      <c r="E311" s="110" t="s">
        <v>431</v>
      </c>
      <c r="F311" s="110">
        <v>2600600000</v>
      </c>
      <c r="G311" s="399">
        <v>12.933999999999999</v>
      </c>
      <c r="H311" s="316">
        <v>43236</v>
      </c>
    </row>
    <row r="312" spans="2:8" hidden="1" outlineLevel="1">
      <c r="B312" s="110" t="s">
        <v>386</v>
      </c>
      <c r="C312" s="185" t="s">
        <v>435</v>
      </c>
      <c r="D312" s="110">
        <v>3205010160</v>
      </c>
      <c r="E312" s="110" t="s">
        <v>431</v>
      </c>
      <c r="F312" s="110">
        <v>2600600000</v>
      </c>
      <c r="G312" s="399">
        <v>12.933999999999999</v>
      </c>
      <c r="H312" s="316">
        <v>43271</v>
      </c>
    </row>
    <row r="313" spans="2:8" hidden="1" outlineLevel="1">
      <c r="B313" s="110" t="s">
        <v>386</v>
      </c>
      <c r="C313" s="185" t="s">
        <v>435</v>
      </c>
      <c r="D313" s="110">
        <v>3205010160</v>
      </c>
      <c r="E313" s="110" t="s">
        <v>431</v>
      </c>
      <c r="F313" s="110">
        <v>2600600000</v>
      </c>
      <c r="G313" s="399">
        <v>34.165800000000004</v>
      </c>
      <c r="H313" s="316">
        <v>43271</v>
      </c>
    </row>
    <row r="314" spans="2:8" hidden="1" outlineLevel="1">
      <c r="B314" s="110" t="s">
        <v>386</v>
      </c>
      <c r="C314" s="185" t="s">
        <v>435</v>
      </c>
      <c r="D314" s="110">
        <v>3205010160</v>
      </c>
      <c r="E314" s="110" t="s">
        <v>431</v>
      </c>
      <c r="F314" s="110">
        <v>2600600000</v>
      </c>
      <c r="G314" s="399">
        <v>34.165800000000004</v>
      </c>
      <c r="H314" s="316">
        <v>43304</v>
      </c>
    </row>
    <row r="315" spans="2:8" hidden="1" outlineLevel="1">
      <c r="B315" s="110" t="s">
        <v>386</v>
      </c>
      <c r="C315" s="185" t="s">
        <v>435</v>
      </c>
      <c r="D315" s="110">
        <v>3205010160</v>
      </c>
      <c r="E315" s="110" t="s">
        <v>431</v>
      </c>
      <c r="F315" s="110">
        <v>2600600000</v>
      </c>
      <c r="G315" s="399">
        <v>12.933999999999999</v>
      </c>
      <c r="H315" s="316">
        <v>43304</v>
      </c>
    </row>
    <row r="316" spans="2:8" hidden="1" outlineLevel="1">
      <c r="B316" s="110" t="s">
        <v>386</v>
      </c>
      <c r="C316" s="185" t="s">
        <v>435</v>
      </c>
      <c r="D316" s="110">
        <v>3205010160</v>
      </c>
      <c r="E316" s="110" t="s">
        <v>431</v>
      </c>
      <c r="F316" s="110">
        <v>2600600000</v>
      </c>
      <c r="G316" s="399">
        <v>12.933999999999999</v>
      </c>
      <c r="H316" s="316">
        <v>43339</v>
      </c>
    </row>
    <row r="317" spans="2:8" hidden="1" outlineLevel="1">
      <c r="B317" s="110" t="s">
        <v>386</v>
      </c>
      <c r="C317" s="185" t="s">
        <v>435</v>
      </c>
      <c r="D317" s="110">
        <v>3205010160</v>
      </c>
      <c r="E317" s="110" t="s">
        <v>431</v>
      </c>
      <c r="F317" s="110">
        <v>2600600000</v>
      </c>
      <c r="G317" s="399">
        <v>34.165800000000004</v>
      </c>
      <c r="H317" s="316">
        <v>43339</v>
      </c>
    </row>
    <row r="318" spans="2:8" hidden="1" outlineLevel="1">
      <c r="B318" s="110" t="s">
        <v>386</v>
      </c>
      <c r="C318" s="185" t="s">
        <v>435</v>
      </c>
      <c r="D318" s="110">
        <v>3205010160</v>
      </c>
      <c r="E318" s="110" t="s">
        <v>431</v>
      </c>
      <c r="F318" s="110">
        <v>2600600000</v>
      </c>
      <c r="G318" s="399">
        <v>12.933999999999999</v>
      </c>
      <c r="H318" s="316">
        <v>43363</v>
      </c>
    </row>
    <row r="319" spans="2:8" hidden="1" outlineLevel="1">
      <c r="B319" s="110" t="s">
        <v>386</v>
      </c>
      <c r="C319" s="185" t="s">
        <v>435</v>
      </c>
      <c r="D319" s="110">
        <v>3205010160</v>
      </c>
      <c r="E319" s="110" t="s">
        <v>431</v>
      </c>
      <c r="F319" s="110">
        <v>2600600000</v>
      </c>
      <c r="G319" s="399">
        <v>34.165800000000004</v>
      </c>
      <c r="H319" s="316">
        <v>43363</v>
      </c>
    </row>
    <row r="320" spans="2:8" hidden="1" outlineLevel="1">
      <c r="B320" s="110" t="s">
        <v>386</v>
      </c>
      <c r="C320" s="185" t="s">
        <v>434</v>
      </c>
      <c r="D320" s="110">
        <v>3205010160</v>
      </c>
      <c r="E320" s="110" t="s">
        <v>431</v>
      </c>
      <c r="F320" s="110">
        <v>2600600000</v>
      </c>
      <c r="G320" s="399">
        <v>10.73366</v>
      </c>
      <c r="H320" s="316">
        <v>43129</v>
      </c>
    </row>
    <row r="321" spans="2:10" hidden="1" outlineLevel="1">
      <c r="B321" s="110" t="s">
        <v>386</v>
      </c>
      <c r="C321" s="185" t="s">
        <v>434</v>
      </c>
      <c r="D321" s="110">
        <v>3205010160</v>
      </c>
      <c r="E321" s="110" t="s">
        <v>431</v>
      </c>
      <c r="F321" s="110">
        <v>2600600000</v>
      </c>
      <c r="G321" s="399">
        <v>10.73366</v>
      </c>
      <c r="H321" s="316">
        <v>43147</v>
      </c>
    </row>
    <row r="322" spans="2:10" hidden="1" outlineLevel="1">
      <c r="B322" s="110" t="s">
        <v>386</v>
      </c>
      <c r="C322" s="185" t="s">
        <v>434</v>
      </c>
      <c r="D322" s="110">
        <v>3205010160</v>
      </c>
      <c r="E322" s="110" t="s">
        <v>431</v>
      </c>
      <c r="F322" s="110">
        <v>2600600000</v>
      </c>
      <c r="G322" s="399">
        <v>10.73366</v>
      </c>
      <c r="H322" s="316">
        <v>43180</v>
      </c>
    </row>
    <row r="323" spans="2:10" hidden="1" outlineLevel="1">
      <c r="B323" s="110" t="s">
        <v>386</v>
      </c>
      <c r="C323" s="185" t="s">
        <v>434</v>
      </c>
      <c r="D323" s="110">
        <v>3205010160</v>
      </c>
      <c r="E323" s="110" t="s">
        <v>431</v>
      </c>
      <c r="F323" s="110">
        <v>2600600000</v>
      </c>
      <c r="G323" s="399">
        <v>10.73366</v>
      </c>
      <c r="H323" s="316">
        <v>43216</v>
      </c>
    </row>
    <row r="324" spans="2:10" hidden="1" outlineLevel="1">
      <c r="B324" s="110" t="s">
        <v>386</v>
      </c>
      <c r="C324" s="185" t="s">
        <v>434</v>
      </c>
      <c r="D324" s="110">
        <v>3205010160</v>
      </c>
      <c r="E324" s="110" t="s">
        <v>431</v>
      </c>
      <c r="F324" s="110">
        <v>2600600000</v>
      </c>
      <c r="G324" s="399">
        <v>10.73366</v>
      </c>
      <c r="H324" s="316">
        <v>43248</v>
      </c>
    </row>
    <row r="325" spans="2:10" hidden="1" outlineLevel="1">
      <c r="B325" s="110" t="s">
        <v>386</v>
      </c>
      <c r="C325" s="185" t="s">
        <v>434</v>
      </c>
      <c r="D325" s="110">
        <v>3205010160</v>
      </c>
      <c r="E325" s="110" t="s">
        <v>431</v>
      </c>
      <c r="F325" s="110">
        <v>2600600000</v>
      </c>
      <c r="G325" s="399">
        <v>10.73366</v>
      </c>
      <c r="H325" s="316">
        <v>43271</v>
      </c>
    </row>
    <row r="326" spans="2:10" hidden="1" outlineLevel="1">
      <c r="B326" s="110" t="s">
        <v>386</v>
      </c>
      <c r="C326" s="185" t="s">
        <v>434</v>
      </c>
      <c r="D326" s="110">
        <v>3205010160</v>
      </c>
      <c r="E326" s="110" t="s">
        <v>431</v>
      </c>
      <c r="F326" s="110">
        <v>2600600000</v>
      </c>
      <c r="G326" s="399">
        <v>10.73366</v>
      </c>
      <c r="H326" s="316">
        <v>43304</v>
      </c>
    </row>
    <row r="327" spans="2:10" collapsed="1">
      <c r="B327" s="110" t="s">
        <v>386</v>
      </c>
      <c r="C327" s="185" t="s">
        <v>434</v>
      </c>
      <c r="D327" s="110">
        <v>3205010160</v>
      </c>
      <c r="E327" s="110" t="s">
        <v>431</v>
      </c>
      <c r="F327" s="110">
        <v>2600600000</v>
      </c>
      <c r="G327" s="399">
        <v>10.73366</v>
      </c>
      <c r="H327" s="316">
        <v>43339</v>
      </c>
    </row>
    <row r="328" spans="2:10">
      <c r="B328" s="78" t="s">
        <v>386</v>
      </c>
      <c r="C328" s="311" t="s">
        <v>434</v>
      </c>
      <c r="D328" s="78">
        <v>3205010160</v>
      </c>
      <c r="E328" s="78" t="s">
        <v>431</v>
      </c>
      <c r="F328" s="78">
        <v>2600600000</v>
      </c>
      <c r="G328" s="400">
        <v>10.73366</v>
      </c>
      <c r="H328" s="317">
        <v>43362</v>
      </c>
      <c r="I328" s="135"/>
    </row>
    <row r="329" spans="2:10" ht="13">
      <c r="F329" s="309" t="s">
        <v>253</v>
      </c>
      <c r="G329" s="401">
        <f>SUM(G213:G328)</f>
        <v>307164.63896000042</v>
      </c>
      <c r="I329" s="659"/>
      <c r="J329" s="171"/>
    </row>
    <row r="330" spans="2:10" ht="13">
      <c r="B330" s="314" t="s">
        <v>386</v>
      </c>
      <c r="C330" s="639">
        <f>SUMIF($B$213:$B$328,B330,$G$213:$G$328)</f>
        <v>284155.93214000057</v>
      </c>
      <c r="D330" s="548">
        <f>C330/$G$329</f>
        <v>0.92509324348693633</v>
      </c>
      <c r="F330" s="81" t="s">
        <v>252</v>
      </c>
      <c r="G330" s="402">
        <f>G329-N89</f>
        <v>-599.97308999951929</v>
      </c>
      <c r="H330" s="403" t="s">
        <v>11</v>
      </c>
    </row>
    <row r="331" spans="2:10" ht="13">
      <c r="C331" s="49">
        <f>-C330+G329</f>
        <v>23008.706819999847</v>
      </c>
      <c r="G331" s="310"/>
    </row>
    <row r="332" spans="2:10" ht="13">
      <c r="B332" s="186"/>
      <c r="G332" s="623"/>
      <c r="H332" s="631"/>
      <c r="I332" s="171"/>
    </row>
    <row r="334" spans="2:10" ht="13">
      <c r="B334" s="237" t="s">
        <v>762</v>
      </c>
    </row>
    <row r="335" spans="2:10" ht="13">
      <c r="B335" s="109" t="s">
        <v>761</v>
      </c>
    </row>
    <row r="336" spans="2:10" ht="13">
      <c r="B336" s="307" t="s">
        <v>418</v>
      </c>
    </row>
    <row r="338" spans="2:7" ht="13">
      <c r="B338" s="330" t="s">
        <v>419</v>
      </c>
      <c r="C338" s="330" t="s">
        <v>420</v>
      </c>
      <c r="D338" s="330" t="s">
        <v>421</v>
      </c>
      <c r="E338" s="330" t="s">
        <v>422</v>
      </c>
      <c r="F338" s="330" t="s">
        <v>423</v>
      </c>
      <c r="G338" s="331" t="s">
        <v>424</v>
      </c>
    </row>
    <row r="339" spans="2:7">
      <c r="B339" s="110" t="s">
        <v>367</v>
      </c>
      <c r="C339" s="225" t="s">
        <v>763</v>
      </c>
      <c r="D339" s="225">
        <v>3205010160</v>
      </c>
      <c r="E339" s="225" t="s">
        <v>431</v>
      </c>
      <c r="F339" s="225">
        <v>2600000801</v>
      </c>
      <c r="G339" s="49">
        <v>2176.2711600000002</v>
      </c>
    </row>
    <row r="340" spans="2:7">
      <c r="B340" s="110">
        <f t="shared" ref="B340" si="38">VLOOKUP(C340,$C$213:$I$328,7,0)</f>
        <v>0</v>
      </c>
      <c r="C340" s="225" t="s">
        <v>430</v>
      </c>
      <c r="D340" s="225">
        <v>3205010160</v>
      </c>
      <c r="E340" s="225" t="s">
        <v>431</v>
      </c>
      <c r="F340" s="225">
        <v>2600600000</v>
      </c>
      <c r="G340" s="49">
        <v>90</v>
      </c>
    </row>
    <row r="341" spans="2:7">
      <c r="B341" s="110" t="s">
        <v>386</v>
      </c>
      <c r="C341" s="225" t="s">
        <v>809</v>
      </c>
      <c r="D341" s="225">
        <v>3205010160</v>
      </c>
      <c r="E341" s="225" t="s">
        <v>431</v>
      </c>
      <c r="F341" s="225">
        <v>2600600000</v>
      </c>
      <c r="G341" s="49">
        <v>227050.33740000002</v>
      </c>
    </row>
    <row r="342" spans="2:7">
      <c r="B342" s="110" t="s">
        <v>367</v>
      </c>
      <c r="C342" s="225" t="s">
        <v>763</v>
      </c>
      <c r="D342" s="225">
        <v>3205010160</v>
      </c>
      <c r="E342" s="225" t="s">
        <v>431</v>
      </c>
      <c r="F342" s="225">
        <v>2600600000</v>
      </c>
      <c r="G342" s="49">
        <v>28431.861690000002</v>
      </c>
    </row>
    <row r="343" spans="2:7">
      <c r="B343" s="110" t="s">
        <v>386</v>
      </c>
      <c r="C343" s="225" t="s">
        <v>764</v>
      </c>
      <c r="D343" s="225">
        <v>3205010160</v>
      </c>
      <c r="E343" s="225" t="s">
        <v>431</v>
      </c>
      <c r="F343" s="225">
        <v>2600600000</v>
      </c>
      <c r="G343" s="49">
        <v>152494.772</v>
      </c>
    </row>
    <row r="344" spans="2:7">
      <c r="B344" s="110" t="s">
        <v>386</v>
      </c>
      <c r="C344" s="225" t="s">
        <v>765</v>
      </c>
      <c r="D344" s="225">
        <v>3205010160</v>
      </c>
      <c r="E344" s="225" t="s">
        <v>431</v>
      </c>
      <c r="F344" s="225">
        <v>2600600000</v>
      </c>
      <c r="G344" s="49">
        <v>9.74</v>
      </c>
    </row>
    <row r="345" spans="2:7">
      <c r="B345" s="110" t="s">
        <v>386</v>
      </c>
      <c r="C345" s="225" t="s">
        <v>766</v>
      </c>
      <c r="D345" s="225">
        <v>3205010160</v>
      </c>
      <c r="E345" s="225" t="s">
        <v>431</v>
      </c>
      <c r="F345" s="225">
        <v>2600600000</v>
      </c>
      <c r="G345" s="49">
        <v>565.19759999999997</v>
      </c>
    </row>
    <row r="346" spans="2:7">
      <c r="B346" s="110" t="s">
        <v>386</v>
      </c>
      <c r="C346" s="225" t="s">
        <v>767</v>
      </c>
      <c r="D346" s="225">
        <v>3205010160</v>
      </c>
      <c r="E346" s="225" t="s">
        <v>431</v>
      </c>
      <c r="F346" s="225">
        <v>2600600000</v>
      </c>
      <c r="G346" s="49">
        <v>128.80392000000001</v>
      </c>
    </row>
    <row r="347" spans="2:7">
      <c r="B347" s="110" t="s">
        <v>367</v>
      </c>
      <c r="C347" s="225" t="s">
        <v>763</v>
      </c>
      <c r="D347" s="225">
        <v>3205010160</v>
      </c>
      <c r="E347" s="225" t="s">
        <v>431</v>
      </c>
      <c r="F347" s="225">
        <v>2605400000</v>
      </c>
      <c r="G347" s="49">
        <v>1179.06024</v>
      </c>
    </row>
    <row r="348" spans="2:7">
      <c r="B348" s="110" t="s">
        <v>386</v>
      </c>
      <c r="C348" s="225" t="s">
        <v>428</v>
      </c>
      <c r="D348" s="225">
        <v>3205010160</v>
      </c>
      <c r="E348" s="225" t="s">
        <v>431</v>
      </c>
      <c r="F348" s="225">
        <v>2660106000</v>
      </c>
      <c r="G348" s="49">
        <v>74.516130000000004</v>
      </c>
    </row>
    <row r="349" spans="2:7">
      <c r="B349" s="110" t="s">
        <v>386</v>
      </c>
      <c r="C349" s="225" t="s">
        <v>429</v>
      </c>
      <c r="D349" s="225">
        <v>3205010160</v>
      </c>
      <c r="E349" s="225" t="s">
        <v>431</v>
      </c>
      <c r="F349" s="225">
        <v>2660106000</v>
      </c>
      <c r="G349" s="49">
        <v>249.56889999999999</v>
      </c>
    </row>
    <row r="350" spans="2:7">
      <c r="B350" s="110" t="s">
        <v>386</v>
      </c>
      <c r="C350" s="225" t="s">
        <v>430</v>
      </c>
      <c r="D350" s="225">
        <v>3205010160</v>
      </c>
      <c r="E350" s="225" t="s">
        <v>431</v>
      </c>
      <c r="F350" s="225">
        <v>2660106000</v>
      </c>
      <c r="G350" s="49">
        <v>45</v>
      </c>
    </row>
    <row r="351" spans="2:7">
      <c r="B351" s="78" t="s">
        <v>367</v>
      </c>
      <c r="C351" s="693" t="s">
        <v>763</v>
      </c>
      <c r="D351" s="693">
        <v>3205010160</v>
      </c>
      <c r="E351" s="693" t="s">
        <v>431</v>
      </c>
      <c r="F351" s="693">
        <v>2660106000</v>
      </c>
      <c r="G351" s="63">
        <v>321.93</v>
      </c>
    </row>
    <row r="352" spans="2:7" ht="13">
      <c r="F352" s="309" t="s">
        <v>253</v>
      </c>
      <c r="G352" s="401">
        <f>SUM(G339:G351)</f>
        <v>412817.05904000002</v>
      </c>
    </row>
    <row r="353" spans="2:8" ht="13">
      <c r="F353" s="81" t="s">
        <v>252</v>
      </c>
      <c r="G353" s="675">
        <f>G352-AE89</f>
        <v>-639.06727999990107</v>
      </c>
      <c r="H353" s="403" t="s">
        <v>11</v>
      </c>
    </row>
    <row r="354" spans="2:8">
      <c r="B354" s="314" t="s">
        <v>386</v>
      </c>
      <c r="C354" s="639">
        <f>SUMIF($B$339:$B$351,B354,$G$339:$G$351)</f>
        <v>380617.93595000001</v>
      </c>
      <c r="D354" s="290">
        <f>C354/G352</f>
        <v>0.92200147163278912</v>
      </c>
    </row>
    <row r="355" spans="2:8">
      <c r="C355" s="49">
        <f>-C354+G352</f>
        <v>32199.123090000008</v>
      </c>
    </row>
  </sheetData>
  <autoFilter ref="B212:H331" xr:uid="{00000000-0009-0000-0000-000005000000}"/>
  <conditionalFormatting sqref="C88:C164">
    <cfRule type="duplicateValues" dxfId="0" priority="1"/>
  </conditionalFormatting>
  <pageMargins left="0.7" right="0.7" top="0.75" bottom="0.75" header="0.3" footer="0.3"/>
  <pageSetup paperSize="9" orientation="portrait" r:id="rId1"/>
  <ignoredErrors>
    <ignoredError sqref="E181" evalError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"/>
  <sheetViews>
    <sheetView topLeftCell="A31" zoomScale="80" zoomScaleNormal="80" workbookViewId="0">
      <selection activeCell="F31" sqref="F31"/>
    </sheetView>
  </sheetViews>
  <sheetFormatPr defaultColWidth="9.1796875" defaultRowHeight="12.5"/>
  <cols>
    <col min="1" max="1" width="15.453125" style="110" customWidth="1"/>
    <col min="2" max="2" width="28.453125" style="110" customWidth="1"/>
    <col min="3" max="3" width="39.1796875" style="110" customWidth="1"/>
    <col min="4" max="5" width="20.54296875" style="110" customWidth="1"/>
    <col min="6" max="6" width="14.54296875" style="110" customWidth="1"/>
    <col min="7" max="7" width="19" style="110" customWidth="1"/>
    <col min="8" max="8" width="17" style="110" customWidth="1"/>
    <col min="9" max="9" width="16.1796875" style="110" customWidth="1"/>
    <col min="10" max="10" width="16" style="110" customWidth="1"/>
    <col min="11" max="11" width="25.1796875" style="110" customWidth="1"/>
    <col min="12" max="12" width="15.81640625" style="110" customWidth="1"/>
    <col min="13" max="13" width="14.54296875" style="110" customWidth="1"/>
    <col min="14" max="15" width="9.1796875" style="110"/>
    <col min="16" max="16" width="9.54296875" style="110" bestFit="1" customWidth="1"/>
    <col min="17" max="18" width="9.54296875" style="110" customWidth="1"/>
    <col min="19" max="20" width="15.1796875" style="110" bestFit="1" customWidth="1"/>
    <col min="21" max="21" width="15.54296875" style="110" bestFit="1" customWidth="1"/>
    <col min="22" max="16384" width="9.1796875" style="110"/>
  </cols>
  <sheetData>
    <row r="1" spans="1:20" ht="13">
      <c r="A1" s="1" t="s">
        <v>798</v>
      </c>
      <c r="D1" s="157" t="s">
        <v>759</v>
      </c>
      <c r="E1" s="111" t="s">
        <v>2</v>
      </c>
      <c r="F1" s="111" t="s">
        <v>3</v>
      </c>
      <c r="G1" s="157" t="s">
        <v>760</v>
      </c>
      <c r="H1" s="111" t="s">
        <v>2</v>
      </c>
      <c r="I1" s="111" t="s">
        <v>3</v>
      </c>
      <c r="K1" s="112"/>
      <c r="L1" s="113" t="s">
        <v>4</v>
      </c>
      <c r="N1" s="6" t="s">
        <v>293</v>
      </c>
      <c r="R1" s="118"/>
      <c r="S1" s="170"/>
      <c r="T1" s="5" t="s">
        <v>284</v>
      </c>
    </row>
    <row r="2" spans="1:20" ht="13">
      <c r="A2" s="109" t="str">
        <f>'ВД0 Рабочая программа'!A2</f>
        <v>31.12.2018</v>
      </c>
      <c r="D2" s="706" t="s">
        <v>635</v>
      </c>
      <c r="E2" s="704">
        <v>24800</v>
      </c>
      <c r="F2" s="705">
        <f>E2*L2</f>
        <v>1523607.8490842495</v>
      </c>
      <c r="G2" s="700" t="s">
        <v>637</v>
      </c>
      <c r="H2" s="701">
        <v>24800</v>
      </c>
      <c r="I2" s="698">
        <f>H2*$L$9</f>
        <v>1555152.7333698627</v>
      </c>
      <c r="K2" s="650" t="s">
        <v>315</v>
      </c>
      <c r="L2" s="146">
        <v>61.435800366300377</v>
      </c>
      <c r="N2" s="4" t="s">
        <v>5</v>
      </c>
      <c r="O2" s="117" t="s">
        <v>9</v>
      </c>
      <c r="S2" s="135"/>
    </row>
    <row r="3" spans="1:20" ht="13">
      <c r="A3" s="2" t="s">
        <v>409</v>
      </c>
      <c r="D3" s="707" t="s">
        <v>636</v>
      </c>
      <c r="E3" s="597">
        <v>2600</v>
      </c>
      <c r="F3" s="599">
        <f>E3*L2</f>
        <v>159733.08095238099</v>
      </c>
      <c r="G3" s="699" t="s">
        <v>638</v>
      </c>
      <c r="H3" s="62">
        <v>2600</v>
      </c>
      <c r="I3" s="601">
        <f t="shared" ref="I3:I6" si="0">H3*$L$9</f>
        <v>163040.2059178082</v>
      </c>
      <c r="K3" s="651" t="s">
        <v>6</v>
      </c>
      <c r="L3" s="147">
        <v>58.255220833333389</v>
      </c>
      <c r="N3" s="4" t="s">
        <v>7</v>
      </c>
      <c r="O3" s="117" t="s">
        <v>10</v>
      </c>
      <c r="S3" s="135"/>
    </row>
    <row r="4" spans="1:20" ht="13">
      <c r="A4" s="3" t="s">
        <v>1</v>
      </c>
      <c r="D4" s="76" t="s">
        <v>258</v>
      </c>
      <c r="E4" s="161">
        <v>6200</v>
      </c>
      <c r="F4" s="600">
        <f>F2/4</f>
        <v>380901.96227106237</v>
      </c>
      <c r="G4" s="76" t="s">
        <v>258</v>
      </c>
      <c r="H4" s="62">
        <f>H2*0.25</f>
        <v>6200</v>
      </c>
      <c r="I4" s="601">
        <f t="shared" si="0"/>
        <v>388788.18334246567</v>
      </c>
      <c r="K4" s="652" t="s">
        <v>316</v>
      </c>
      <c r="L4" s="147">
        <v>65.590599999999995</v>
      </c>
      <c r="N4" s="4" t="s">
        <v>11</v>
      </c>
      <c r="O4" s="117" t="s">
        <v>12</v>
      </c>
      <c r="S4" s="135"/>
    </row>
    <row r="5" spans="1:20">
      <c r="D5" s="76" t="s">
        <v>308</v>
      </c>
      <c r="E5" s="161">
        <v>4650</v>
      </c>
      <c r="F5" s="600">
        <f>F4*0.75</f>
        <v>285676.47170329676</v>
      </c>
      <c r="G5" s="76" t="s">
        <v>308</v>
      </c>
      <c r="H5" s="62">
        <f>H4*3/4</f>
        <v>4650</v>
      </c>
      <c r="I5" s="601">
        <f t="shared" si="0"/>
        <v>291591.13750684925</v>
      </c>
      <c r="K5" s="652" t="s">
        <v>8</v>
      </c>
      <c r="L5" s="147">
        <v>58.0169</v>
      </c>
      <c r="N5" s="4" t="s">
        <v>13</v>
      </c>
      <c r="O5" s="117" t="s">
        <v>14</v>
      </c>
      <c r="S5" s="135"/>
    </row>
    <row r="6" spans="1:20">
      <c r="D6" s="77" t="s">
        <v>600</v>
      </c>
      <c r="E6" s="63">
        <f>E4*0.5</f>
        <v>3100</v>
      </c>
      <c r="F6" s="568">
        <f>F4*0.5</f>
        <v>190450.98113553118</v>
      </c>
      <c r="G6" s="77" t="s">
        <v>600</v>
      </c>
      <c r="H6" s="63">
        <f>H4/2</f>
        <v>3100</v>
      </c>
      <c r="I6" s="568">
        <f t="shared" si="0"/>
        <v>194394.09167123283</v>
      </c>
      <c r="K6" s="653" t="s">
        <v>309</v>
      </c>
      <c r="L6" s="162">
        <v>58.352899999999998</v>
      </c>
      <c r="N6" s="4" t="s">
        <v>15</v>
      </c>
      <c r="O6" s="117" t="s">
        <v>16</v>
      </c>
      <c r="S6" s="135"/>
    </row>
    <row r="7" spans="1:20">
      <c r="D7" s="596"/>
      <c r="E7" s="161"/>
      <c r="F7" s="62"/>
      <c r="G7" s="161"/>
      <c r="K7" s="654" t="s">
        <v>310</v>
      </c>
      <c r="L7" s="298">
        <v>57.600200000000001</v>
      </c>
      <c r="N7" s="4" t="s">
        <v>17</v>
      </c>
      <c r="O7" s="117" t="s">
        <v>18</v>
      </c>
      <c r="S7" s="135"/>
    </row>
    <row r="8" spans="1:20">
      <c r="D8" s="596"/>
      <c r="E8" s="62"/>
      <c r="F8" s="62"/>
      <c r="K8" s="581" t="s">
        <v>652</v>
      </c>
      <c r="L8" s="162">
        <v>69.470600000000005</v>
      </c>
      <c r="N8" s="4" t="s">
        <v>19</v>
      </c>
      <c r="O8" s="117" t="s">
        <v>20</v>
      </c>
    </row>
    <row r="9" spans="1:20">
      <c r="K9" s="582" t="s">
        <v>651</v>
      </c>
      <c r="L9" s="583">
        <v>62.707771506849305</v>
      </c>
    </row>
    <row r="10" spans="1:20" ht="13">
      <c r="B10" s="182" t="s">
        <v>21</v>
      </c>
    </row>
    <row r="11" spans="1:20">
      <c r="B11" s="183" t="s">
        <v>593</v>
      </c>
    </row>
    <row r="12" spans="1:20">
      <c r="B12" s="183" t="s">
        <v>350</v>
      </c>
    </row>
    <row r="13" spans="1:20">
      <c r="B13" s="284"/>
    </row>
    <row r="14" spans="1:20" ht="13">
      <c r="B14" s="184" t="s">
        <v>22</v>
      </c>
    </row>
    <row r="15" spans="1:20">
      <c r="B15" s="219" t="s">
        <v>594</v>
      </c>
    </row>
    <row r="16" spans="1:20">
      <c r="B16" s="222" t="s">
        <v>403</v>
      </c>
    </row>
    <row r="17" spans="2:5" ht="13">
      <c r="B17" s="219" t="s">
        <v>404</v>
      </c>
    </row>
    <row r="18" spans="2:5">
      <c r="B18" s="219" t="s">
        <v>601</v>
      </c>
    </row>
    <row r="19" spans="2:5">
      <c r="B19" s="219"/>
    </row>
    <row r="20" spans="2:5" ht="13">
      <c r="B20" s="184" t="s">
        <v>405</v>
      </c>
    </row>
    <row r="21" spans="2:5" ht="13">
      <c r="B21" s="285" t="s">
        <v>353</v>
      </c>
    </row>
    <row r="22" spans="2:5">
      <c r="B22" s="285" t="s">
        <v>354</v>
      </c>
    </row>
    <row r="23" spans="2:5">
      <c r="B23" s="285"/>
    </row>
    <row r="24" spans="2:5" ht="13">
      <c r="B24" s="498" t="s">
        <v>586</v>
      </c>
    </row>
    <row r="25" spans="2:5">
      <c r="B25" s="135" t="s">
        <v>810</v>
      </c>
    </row>
    <row r="26" spans="2:5">
      <c r="B26" s="135" t="s">
        <v>796</v>
      </c>
    </row>
    <row r="27" spans="2:5" ht="13">
      <c r="B27" s="135" t="s">
        <v>654</v>
      </c>
    </row>
    <row r="28" spans="2:5">
      <c r="B28" s="135"/>
    </row>
    <row r="29" spans="2:5" ht="25">
      <c r="B29" s="499" t="s">
        <v>605</v>
      </c>
      <c r="C29" s="547" t="s">
        <v>37</v>
      </c>
      <c r="D29" s="172">
        <f>C48*3</f>
        <v>445950</v>
      </c>
    </row>
    <row r="30" spans="2:5">
      <c r="B30" s="185" t="s">
        <v>602</v>
      </c>
      <c r="C30" s="545" t="s">
        <v>28</v>
      </c>
      <c r="D30" s="62">
        <f>S38</f>
        <v>445950</v>
      </c>
    </row>
    <row r="31" spans="2:5" ht="13">
      <c r="B31" s="185" t="s">
        <v>563</v>
      </c>
      <c r="C31" s="545"/>
      <c r="D31" s="62">
        <f>D29-D30</f>
        <v>0</v>
      </c>
      <c r="E31" s="511" t="str">
        <f>IF(ABS(D31)&gt;I6, "Более 1/2 от 25% ДО, не соответствует ожиданиям", "Соответствует ожиданиям, менее 1/2 от 25% ДО")</f>
        <v>Соответствует ожиданиям, менее 1/2 от 25% ДО</v>
      </c>
    </row>
    <row r="32" spans="2:5" ht="13">
      <c r="B32" s="311" t="s">
        <v>564</v>
      </c>
      <c r="C32" s="546"/>
      <c r="D32" s="201">
        <f>D31/D30</f>
        <v>0</v>
      </c>
      <c r="E32" s="511" t="str">
        <f>IF(ABS(D32)&gt;10%, "Более 10%, не соответствует ожиданиям", "Соответствует ожиданиям, менее 10%")</f>
        <v>Соответствует ожиданиям, менее 10%</v>
      </c>
    </row>
    <row r="33" spans="1:22">
      <c r="B33" s="135"/>
    </row>
    <row r="35" spans="1:22" ht="13">
      <c r="B35" s="186" t="s">
        <v>499</v>
      </c>
      <c r="P35" s="511" t="s">
        <v>582</v>
      </c>
    </row>
    <row r="36" spans="1:22" ht="13">
      <c r="A36" s="187" t="s">
        <v>290</v>
      </c>
      <c r="O36" s="187" t="s">
        <v>290</v>
      </c>
      <c r="P36" s="186"/>
    </row>
    <row r="37" spans="1:22" ht="13">
      <c r="B37" s="140" t="s">
        <v>71</v>
      </c>
      <c r="C37" s="140" t="s">
        <v>72</v>
      </c>
      <c r="D37" s="512" t="s">
        <v>73</v>
      </c>
      <c r="E37" s="512" t="s">
        <v>74</v>
      </c>
      <c r="F37" s="542" t="s">
        <v>75</v>
      </c>
      <c r="G37" s="512" t="s">
        <v>76</v>
      </c>
      <c r="H37" s="512" t="s">
        <v>77</v>
      </c>
      <c r="I37" s="512" t="s">
        <v>78</v>
      </c>
      <c r="J37" s="505" t="s">
        <v>79</v>
      </c>
      <c r="K37" s="505" t="s">
        <v>80</v>
      </c>
      <c r="L37" s="505" t="s">
        <v>81</v>
      </c>
      <c r="M37" s="543" t="s">
        <v>342</v>
      </c>
      <c r="P37" s="505" t="s">
        <v>551</v>
      </c>
      <c r="Q37" s="505" t="s">
        <v>552</v>
      </c>
      <c r="R37" s="505" t="s">
        <v>553</v>
      </c>
      <c r="S37" s="323" t="s">
        <v>592</v>
      </c>
      <c r="U37" s="439" t="s">
        <v>555</v>
      </c>
    </row>
    <row r="38" spans="1:22">
      <c r="B38" s="287">
        <v>3205010240</v>
      </c>
      <c r="C38" s="261" t="s">
        <v>188</v>
      </c>
      <c r="D38" s="491">
        <v>80050.211859999996</v>
      </c>
      <c r="E38" s="491">
        <v>80050.211859999996</v>
      </c>
      <c r="F38" s="491">
        <v>80050.211859999996</v>
      </c>
      <c r="G38" s="544">
        <v>80050.211859999996</v>
      </c>
      <c r="H38" s="544">
        <v>80050.211859999996</v>
      </c>
      <c r="I38" s="544">
        <v>80050.211859999996</v>
      </c>
      <c r="J38" s="544">
        <v>148650</v>
      </c>
      <c r="K38" s="544">
        <v>148650</v>
      </c>
      <c r="L38" s="544">
        <v>148650</v>
      </c>
      <c r="M38" s="347">
        <f>SUM(D38:L38)</f>
        <v>926251.27116</v>
      </c>
      <c r="N38" s="351">
        <f>M38/L2</f>
        <v>15076.734829486819</v>
      </c>
      <c r="P38" s="544">
        <v>148650</v>
      </c>
      <c r="Q38" s="544">
        <v>148650</v>
      </c>
      <c r="R38" s="544">
        <v>148650</v>
      </c>
      <c r="S38" s="347">
        <f>SUM(P38:R38)</f>
        <v>445950</v>
      </c>
      <c r="U38" s="347">
        <f>S38+M38</f>
        <v>1372201.27116</v>
      </c>
    </row>
    <row r="39" spans="1:22" ht="13">
      <c r="L39" s="204" t="s">
        <v>359</v>
      </c>
      <c r="M39" s="59">
        <v>926251</v>
      </c>
      <c r="N39" s="286" t="s">
        <v>282</v>
      </c>
      <c r="T39" s="204" t="s">
        <v>359</v>
      </c>
      <c r="U39" s="137">
        <v>1372201</v>
      </c>
      <c r="V39" s="108" t="s">
        <v>66</v>
      </c>
    </row>
    <row r="40" spans="1:22" ht="13">
      <c r="L40" s="208" t="s">
        <v>27</v>
      </c>
      <c r="M40" s="49">
        <f>M39-M38</f>
        <v>-0.2711600000038743</v>
      </c>
      <c r="N40" s="60" t="s">
        <v>11</v>
      </c>
      <c r="T40" s="208" t="s">
        <v>27</v>
      </c>
      <c r="U40" s="137">
        <f>U39-U38</f>
        <v>-0.2711600000038743</v>
      </c>
      <c r="V40" s="511" t="s">
        <v>585</v>
      </c>
    </row>
    <row r="41" spans="1:22">
      <c r="B41" s="116"/>
      <c r="C41" s="116"/>
      <c r="D41" s="116"/>
      <c r="E41" s="116"/>
      <c r="F41" s="116"/>
      <c r="G41" s="116"/>
      <c r="H41" s="116"/>
      <c r="I41" s="116"/>
    </row>
    <row r="42" spans="1:22" ht="13">
      <c r="B42" s="266" t="s">
        <v>406</v>
      </c>
      <c r="C42" s="116"/>
      <c r="D42" s="116"/>
      <c r="E42" s="116"/>
      <c r="F42" s="116"/>
      <c r="G42" s="116"/>
      <c r="H42" s="116"/>
      <c r="I42" s="116"/>
    </row>
    <row r="43" spans="1:22" ht="13">
      <c r="B43" s="136" t="s">
        <v>811</v>
      </c>
      <c r="C43" s="116"/>
      <c r="D43" s="116"/>
      <c r="E43" s="116"/>
      <c r="F43" s="116"/>
      <c r="G43" s="116"/>
      <c r="H43" s="116"/>
      <c r="I43" s="116"/>
    </row>
    <row r="44" spans="1:22">
      <c r="B44" s="352" t="s">
        <v>445</v>
      </c>
      <c r="C44" s="116"/>
      <c r="D44" s="116"/>
      <c r="E44" s="116"/>
      <c r="F44" s="116"/>
      <c r="G44" s="116"/>
      <c r="H44" s="116"/>
      <c r="I44" s="116"/>
    </row>
    <row r="45" spans="1:22" ht="13">
      <c r="B45" s="352" t="s">
        <v>812</v>
      </c>
      <c r="C45" s="116"/>
      <c r="D45" s="116"/>
      <c r="E45" s="116"/>
      <c r="F45" s="116"/>
      <c r="G45" s="116"/>
      <c r="H45" s="116"/>
      <c r="I45" s="116"/>
    </row>
    <row r="46" spans="1:22">
      <c r="B46" s="352"/>
      <c r="C46" s="116"/>
      <c r="D46" s="116"/>
      <c r="E46" s="116"/>
      <c r="F46" s="116"/>
      <c r="G46" s="116"/>
      <c r="H46" s="116"/>
      <c r="I46" s="116"/>
    </row>
    <row r="47" spans="1:22" ht="13">
      <c r="B47" s="116"/>
      <c r="C47" s="405" t="s">
        <v>470</v>
      </c>
      <c r="D47" s="116"/>
      <c r="E47" s="116"/>
      <c r="F47" s="405" t="s">
        <v>470</v>
      </c>
      <c r="G47" s="116"/>
      <c r="H47" s="116"/>
      <c r="I47" s="116"/>
    </row>
    <row r="48" spans="1:22" ht="48.65" customHeight="1">
      <c r="B48" s="353" t="s">
        <v>446</v>
      </c>
      <c r="C48" s="354">
        <f>J38</f>
        <v>148650</v>
      </c>
      <c r="D48" s="116"/>
      <c r="E48" s="353" t="s">
        <v>474</v>
      </c>
      <c r="F48" s="404">
        <f>J38/I38-1</f>
        <v>0.85695948263040611</v>
      </c>
      <c r="G48" s="116"/>
      <c r="H48" s="116"/>
      <c r="I48" s="116"/>
    </row>
    <row r="49" spans="2:9" ht="13">
      <c r="B49" s="355" t="s">
        <v>252</v>
      </c>
      <c r="C49" s="356">
        <f>C48-L38</f>
        <v>0</v>
      </c>
      <c r="D49" s="116"/>
      <c r="E49" s="116"/>
      <c r="F49" s="116"/>
      <c r="G49" s="116"/>
      <c r="H49" s="116"/>
      <c r="I49" s="116"/>
    </row>
    <row r="50" spans="2:9" ht="13">
      <c r="B50" s="355"/>
      <c r="C50" s="356"/>
      <c r="D50" s="116"/>
      <c r="E50" s="116"/>
      <c r="F50" s="116"/>
      <c r="G50" s="116"/>
      <c r="H50" s="116"/>
      <c r="I50" s="116"/>
    </row>
    <row r="51" spans="2:9">
      <c r="B51" s="110" t="s">
        <v>813</v>
      </c>
    </row>
    <row r="52" spans="2:9">
      <c r="B52" s="110" t="s">
        <v>547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79"/>
  <sheetViews>
    <sheetView topLeftCell="A61" zoomScale="80" zoomScaleNormal="80" workbookViewId="0">
      <selection activeCell="B43" sqref="B43"/>
    </sheetView>
  </sheetViews>
  <sheetFormatPr defaultColWidth="17.1796875" defaultRowHeight="12.5"/>
  <cols>
    <col min="1" max="1" width="6.1796875" style="110" customWidth="1"/>
    <col min="2" max="2" width="43.81640625" style="110" bestFit="1" customWidth="1"/>
    <col min="3" max="3" width="39.81640625" style="110" customWidth="1"/>
    <col min="4" max="4" width="19.81640625" style="110" customWidth="1"/>
    <col min="5" max="7" width="17.1796875" style="110"/>
    <col min="8" max="8" width="18.81640625" style="110" customWidth="1"/>
    <col min="9" max="10" width="17.1796875" style="110"/>
    <col min="11" max="11" width="26.54296875" style="110" customWidth="1"/>
    <col min="12" max="16384" width="17.1796875" style="110"/>
  </cols>
  <sheetData>
    <row r="1" spans="1:15" ht="13">
      <c r="A1" s="1" t="s">
        <v>798</v>
      </c>
      <c r="D1" s="157" t="s">
        <v>759</v>
      </c>
      <c r="E1" s="111" t="s">
        <v>2</v>
      </c>
      <c r="F1" s="111" t="s">
        <v>3</v>
      </c>
      <c r="G1" s="157" t="s">
        <v>760</v>
      </c>
      <c r="H1" s="111" t="s">
        <v>2</v>
      </c>
      <c r="I1" s="111" t="s">
        <v>3</v>
      </c>
      <c r="K1" s="112"/>
      <c r="L1" s="113" t="s">
        <v>4</v>
      </c>
      <c r="N1" s="6" t="s">
        <v>293</v>
      </c>
    </row>
    <row r="2" spans="1:15" ht="13">
      <c r="A2" s="109" t="str">
        <f>'ВД0 Рабочая программа'!A2</f>
        <v>31.12.2018</v>
      </c>
      <c r="D2" s="706" t="s">
        <v>635</v>
      </c>
      <c r="E2" s="704">
        <v>24800</v>
      </c>
      <c r="F2" s="705">
        <f>E2*L2</f>
        <v>1523607.8490842495</v>
      </c>
      <c r="G2" s="700" t="s">
        <v>637</v>
      </c>
      <c r="H2" s="701">
        <v>24800</v>
      </c>
      <c r="I2" s="698">
        <f>H2*$L$9</f>
        <v>1555152.7333698627</v>
      </c>
      <c r="K2" s="650" t="s">
        <v>315</v>
      </c>
      <c r="L2" s="146">
        <v>61.435800366300377</v>
      </c>
      <c r="N2" s="4" t="s">
        <v>5</v>
      </c>
      <c r="O2" s="117" t="s">
        <v>9</v>
      </c>
    </row>
    <row r="3" spans="1:15" ht="13">
      <c r="A3" s="2" t="s">
        <v>242</v>
      </c>
      <c r="D3" s="707" t="s">
        <v>636</v>
      </c>
      <c r="E3" s="597">
        <v>2600</v>
      </c>
      <c r="F3" s="599">
        <f>E3*L2</f>
        <v>159733.08095238099</v>
      </c>
      <c r="G3" s="699" t="s">
        <v>638</v>
      </c>
      <c r="H3" s="62">
        <v>2600</v>
      </c>
      <c r="I3" s="601">
        <f t="shared" ref="I3:I6" si="0">H3*$L$9</f>
        <v>163040.2059178082</v>
      </c>
      <c r="K3" s="651" t="s">
        <v>6</v>
      </c>
      <c r="L3" s="147">
        <v>58.255220833333389</v>
      </c>
      <c r="N3" s="4" t="s">
        <v>7</v>
      </c>
      <c r="O3" s="117" t="s">
        <v>10</v>
      </c>
    </row>
    <row r="4" spans="1:15" ht="13">
      <c r="A4" s="3" t="s">
        <v>1</v>
      </c>
      <c r="D4" s="76" t="s">
        <v>258</v>
      </c>
      <c r="E4" s="161">
        <v>6200</v>
      </c>
      <c r="F4" s="600">
        <f>F2/4</f>
        <v>380901.96227106237</v>
      </c>
      <c r="G4" s="76" t="s">
        <v>258</v>
      </c>
      <c r="H4" s="62">
        <f>H2*0.25</f>
        <v>6200</v>
      </c>
      <c r="I4" s="601">
        <f t="shared" si="0"/>
        <v>388788.18334246567</v>
      </c>
      <c r="K4" s="652" t="s">
        <v>316</v>
      </c>
      <c r="L4" s="147">
        <v>65.590599999999995</v>
      </c>
      <c r="N4" s="4" t="s">
        <v>11</v>
      </c>
      <c r="O4" s="117" t="s">
        <v>12</v>
      </c>
    </row>
    <row r="5" spans="1:15">
      <c r="D5" s="76" t="s">
        <v>308</v>
      </c>
      <c r="E5" s="161">
        <v>4650</v>
      </c>
      <c r="F5" s="600">
        <f>F4*0.75</f>
        <v>285676.47170329676</v>
      </c>
      <c r="G5" s="76" t="s">
        <v>308</v>
      </c>
      <c r="H5" s="62">
        <f>H4*3/4</f>
        <v>4650</v>
      </c>
      <c r="I5" s="601">
        <f t="shared" si="0"/>
        <v>291591.13750684925</v>
      </c>
      <c r="K5" s="652" t="s">
        <v>8</v>
      </c>
      <c r="L5" s="147">
        <v>58.0169</v>
      </c>
      <c r="N5" s="4" t="s">
        <v>13</v>
      </c>
      <c r="O5" s="117" t="s">
        <v>14</v>
      </c>
    </row>
    <row r="6" spans="1:15">
      <c r="D6" s="77" t="s">
        <v>600</v>
      </c>
      <c r="E6" s="63">
        <f>E4*0.5</f>
        <v>3100</v>
      </c>
      <c r="F6" s="568">
        <f>F4*0.5</f>
        <v>190450.98113553118</v>
      </c>
      <c r="G6" s="77" t="s">
        <v>600</v>
      </c>
      <c r="H6" s="63">
        <f>H4/2</f>
        <v>3100</v>
      </c>
      <c r="I6" s="568">
        <f t="shared" si="0"/>
        <v>194394.09167123283</v>
      </c>
      <c r="K6" s="653" t="s">
        <v>309</v>
      </c>
      <c r="L6" s="162">
        <v>58.352899999999998</v>
      </c>
      <c r="N6" s="4" t="s">
        <v>15</v>
      </c>
      <c r="O6" s="117" t="s">
        <v>16</v>
      </c>
    </row>
    <row r="7" spans="1:15">
      <c r="D7" s="596"/>
      <c r="E7" s="161"/>
      <c r="F7" s="62"/>
      <c r="G7" s="161"/>
      <c r="K7" s="654" t="s">
        <v>310</v>
      </c>
      <c r="L7" s="298">
        <v>57.600200000000001</v>
      </c>
      <c r="N7" s="4" t="s">
        <v>17</v>
      </c>
      <c r="O7" s="117" t="s">
        <v>18</v>
      </c>
    </row>
    <row r="8" spans="1:15" ht="13">
      <c r="B8" s="182" t="s">
        <v>21</v>
      </c>
      <c r="D8" s="596"/>
      <c r="E8" s="62"/>
      <c r="F8" s="62"/>
      <c r="K8" s="581" t="s">
        <v>652</v>
      </c>
      <c r="L8" s="162">
        <v>69.470600000000005</v>
      </c>
      <c r="N8" s="4" t="s">
        <v>19</v>
      </c>
      <c r="O8" s="117" t="s">
        <v>20</v>
      </c>
    </row>
    <row r="9" spans="1:15">
      <c r="B9" s="183" t="s">
        <v>756</v>
      </c>
      <c r="K9" s="582" t="s">
        <v>651</v>
      </c>
      <c r="L9" s="583">
        <v>62.707771506849305</v>
      </c>
      <c r="N9" s="4"/>
      <c r="O9" s="117"/>
    </row>
    <row r="10" spans="1:15">
      <c r="B10" s="183" t="s">
        <v>350</v>
      </c>
      <c r="K10" s="4"/>
      <c r="L10" s="117"/>
    </row>
    <row r="11" spans="1:15">
      <c r="B11" s="148"/>
    </row>
    <row r="12" spans="1:15" ht="13">
      <c r="B12" s="184" t="s">
        <v>22</v>
      </c>
    </row>
    <row r="13" spans="1:15">
      <c r="B13" s="156" t="s">
        <v>757</v>
      </c>
    </row>
    <row r="14" spans="1:15">
      <c r="B14" s="9" t="s">
        <v>403</v>
      </c>
    </row>
    <row r="15" spans="1:15">
      <c r="B15" s="9" t="s">
        <v>758</v>
      </c>
    </row>
    <row r="16" spans="1:15">
      <c r="B16" s="9" t="s">
        <v>351</v>
      </c>
    </row>
    <row r="17" spans="2:5">
      <c r="B17" s="9" t="s">
        <v>317</v>
      </c>
    </row>
    <row r="18" spans="2:5">
      <c r="B18" s="219" t="s">
        <v>601</v>
      </c>
    </row>
    <row r="19" spans="2:5">
      <c r="B19" s="219"/>
    </row>
    <row r="20" spans="2:5" ht="13">
      <c r="B20" s="184" t="s">
        <v>405</v>
      </c>
      <c r="C20" s="110" t="s">
        <v>595</v>
      </c>
    </row>
    <row r="21" spans="2:5" ht="13">
      <c r="B21" s="224" t="s">
        <v>353</v>
      </c>
    </row>
    <row r="22" spans="2:5">
      <c r="B22" s="224" t="s">
        <v>354</v>
      </c>
    </row>
    <row r="23" spans="2:5">
      <c r="B23" s="224"/>
    </row>
    <row r="24" spans="2:5" ht="13">
      <c r="B24" s="498" t="s">
        <v>606</v>
      </c>
    </row>
    <row r="25" spans="2:5" ht="13">
      <c r="B25" s="498"/>
    </row>
    <row r="26" spans="2:5" ht="39.75" customHeight="1">
      <c r="B26" s="725" t="s">
        <v>607</v>
      </c>
      <c r="C26" s="726" t="s">
        <v>37</v>
      </c>
      <c r="D26" s="727">
        <f>Z72</f>
        <v>70280.600580000013</v>
      </c>
      <c r="E26" s="511" t="str">
        <f>'ВД7 Сверка'!B33</f>
        <v>Общий комментарий</v>
      </c>
    </row>
    <row r="27" spans="2:5">
      <c r="B27" s="185" t="s">
        <v>602</v>
      </c>
      <c r="C27" s="545" t="s">
        <v>28</v>
      </c>
      <c r="D27" s="62">
        <f>Y72</f>
        <v>91204.54224000001</v>
      </c>
    </row>
    <row r="28" spans="2:5" ht="13">
      <c r="B28" s="185" t="s">
        <v>563</v>
      </c>
      <c r="C28" s="135"/>
      <c r="D28" s="62">
        <f>D27-D26</f>
        <v>20923.941659999997</v>
      </c>
      <c r="E28" s="511" t="str">
        <f>IF(ABS(D28)&gt;$I$6, "Не соответствует ожиданиям, более 1/2 от 25% ДО", "Соответствует ожиданиям, менее 1/2 от 25% ДО")</f>
        <v>Соответствует ожиданиям, менее 1/2 от 25% ДО</v>
      </c>
    </row>
    <row r="29" spans="2:5" ht="13">
      <c r="B29" s="311" t="s">
        <v>564</v>
      </c>
      <c r="C29" s="78"/>
      <c r="D29" s="201">
        <f>D28/D27</f>
        <v>0.22941775865657801</v>
      </c>
      <c r="E29" s="504" t="str">
        <f>B31</f>
        <v>Примечание 1</v>
      </c>
    </row>
    <row r="30" spans="2:5" ht="13">
      <c r="B30" s="185"/>
      <c r="C30" s="135"/>
      <c r="D30" s="197"/>
      <c r="E30" s="504"/>
    </row>
    <row r="31" spans="2:5" ht="13">
      <c r="B31" s="522" t="s">
        <v>406</v>
      </c>
      <c r="C31" s="135"/>
      <c r="D31" s="197"/>
      <c r="E31" s="504"/>
    </row>
    <row r="32" spans="2:5" ht="13">
      <c r="B32" s="185" t="s">
        <v>776</v>
      </c>
      <c r="C32" s="135"/>
      <c r="D32" s="197"/>
      <c r="E32" s="504"/>
    </row>
    <row r="33" spans="1:30">
      <c r="B33" s="135" t="s">
        <v>777</v>
      </c>
    </row>
    <row r="34" spans="1:30" ht="13">
      <c r="B34" s="498"/>
    </row>
    <row r="35" spans="1:30" ht="13">
      <c r="B35" s="186" t="s">
        <v>498</v>
      </c>
    </row>
    <row r="36" spans="1:30" ht="13">
      <c r="N36" s="188" t="s">
        <v>37</v>
      </c>
      <c r="P36" s="61" t="s">
        <v>15</v>
      </c>
      <c r="Q36" s="188" t="s">
        <v>37</v>
      </c>
      <c r="S36" s="188" t="s">
        <v>37</v>
      </c>
      <c r="T36" s="188" t="s">
        <v>37</v>
      </c>
      <c r="U36" s="187" t="s">
        <v>290</v>
      </c>
      <c r="V36" s="186"/>
    </row>
    <row r="37" spans="1:30" ht="26">
      <c r="A37" s="187" t="s">
        <v>290</v>
      </c>
      <c r="B37" s="140" t="s">
        <v>71</v>
      </c>
      <c r="C37" s="140" t="s">
        <v>72</v>
      </c>
      <c r="D37" s="140" t="s">
        <v>73</v>
      </c>
      <c r="E37" s="140" t="s">
        <v>74</v>
      </c>
      <c r="F37" s="141" t="s">
        <v>75</v>
      </c>
      <c r="G37" s="140" t="s">
        <v>76</v>
      </c>
      <c r="H37" s="140" t="s">
        <v>77</v>
      </c>
      <c r="I37" s="140" t="s">
        <v>78</v>
      </c>
      <c r="J37" s="134" t="s">
        <v>79</v>
      </c>
      <c r="K37" s="134" t="s">
        <v>80</v>
      </c>
      <c r="L37" s="134" t="s">
        <v>81</v>
      </c>
      <c r="M37" s="138" t="s">
        <v>82</v>
      </c>
      <c r="N37" s="128" t="s">
        <v>369</v>
      </c>
      <c r="P37" s="189" t="s">
        <v>368</v>
      </c>
      <c r="Q37" s="128" t="s">
        <v>355</v>
      </c>
      <c r="S37" s="190" t="s">
        <v>356</v>
      </c>
      <c r="T37" s="190" t="s">
        <v>357</v>
      </c>
      <c r="V37" s="322" t="s">
        <v>551</v>
      </c>
      <c r="W37" s="322" t="s">
        <v>552</v>
      </c>
      <c r="X37" s="322" t="s">
        <v>553</v>
      </c>
      <c r="Y37" s="323" t="s">
        <v>592</v>
      </c>
      <c r="Z37" s="468" t="s">
        <v>597</v>
      </c>
      <c r="AA37" s="468" t="s">
        <v>598</v>
      </c>
      <c r="AB37" s="468" t="s">
        <v>599</v>
      </c>
      <c r="AD37" s="439" t="s">
        <v>555</v>
      </c>
    </row>
    <row r="38" spans="1:30" ht="13">
      <c r="B38" s="225">
        <v>3201120200</v>
      </c>
      <c r="C38" s="51" t="s">
        <v>126</v>
      </c>
      <c r="D38" s="211">
        <v>9247.3869400000003</v>
      </c>
      <c r="E38" s="211">
        <v>11008.058730000001</v>
      </c>
      <c r="F38" s="211">
        <v>11761.532730000001</v>
      </c>
      <c r="G38" s="212">
        <v>9623.5870599999998</v>
      </c>
      <c r="H38" s="212">
        <v>9544.3049800000008</v>
      </c>
      <c r="I38" s="212">
        <v>8868.6147400000009</v>
      </c>
      <c r="J38" s="212">
        <v>9711.7675799999997</v>
      </c>
      <c r="K38" s="212">
        <v>14021.27288</v>
      </c>
      <c r="L38" s="212">
        <v>4412.2960599999997</v>
      </c>
      <c r="M38" s="212">
        <f>SUM(D38:L38)</f>
        <v>88198.8217</v>
      </c>
      <c r="N38" s="290">
        <f>M38/$M$72</f>
        <v>0.47860137286674631</v>
      </c>
      <c r="O38" s="288"/>
      <c r="P38" s="49">
        <v>90714.618649999989</v>
      </c>
      <c r="Q38" s="194">
        <f>P38/$P$72</f>
        <v>0.49576241175130259</v>
      </c>
      <c r="R38" s="49"/>
      <c r="S38" s="49">
        <f>M38-P38</f>
        <v>-2515.796949999989</v>
      </c>
      <c r="T38" s="290">
        <f>N38-Q38</f>
        <v>-1.7161038884556279E-2</v>
      </c>
      <c r="U38" s="397"/>
      <c r="V38" s="49">
        <v>10924.24473</v>
      </c>
      <c r="W38" s="49">
        <v>9757.0249199999998</v>
      </c>
      <c r="X38" s="49">
        <v>8704.4266400000015</v>
      </c>
      <c r="Y38" s="49">
        <f>SUM(V38:X38)</f>
        <v>29385.696290000004</v>
      </c>
      <c r="Z38" s="171">
        <f>SUM(J38:L38)</f>
        <v>28145.336520000001</v>
      </c>
      <c r="AA38" s="49">
        <f>Y38-Z38</f>
        <v>1240.3597700000028</v>
      </c>
      <c r="AB38" s="290">
        <f>AA38/Y38</f>
        <v>4.2209643690563119E-2</v>
      </c>
      <c r="AD38" s="49">
        <f>Y38+M38</f>
        <v>117584.51799000001</v>
      </c>
    </row>
    <row r="39" spans="1:30" s="116" customFormat="1" ht="13">
      <c r="B39" s="268">
        <v>3205010903</v>
      </c>
      <c r="C39" s="51" t="s">
        <v>196</v>
      </c>
      <c r="D39" s="211">
        <v>1414.6608899999999</v>
      </c>
      <c r="E39" s="211">
        <v>2279.5312899999999</v>
      </c>
      <c r="F39" s="211">
        <v>1550.7405700000002</v>
      </c>
      <c r="G39" s="212">
        <v>2623.2710099999999</v>
      </c>
      <c r="H39" s="212">
        <v>2556.05456</v>
      </c>
      <c r="I39" s="212">
        <v>1584.1998100000001</v>
      </c>
      <c r="J39" s="212">
        <v>2724.0195299999996</v>
      </c>
      <c r="K39" s="212">
        <v>2500.4060800000002</v>
      </c>
      <c r="L39" s="212">
        <v>2541.54592</v>
      </c>
      <c r="M39" s="212">
        <f t="shared" ref="M39:M71" si="1">SUM(D39:L39)</f>
        <v>19774.429660000002</v>
      </c>
      <c r="N39" s="559">
        <f t="shared" ref="N39:N71" si="2">M39/$M$72</f>
        <v>0.10730380520415624</v>
      </c>
      <c r="O39" s="289"/>
      <c r="P39" s="137">
        <v>16082.396400000001</v>
      </c>
      <c r="Q39" s="199">
        <f t="shared" ref="Q39:Q71" si="3">P39/$P$72</f>
        <v>8.7891541017953323E-2</v>
      </c>
      <c r="R39" s="137"/>
      <c r="S39" s="137">
        <f t="shared" ref="S39:S71" si="4">M39-P39</f>
        <v>3692.0332600000002</v>
      </c>
      <c r="T39" s="559">
        <f t="shared" ref="T39:T71" si="5">N39-Q39</f>
        <v>1.9412264186202913E-2</v>
      </c>
      <c r="U39" s="397"/>
      <c r="V39" s="137">
        <v>2613.87291</v>
      </c>
      <c r="W39" s="137">
        <v>3500.6769399999998</v>
      </c>
      <c r="X39" s="137">
        <v>7900.2058899999993</v>
      </c>
      <c r="Y39" s="137">
        <f t="shared" ref="Y39:Y71" si="6">SUM(V39:X39)</f>
        <v>14014.755739999999</v>
      </c>
      <c r="Z39" s="171">
        <f t="shared" ref="Z39:Z40" si="7">SUM(J39:L39)</f>
        <v>7765.9715300000007</v>
      </c>
      <c r="AA39" s="137">
        <f t="shared" ref="AA39:AA72" si="8">Y39-Z39</f>
        <v>6248.784209999998</v>
      </c>
      <c r="AB39" s="559">
        <f t="shared" ref="AB39:AB72" si="9">AA39/Y39</f>
        <v>0.4458717887008995</v>
      </c>
      <c r="AD39" s="137">
        <f t="shared" ref="AD39:AD72" si="10">Y39+M39</f>
        <v>33789.185400000002</v>
      </c>
    </row>
    <row r="40" spans="1:30" ht="13">
      <c r="B40" s="225">
        <v>3201110015</v>
      </c>
      <c r="C40" s="51" t="s">
        <v>108</v>
      </c>
      <c r="D40" s="211">
        <v>1853.3917099999999</v>
      </c>
      <c r="E40" s="211">
        <v>1894.2198500000002</v>
      </c>
      <c r="F40" s="211">
        <v>1783.2341699999999</v>
      </c>
      <c r="G40" s="212">
        <v>1865.12015</v>
      </c>
      <c r="H40" s="212">
        <v>2342.9171699999997</v>
      </c>
      <c r="I40" s="212">
        <v>2491.9341899999999</v>
      </c>
      <c r="J40" s="212">
        <v>2533.7493399999998</v>
      </c>
      <c r="K40" s="212">
        <v>2552.0974000000001</v>
      </c>
      <c r="L40" s="212">
        <v>2039.1964699999999</v>
      </c>
      <c r="M40" s="212">
        <f t="shared" si="1"/>
        <v>19355.86045</v>
      </c>
      <c r="N40" s="290">
        <f t="shared" si="2"/>
        <v>0.10503248462770742</v>
      </c>
      <c r="O40" s="288"/>
      <c r="P40" s="49">
        <v>18794.477239999997</v>
      </c>
      <c r="Q40" s="197">
        <f t="shared" si="3"/>
        <v>0.10271327270918715</v>
      </c>
      <c r="R40" s="49"/>
      <c r="S40" s="49">
        <f t="shared" si="4"/>
        <v>561.3832100000036</v>
      </c>
      <c r="T40" s="290">
        <f t="shared" si="5"/>
        <v>2.3192119185202753E-3</v>
      </c>
      <c r="U40" s="397"/>
      <c r="V40" s="49">
        <v>1982.0629199999998</v>
      </c>
      <c r="W40" s="49">
        <v>1816.80081</v>
      </c>
      <c r="X40" s="49">
        <v>1964.3995500000001</v>
      </c>
      <c r="Y40" s="49">
        <f t="shared" si="6"/>
        <v>5763.2632800000001</v>
      </c>
      <c r="Z40" s="171">
        <f t="shared" si="7"/>
        <v>7125.0432099999998</v>
      </c>
      <c r="AA40" s="49">
        <f t="shared" si="8"/>
        <v>-1361.7799299999997</v>
      </c>
      <c r="AB40" s="290">
        <f t="shared" si="9"/>
        <v>-0.23628626072414996</v>
      </c>
      <c r="AD40" s="49">
        <f t="shared" si="10"/>
        <v>25119.123729999999</v>
      </c>
    </row>
    <row r="41" spans="1:30" s="116" customFormat="1" ht="13">
      <c r="B41" s="268">
        <v>3201110020</v>
      </c>
      <c r="C41" s="51" t="s">
        <v>109</v>
      </c>
      <c r="D41" s="211">
        <v>5079.6098000000011</v>
      </c>
      <c r="E41" s="211">
        <v>4653.0829499999991</v>
      </c>
      <c r="F41" s="211">
        <v>4071.7838899999997</v>
      </c>
      <c r="G41" s="212">
        <v>2508.3441699999998</v>
      </c>
      <c r="H41" s="212">
        <v>1035.87294</v>
      </c>
      <c r="I41" s="212">
        <v>244.89027999999999</v>
      </c>
      <c r="J41" s="212">
        <v>266.11824000000001</v>
      </c>
      <c r="K41" s="212">
        <v>177.78111999999999</v>
      </c>
      <c r="L41" s="212">
        <v>948.88906000000009</v>
      </c>
      <c r="M41" s="212">
        <f t="shared" si="1"/>
        <v>18986.372450000003</v>
      </c>
      <c r="N41" s="559">
        <f t="shared" si="2"/>
        <v>0.10302749793231501</v>
      </c>
      <c r="O41" s="288"/>
      <c r="P41" s="137">
        <v>17577.023859999998</v>
      </c>
      <c r="Q41" s="199">
        <f t="shared" si="3"/>
        <v>9.6059795763070097E-2</v>
      </c>
      <c r="R41" s="137"/>
      <c r="S41" s="137">
        <f t="shared" si="4"/>
        <v>1409.3485900000051</v>
      </c>
      <c r="T41" s="559">
        <f t="shared" si="5"/>
        <v>6.9677021692449159E-3</v>
      </c>
      <c r="U41" s="397"/>
      <c r="V41" s="137">
        <v>3317.7765899999999</v>
      </c>
      <c r="W41" s="137">
        <v>5527.2019900000005</v>
      </c>
      <c r="X41" s="137">
        <v>6678.0048699999988</v>
      </c>
      <c r="Y41" s="137">
        <f t="shared" si="6"/>
        <v>15522.98345</v>
      </c>
      <c r="Z41" s="137">
        <f>SUM(D41:F41)</f>
        <v>13804.476640000001</v>
      </c>
      <c r="AA41" s="137">
        <f t="shared" si="8"/>
        <v>1718.5068099999989</v>
      </c>
      <c r="AB41" s="559">
        <f t="shared" si="9"/>
        <v>0.11070725002931051</v>
      </c>
      <c r="AC41" s="266" t="str">
        <f>B76</f>
        <v>Комментарий 1</v>
      </c>
      <c r="AD41" s="137">
        <f t="shared" si="10"/>
        <v>34509.355900000002</v>
      </c>
    </row>
    <row r="42" spans="1:30" ht="13">
      <c r="B42" s="225">
        <v>3205050015</v>
      </c>
      <c r="C42" s="51" t="s">
        <v>209</v>
      </c>
      <c r="D42" s="211">
        <v>1078.4844900000001</v>
      </c>
      <c r="E42" s="211">
        <v>1106.3280199999999</v>
      </c>
      <c r="F42" s="211">
        <v>1142.9962</v>
      </c>
      <c r="G42" s="212">
        <v>1548.24704</v>
      </c>
      <c r="H42" s="212">
        <v>2116.36634</v>
      </c>
      <c r="I42" s="212">
        <v>1297.4934900000001</v>
      </c>
      <c r="J42" s="212">
        <v>1425.3690800000002</v>
      </c>
      <c r="K42" s="212">
        <v>1305.0599499999998</v>
      </c>
      <c r="L42" s="212">
        <v>1600.5034699999999</v>
      </c>
      <c r="M42" s="212">
        <f>SUM(D42:L42)</f>
        <v>12620.84808</v>
      </c>
      <c r="N42" s="290">
        <f t="shared" si="2"/>
        <v>6.8485667964775523E-2</v>
      </c>
      <c r="O42" s="288"/>
      <c r="P42" s="49">
        <v>9671.79133</v>
      </c>
      <c r="Q42" s="197">
        <f t="shared" si="3"/>
        <v>5.2857088163663232E-2</v>
      </c>
      <c r="R42" s="49"/>
      <c r="S42" s="49">
        <f t="shared" si="4"/>
        <v>2949.0567499999997</v>
      </c>
      <c r="T42" s="290">
        <f t="shared" si="5"/>
        <v>1.5628579801112291E-2</v>
      </c>
      <c r="U42" s="397"/>
      <c r="V42" s="49">
        <v>2772.7144000000003</v>
      </c>
      <c r="W42" s="49">
        <v>2574.5173199999999</v>
      </c>
      <c r="X42" s="49">
        <v>1847.5506799999998</v>
      </c>
      <c r="Y42" s="49">
        <f t="shared" si="6"/>
        <v>7194.7824000000001</v>
      </c>
      <c r="Z42" s="171">
        <f t="shared" ref="Z42:Z71" si="11">SUM(J42:L42)</f>
        <v>4330.9324999999999</v>
      </c>
      <c r="AA42" s="49">
        <f t="shared" si="8"/>
        <v>2863.8499000000002</v>
      </c>
      <c r="AB42" s="290">
        <f t="shared" si="9"/>
        <v>0.39804538077482371</v>
      </c>
      <c r="AD42" s="49">
        <f t="shared" si="10"/>
        <v>19815.63048</v>
      </c>
    </row>
    <row r="43" spans="1:30" ht="13">
      <c r="B43" s="225">
        <v>3201110030</v>
      </c>
      <c r="C43" s="51" t="s">
        <v>110</v>
      </c>
      <c r="D43" s="211">
        <v>940.23437999999987</v>
      </c>
      <c r="E43" s="211">
        <v>860.33915000000002</v>
      </c>
      <c r="F43" s="211">
        <v>982.96789999999999</v>
      </c>
      <c r="G43" s="212">
        <v>1004.43459</v>
      </c>
      <c r="H43" s="212">
        <v>960.17984000000001</v>
      </c>
      <c r="I43" s="212">
        <v>839.56335000000001</v>
      </c>
      <c r="J43" s="212">
        <v>780.95027999999991</v>
      </c>
      <c r="K43" s="212">
        <v>864.87082999999984</v>
      </c>
      <c r="L43" s="212">
        <v>806.04810000000009</v>
      </c>
      <c r="M43" s="212">
        <f t="shared" si="1"/>
        <v>8039.58842</v>
      </c>
      <c r="N43" s="290">
        <f>M43/$M$72</f>
        <v>4.3625957591399381E-2</v>
      </c>
      <c r="O43" s="288"/>
      <c r="P43" s="49">
        <v>8958.4153999999999</v>
      </c>
      <c r="Q43" s="197">
        <f t="shared" si="3"/>
        <v>4.8958433494710067E-2</v>
      </c>
      <c r="R43" s="49"/>
      <c r="S43" s="49">
        <f t="shared" si="4"/>
        <v>-918.82697999999982</v>
      </c>
      <c r="T43" s="290">
        <f t="shared" si="5"/>
        <v>-5.3324759033106864E-3</v>
      </c>
      <c r="U43" s="397"/>
      <c r="V43" s="49">
        <v>725.72514999999999</v>
      </c>
      <c r="W43" s="49">
        <v>646.78143</v>
      </c>
      <c r="X43" s="49">
        <v>494.12809999999996</v>
      </c>
      <c r="Y43" s="49">
        <f t="shared" si="6"/>
        <v>1866.6346799999999</v>
      </c>
      <c r="Z43" s="171">
        <f t="shared" si="11"/>
        <v>2451.8692099999998</v>
      </c>
      <c r="AA43" s="49">
        <f t="shared" si="8"/>
        <v>-585.23452999999995</v>
      </c>
      <c r="AB43" s="290">
        <f t="shared" si="9"/>
        <v>-0.31352387066975523</v>
      </c>
      <c r="AD43" s="49">
        <f t="shared" si="10"/>
        <v>9906.2230999999992</v>
      </c>
    </row>
    <row r="44" spans="1:30" s="116" customFormat="1" ht="13">
      <c r="B44" s="268">
        <v>3205050020</v>
      </c>
      <c r="C44" s="51" t="s">
        <v>210</v>
      </c>
      <c r="D44" s="211">
        <v>111.23137</v>
      </c>
      <c r="E44" s="211">
        <v>348.18405000000001</v>
      </c>
      <c r="F44" s="211">
        <v>340.85454999999996</v>
      </c>
      <c r="G44" s="212">
        <v>447.36821999999995</v>
      </c>
      <c r="H44" s="212">
        <v>651.56845999999996</v>
      </c>
      <c r="I44" s="212">
        <v>577.07315000000006</v>
      </c>
      <c r="J44" s="212">
        <v>383.86273</v>
      </c>
      <c r="K44" s="212">
        <v>707.11842000000001</v>
      </c>
      <c r="L44" s="212">
        <v>469.62621000000001</v>
      </c>
      <c r="M44" s="212">
        <f t="shared" si="1"/>
        <v>4036.8871599999998</v>
      </c>
      <c r="N44" s="559">
        <f t="shared" si="2"/>
        <v>2.1905731841360195E-2</v>
      </c>
      <c r="O44" s="288"/>
      <c r="P44" s="137">
        <v>2913.7335399999993</v>
      </c>
      <c r="Q44" s="199">
        <f t="shared" si="3"/>
        <v>1.592377930358042E-2</v>
      </c>
      <c r="R44" s="137"/>
      <c r="S44" s="137">
        <f t="shared" si="4"/>
        <v>1123.1536200000005</v>
      </c>
      <c r="T44" s="559">
        <f t="shared" si="5"/>
        <v>5.9819525377797743E-3</v>
      </c>
      <c r="U44" s="397"/>
      <c r="V44" s="137">
        <v>1466.24485</v>
      </c>
      <c r="W44" s="137">
        <v>2747.9714300000001</v>
      </c>
      <c r="X44" s="137">
        <v>2777.71542</v>
      </c>
      <c r="Y44" s="137">
        <f t="shared" si="6"/>
        <v>6991.931700000001</v>
      </c>
      <c r="Z44" s="171">
        <f t="shared" si="11"/>
        <v>1560.60736</v>
      </c>
      <c r="AA44" s="137">
        <f t="shared" si="8"/>
        <v>5431.324340000001</v>
      </c>
      <c r="AB44" s="559">
        <f t="shared" si="9"/>
        <v>0.776798826567485</v>
      </c>
      <c r="AD44" s="137">
        <f t="shared" si="10"/>
        <v>11028.818860000001</v>
      </c>
    </row>
    <row r="45" spans="1:30" ht="13">
      <c r="B45" s="225">
        <v>3208000200</v>
      </c>
      <c r="C45" s="51" t="s">
        <v>236</v>
      </c>
      <c r="D45" s="211">
        <v>0</v>
      </c>
      <c r="E45" s="211">
        <v>0</v>
      </c>
      <c r="F45" s="211">
        <v>16.66</v>
      </c>
      <c r="G45" s="212">
        <v>20</v>
      </c>
      <c r="H45" s="212">
        <v>0</v>
      </c>
      <c r="I45" s="212">
        <v>1231.7360000000001</v>
      </c>
      <c r="J45" s="212">
        <v>0</v>
      </c>
      <c r="K45" s="212">
        <v>1352.4449999999999</v>
      </c>
      <c r="L45" s="212">
        <v>23.248000000000001</v>
      </c>
      <c r="M45" s="212">
        <f t="shared" si="1"/>
        <v>2644.0890000000004</v>
      </c>
      <c r="N45" s="290">
        <f t="shared" si="2"/>
        <v>1.4347863168583153E-2</v>
      </c>
      <c r="O45" s="288"/>
      <c r="P45" s="49">
        <v>7960.2160399999993</v>
      </c>
      <c r="Q45" s="197">
        <f t="shared" si="3"/>
        <v>4.3503196736988138E-2</v>
      </c>
      <c r="R45" s="49"/>
      <c r="S45" s="49">
        <f t="shared" si="4"/>
        <v>-5316.1270399999994</v>
      </c>
      <c r="T45" s="290">
        <f t="shared" si="5"/>
        <v>-2.9155333568404985E-2</v>
      </c>
      <c r="U45" s="397"/>
      <c r="V45" s="49">
        <v>160</v>
      </c>
      <c r="W45" s="49">
        <v>265.2</v>
      </c>
      <c r="X45" s="49">
        <v>240.1</v>
      </c>
      <c r="Y45" s="49">
        <f t="shared" si="6"/>
        <v>665.3</v>
      </c>
      <c r="Z45" s="171">
        <f t="shared" si="11"/>
        <v>1375.693</v>
      </c>
      <c r="AA45" s="49">
        <f t="shared" si="8"/>
        <v>-710.39300000000003</v>
      </c>
      <c r="AB45" s="290">
        <f t="shared" si="9"/>
        <v>-1.0677784458139186</v>
      </c>
      <c r="AD45" s="49">
        <f>Y45+M45</f>
        <v>3309.3890000000001</v>
      </c>
    </row>
    <row r="46" spans="1:30" ht="13">
      <c r="B46" s="225">
        <v>3205040140</v>
      </c>
      <c r="C46" s="54" t="s">
        <v>205</v>
      </c>
      <c r="D46" s="211">
        <v>12.74</v>
      </c>
      <c r="E46" s="211">
        <v>167.5</v>
      </c>
      <c r="F46" s="211">
        <v>210</v>
      </c>
      <c r="G46" s="212">
        <v>136.96101000000002</v>
      </c>
      <c r="H46" s="212">
        <v>238.55885999999998</v>
      </c>
      <c r="I46" s="212">
        <v>265.98733000000004</v>
      </c>
      <c r="J46" s="212">
        <v>150.19492000000002</v>
      </c>
      <c r="K46" s="212">
        <v>31.08474</v>
      </c>
      <c r="L46" s="212">
        <v>271.78285</v>
      </c>
      <c r="M46" s="212">
        <f t="shared" si="1"/>
        <v>1484.8097100000002</v>
      </c>
      <c r="N46" s="290">
        <f t="shared" si="2"/>
        <v>8.0571594036598741E-3</v>
      </c>
      <c r="O46" s="289"/>
      <c r="P46" s="49">
        <v>1611.6563700000002</v>
      </c>
      <c r="Q46" s="197">
        <f t="shared" si="3"/>
        <v>8.8078267956820631E-3</v>
      </c>
      <c r="R46" s="49"/>
      <c r="S46" s="49">
        <f t="shared" si="4"/>
        <v>-126.84665999999993</v>
      </c>
      <c r="T46" s="290">
        <f t="shared" si="5"/>
        <v>-7.5066739202218902E-4</v>
      </c>
      <c r="U46" s="397"/>
      <c r="V46" s="49">
        <v>542.34069999999997</v>
      </c>
      <c r="W46" s="49">
        <v>570.61941000000002</v>
      </c>
      <c r="X46" s="49">
        <v>1104.7056499999999</v>
      </c>
      <c r="Y46" s="49">
        <f t="shared" si="6"/>
        <v>2217.6657599999999</v>
      </c>
      <c r="Z46" s="171">
        <f t="shared" si="11"/>
        <v>453.06251000000003</v>
      </c>
      <c r="AA46" s="49">
        <f t="shared" si="8"/>
        <v>1764.6032499999999</v>
      </c>
      <c r="AB46" s="290">
        <f t="shared" si="9"/>
        <v>0.79570297825223224</v>
      </c>
      <c r="AD46" s="49">
        <f t="shared" si="10"/>
        <v>3702.4754700000003</v>
      </c>
    </row>
    <row r="47" spans="1:30" ht="13">
      <c r="B47" s="225">
        <v>3205040150</v>
      </c>
      <c r="C47" s="54" t="s">
        <v>207</v>
      </c>
      <c r="D47" s="211">
        <v>0</v>
      </c>
      <c r="E47" s="211">
        <v>359.76101</v>
      </c>
      <c r="F47" s="211">
        <v>220</v>
      </c>
      <c r="G47" s="212">
        <v>0</v>
      </c>
      <c r="H47" s="212">
        <v>223.88</v>
      </c>
      <c r="I47" s="212">
        <v>290.5</v>
      </c>
      <c r="J47" s="212">
        <v>220</v>
      </c>
      <c r="K47" s="212">
        <v>84.1</v>
      </c>
      <c r="L47" s="212">
        <v>32</v>
      </c>
      <c r="M47" s="212">
        <f t="shared" si="1"/>
        <v>1430.2410099999997</v>
      </c>
      <c r="N47" s="290">
        <f t="shared" si="2"/>
        <v>7.7610482512412262E-3</v>
      </c>
      <c r="O47" s="288"/>
      <c r="P47" s="49">
        <v>96.2</v>
      </c>
      <c r="Q47" s="197">
        <f t="shared" si="3"/>
        <v>5.2574044536839724E-4</v>
      </c>
      <c r="R47" s="288"/>
      <c r="S47" s="49">
        <f t="shared" si="4"/>
        <v>1334.0410099999997</v>
      </c>
      <c r="T47" s="290">
        <f t="shared" si="5"/>
        <v>7.2353078058728293E-3</v>
      </c>
      <c r="U47" s="397"/>
      <c r="V47" s="49">
        <v>329.37288000000001</v>
      </c>
      <c r="W47" s="49">
        <v>139.44457999999997</v>
      </c>
      <c r="X47" s="49">
        <v>4.5</v>
      </c>
      <c r="Y47" s="49">
        <f t="shared" si="6"/>
        <v>473.31745999999998</v>
      </c>
      <c r="Z47" s="171">
        <f t="shared" si="11"/>
        <v>336.1</v>
      </c>
      <c r="AA47" s="49">
        <f t="shared" si="8"/>
        <v>137.21745999999996</v>
      </c>
      <c r="AB47" s="290">
        <f t="shared" si="9"/>
        <v>0.28990576430457471</v>
      </c>
      <c r="AD47" s="49">
        <f t="shared" si="10"/>
        <v>1903.5584699999997</v>
      </c>
    </row>
    <row r="48" spans="1:30" ht="13">
      <c r="B48" s="225">
        <v>3205050010</v>
      </c>
      <c r="C48" s="51" t="s">
        <v>208</v>
      </c>
      <c r="D48" s="211">
        <v>10.297750000000001</v>
      </c>
      <c r="E48" s="211">
        <v>82.180509999999998</v>
      </c>
      <c r="F48" s="211">
        <v>114.73867999999999</v>
      </c>
      <c r="G48" s="212">
        <v>186.83454999999998</v>
      </c>
      <c r="H48" s="212">
        <v>165.46960999999999</v>
      </c>
      <c r="I48" s="212">
        <v>167.66451999999998</v>
      </c>
      <c r="J48" s="212">
        <v>174.19551999999999</v>
      </c>
      <c r="K48" s="212">
        <v>283.78235000000001</v>
      </c>
      <c r="L48" s="212">
        <v>137.91014000000001</v>
      </c>
      <c r="M48" s="212">
        <f t="shared" si="1"/>
        <v>1323.0736299999999</v>
      </c>
      <c r="N48" s="290">
        <f t="shared" si="2"/>
        <v>7.1795160470016738E-3</v>
      </c>
      <c r="O48" s="289"/>
      <c r="P48" s="49">
        <v>1459.8259499999999</v>
      </c>
      <c r="Q48" s="197">
        <f t="shared" si="3"/>
        <v>7.9780617995150061E-3</v>
      </c>
      <c r="R48" s="49"/>
      <c r="S48" s="49">
        <f t="shared" si="4"/>
        <v>-136.75232000000005</v>
      </c>
      <c r="T48" s="290">
        <f t="shared" si="5"/>
        <v>-7.9854575251333236E-4</v>
      </c>
      <c r="U48" s="397"/>
      <c r="V48" s="49">
        <v>876.87594999999999</v>
      </c>
      <c r="W48" s="49">
        <v>152.04635999999999</v>
      </c>
      <c r="X48" s="49">
        <v>224.65362999999999</v>
      </c>
      <c r="Y48" s="49">
        <f t="shared" si="6"/>
        <v>1253.5759399999999</v>
      </c>
      <c r="Z48" s="171">
        <f t="shared" si="11"/>
        <v>595.88801000000001</v>
      </c>
      <c r="AA48" s="49">
        <f t="shared" si="8"/>
        <v>657.68792999999994</v>
      </c>
      <c r="AB48" s="290">
        <f t="shared" si="9"/>
        <v>0.52464945203080393</v>
      </c>
      <c r="AD48" s="49">
        <f t="shared" si="10"/>
        <v>2576.6495699999996</v>
      </c>
    </row>
    <row r="49" spans="2:30" ht="13">
      <c r="B49" s="225">
        <v>3205040115</v>
      </c>
      <c r="C49" s="54" t="s">
        <v>202</v>
      </c>
      <c r="D49" s="211">
        <v>42.967839999999995</v>
      </c>
      <c r="E49" s="211">
        <v>142.18570000000003</v>
      </c>
      <c r="F49" s="211">
        <v>0</v>
      </c>
      <c r="G49" s="212">
        <v>218.77874</v>
      </c>
      <c r="H49" s="212">
        <v>203.15412000000001</v>
      </c>
      <c r="I49" s="212">
        <v>6.0824499999999997</v>
      </c>
      <c r="J49" s="212">
        <v>0</v>
      </c>
      <c r="K49" s="212">
        <v>111.31804</v>
      </c>
      <c r="L49" s="212">
        <v>150.30391</v>
      </c>
      <c r="M49" s="212">
        <f t="shared" si="1"/>
        <v>874.79079999999999</v>
      </c>
      <c r="N49" s="290">
        <f t="shared" si="2"/>
        <v>4.7469577232594623E-3</v>
      </c>
      <c r="O49" s="289"/>
      <c r="P49" s="49">
        <v>1387.3700699999999</v>
      </c>
      <c r="Q49" s="197">
        <f t="shared" si="3"/>
        <v>7.5820848076152232E-3</v>
      </c>
      <c r="R49" s="49"/>
      <c r="S49" s="49">
        <f t="shared" si="4"/>
        <v>-512.57926999999995</v>
      </c>
      <c r="T49" s="290">
        <f t="shared" si="5"/>
        <v>-2.8351270843557609E-3</v>
      </c>
      <c r="U49" s="397"/>
      <c r="V49" s="49">
        <v>655.12718999999993</v>
      </c>
      <c r="W49" s="49">
        <v>779.21900000000005</v>
      </c>
      <c r="X49" s="49">
        <v>387.24527</v>
      </c>
      <c r="Y49" s="49">
        <f t="shared" si="6"/>
        <v>1821.5914600000001</v>
      </c>
      <c r="Z49" s="171">
        <f t="shared" si="11"/>
        <v>261.62194999999997</v>
      </c>
      <c r="AA49" s="49">
        <f t="shared" si="8"/>
        <v>1559.9695100000001</v>
      </c>
      <c r="AB49" s="290">
        <f t="shared" si="9"/>
        <v>0.85637726364834843</v>
      </c>
      <c r="AD49" s="49">
        <f t="shared" si="10"/>
        <v>2696.3822600000003</v>
      </c>
    </row>
    <row r="50" spans="2:30" ht="13">
      <c r="B50" s="225">
        <v>3205050090</v>
      </c>
      <c r="C50" s="51" t="s">
        <v>216</v>
      </c>
      <c r="D50" s="211">
        <v>0</v>
      </c>
      <c r="E50" s="211">
        <v>91.033699999999996</v>
      </c>
      <c r="F50" s="211">
        <v>0</v>
      </c>
      <c r="G50" s="212">
        <v>76.657550000000001</v>
      </c>
      <c r="H50" s="212">
        <v>75.884309999999999</v>
      </c>
      <c r="I50" s="212">
        <v>321.41833000000003</v>
      </c>
      <c r="J50" s="212">
        <v>197.43806000000001</v>
      </c>
      <c r="K50" s="212">
        <v>55.994039999999998</v>
      </c>
      <c r="L50" s="212">
        <v>50.385449999999999</v>
      </c>
      <c r="M50" s="212">
        <f t="shared" si="1"/>
        <v>868.81143999999995</v>
      </c>
      <c r="N50" s="290">
        <f t="shared" si="2"/>
        <v>4.7145113725066325E-3</v>
      </c>
      <c r="O50" s="288"/>
      <c r="P50" s="49">
        <v>832.31614999999999</v>
      </c>
      <c r="Q50" s="197">
        <f t="shared" si="3"/>
        <v>4.5486721765936565E-3</v>
      </c>
      <c r="R50" s="49"/>
      <c r="S50" s="49">
        <f t="shared" si="4"/>
        <v>36.495289999999954</v>
      </c>
      <c r="T50" s="290">
        <f t="shared" si="5"/>
        <v>1.6583919591297604E-4</v>
      </c>
      <c r="U50" s="397"/>
      <c r="V50" s="49">
        <v>119.19983000000001</v>
      </c>
      <c r="W50" s="49">
        <v>399.84037000000001</v>
      </c>
      <c r="X50" s="49">
        <v>142.85175000000001</v>
      </c>
      <c r="Y50" s="49">
        <f t="shared" si="6"/>
        <v>661.89195000000007</v>
      </c>
      <c r="Z50" s="171">
        <f t="shared" si="11"/>
        <v>303.81754999999998</v>
      </c>
      <c r="AA50" s="49">
        <f t="shared" si="8"/>
        <v>358.07440000000008</v>
      </c>
      <c r="AB50" s="290">
        <f t="shared" si="9"/>
        <v>0.54098618362105788</v>
      </c>
      <c r="AD50" s="49">
        <f t="shared" si="10"/>
        <v>1530.7033900000001</v>
      </c>
    </row>
    <row r="51" spans="2:30" ht="13">
      <c r="B51" s="225">
        <v>3304000014</v>
      </c>
      <c r="C51" s="51" t="s">
        <v>161</v>
      </c>
      <c r="D51" s="211">
        <v>97.461250000000007</v>
      </c>
      <c r="E51" s="211">
        <v>88.029509999999988</v>
      </c>
      <c r="F51" s="211">
        <v>97.461250000000007</v>
      </c>
      <c r="G51" s="212">
        <v>94.317340000000002</v>
      </c>
      <c r="H51" s="212">
        <v>97.461250000000007</v>
      </c>
      <c r="I51" s="212">
        <v>94.317340000000002</v>
      </c>
      <c r="J51" s="212">
        <v>97.461250000000007</v>
      </c>
      <c r="K51" s="212">
        <v>97.461250000000007</v>
      </c>
      <c r="L51" s="212">
        <v>94.317320000000009</v>
      </c>
      <c r="M51" s="212">
        <f t="shared" si="1"/>
        <v>858.28776000000005</v>
      </c>
      <c r="N51" s="290">
        <f t="shared" si="2"/>
        <v>4.6574057604527441E-3</v>
      </c>
      <c r="O51" s="288"/>
      <c r="P51" s="49">
        <v>617.60343</v>
      </c>
      <c r="Q51" s="197">
        <f t="shared" si="3"/>
        <v>3.3752505441709954E-3</v>
      </c>
      <c r="R51" s="49"/>
      <c r="S51" s="49">
        <f t="shared" si="4"/>
        <v>240.68433000000005</v>
      </c>
      <c r="T51" s="290">
        <f t="shared" si="5"/>
        <v>1.2821552162817487E-3</v>
      </c>
      <c r="U51" s="397"/>
      <c r="V51" s="49">
        <v>39.619419999999998</v>
      </c>
      <c r="W51" s="49">
        <v>38.341370000000005</v>
      </c>
      <c r="X51" s="49">
        <v>39.619419999999998</v>
      </c>
      <c r="Y51" s="49">
        <f t="shared" si="6"/>
        <v>117.58020999999999</v>
      </c>
      <c r="Z51" s="171">
        <f t="shared" si="11"/>
        <v>289.23982000000001</v>
      </c>
      <c r="AA51" s="49">
        <f t="shared" si="8"/>
        <v>-171.65961000000001</v>
      </c>
      <c r="AB51" s="290">
        <f t="shared" si="9"/>
        <v>-1.4599362426721301</v>
      </c>
      <c r="AD51" s="49">
        <f t="shared" si="10"/>
        <v>975.86797000000001</v>
      </c>
    </row>
    <row r="52" spans="2:30" ht="13">
      <c r="B52" s="225">
        <v>3205010258</v>
      </c>
      <c r="C52" s="51" t="s">
        <v>191</v>
      </c>
      <c r="D52" s="211">
        <v>76.260000000000005</v>
      </c>
      <c r="E52" s="211">
        <v>73.097999999999999</v>
      </c>
      <c r="F52" s="211">
        <v>65.751000000000005</v>
      </c>
      <c r="G52" s="212">
        <v>73.730999999999995</v>
      </c>
      <c r="H52" s="212">
        <v>81.933000000000007</v>
      </c>
      <c r="I52" s="212">
        <v>74.492999999999995</v>
      </c>
      <c r="J52" s="212">
        <v>82.305000000000007</v>
      </c>
      <c r="K52" s="212">
        <v>84.704999999999998</v>
      </c>
      <c r="L52" s="212">
        <v>73.004999999999995</v>
      </c>
      <c r="M52" s="212">
        <f t="shared" si="1"/>
        <v>685.28100000000006</v>
      </c>
      <c r="N52" s="290">
        <f t="shared" si="2"/>
        <v>3.7186032769811572E-3</v>
      </c>
      <c r="O52" s="288"/>
      <c r="P52" s="49">
        <v>710.24699999999996</v>
      </c>
      <c r="Q52" s="197">
        <f t="shared" si="3"/>
        <v>3.8815548243406237E-3</v>
      </c>
      <c r="R52" s="49"/>
      <c r="S52" s="49">
        <f t="shared" si="4"/>
        <v>-24.965999999999894</v>
      </c>
      <c r="T52" s="290">
        <f t="shared" si="5"/>
        <v>-1.629515473594665E-4</v>
      </c>
      <c r="U52" s="397"/>
      <c r="V52" s="49">
        <v>83.421000000000006</v>
      </c>
      <c r="W52" s="49">
        <v>84.350999999999999</v>
      </c>
      <c r="X52" s="49">
        <v>79.793999999999997</v>
      </c>
      <c r="Y52" s="49">
        <f t="shared" si="6"/>
        <v>247.56599999999997</v>
      </c>
      <c r="Z52" s="171">
        <f t="shared" si="11"/>
        <v>240.01499999999999</v>
      </c>
      <c r="AA52" s="49">
        <f t="shared" si="8"/>
        <v>7.5509999999999877</v>
      </c>
      <c r="AB52" s="290">
        <f t="shared" si="9"/>
        <v>3.0500957320472071E-2</v>
      </c>
      <c r="AD52" s="49">
        <f t="shared" si="10"/>
        <v>932.84699999999998</v>
      </c>
    </row>
    <row r="53" spans="2:30" ht="13">
      <c r="B53" s="225">
        <v>3201110010</v>
      </c>
      <c r="C53" s="51" t="s">
        <v>107</v>
      </c>
      <c r="D53" s="211">
        <v>41.277590000000004</v>
      </c>
      <c r="E53" s="211">
        <v>51.977789999999999</v>
      </c>
      <c r="F53" s="211">
        <v>42.520040000000002</v>
      </c>
      <c r="G53" s="212">
        <v>33.757979999999996</v>
      </c>
      <c r="H53" s="212">
        <v>33.156129999999997</v>
      </c>
      <c r="I53" s="212">
        <v>27.162739999999999</v>
      </c>
      <c r="J53" s="212">
        <v>117.39814000000001</v>
      </c>
      <c r="K53" s="212">
        <v>124.82850000000001</v>
      </c>
      <c r="L53" s="212">
        <v>116.51461</v>
      </c>
      <c r="M53" s="212">
        <f t="shared" si="1"/>
        <v>588.59352000000001</v>
      </c>
      <c r="N53" s="290">
        <f t="shared" si="2"/>
        <v>3.1939391173575133E-3</v>
      </c>
      <c r="O53" s="289"/>
      <c r="P53" s="49">
        <v>297.63355000000001</v>
      </c>
      <c r="Q53" s="197">
        <f t="shared" si="3"/>
        <v>1.6265903860039203E-3</v>
      </c>
      <c r="R53" s="49"/>
      <c r="S53" s="49">
        <f t="shared" si="4"/>
        <v>290.95997</v>
      </c>
      <c r="T53" s="290">
        <f t="shared" si="5"/>
        <v>1.567348731353593E-3</v>
      </c>
      <c r="U53" s="397"/>
      <c r="V53" s="49">
        <v>121.48286</v>
      </c>
      <c r="W53" s="49">
        <v>118.8552</v>
      </c>
      <c r="X53" s="49">
        <v>167.86266000000001</v>
      </c>
      <c r="Y53" s="49">
        <f t="shared" si="6"/>
        <v>408.20071999999999</v>
      </c>
      <c r="Z53" s="171">
        <f t="shared" si="11"/>
        <v>358.74125000000004</v>
      </c>
      <c r="AA53" s="49">
        <f t="shared" si="8"/>
        <v>49.459469999999953</v>
      </c>
      <c r="AB53" s="290">
        <f t="shared" si="9"/>
        <v>0.12116458295320977</v>
      </c>
      <c r="AD53" s="49">
        <f t="shared" si="10"/>
        <v>996.79423999999995</v>
      </c>
    </row>
    <row r="54" spans="2:30" ht="13">
      <c r="B54" s="225">
        <v>3205040120</v>
      </c>
      <c r="C54" s="54" t="s">
        <v>203</v>
      </c>
      <c r="D54" s="211">
        <v>5.2</v>
      </c>
      <c r="E54" s="211">
        <v>39</v>
      </c>
      <c r="F54" s="211">
        <v>51.5</v>
      </c>
      <c r="G54" s="212">
        <v>46.79</v>
      </c>
      <c r="H54" s="212">
        <v>82.883710000000008</v>
      </c>
      <c r="I54" s="212">
        <v>128.65389999999999</v>
      </c>
      <c r="J54" s="212">
        <v>45.6</v>
      </c>
      <c r="K54" s="212">
        <v>13.1</v>
      </c>
      <c r="L54" s="212">
        <v>84.2</v>
      </c>
      <c r="M54" s="212">
        <f t="shared" si="1"/>
        <v>496.92761000000002</v>
      </c>
      <c r="N54" s="290">
        <f t="shared" si="2"/>
        <v>2.6965239645757207E-3</v>
      </c>
      <c r="O54" s="289"/>
      <c r="P54" s="49">
        <v>483.79999999999995</v>
      </c>
      <c r="Q54" s="197">
        <f t="shared" si="3"/>
        <v>2.6440044435470955E-3</v>
      </c>
      <c r="R54" s="49"/>
      <c r="S54" s="49">
        <f t="shared" si="4"/>
        <v>13.127610000000061</v>
      </c>
      <c r="T54" s="290">
        <f t="shared" si="5"/>
        <v>5.2519521028625196E-5</v>
      </c>
      <c r="U54" s="397"/>
      <c r="V54" s="49">
        <v>140.80000000000001</v>
      </c>
      <c r="W54" s="49">
        <v>173.4</v>
      </c>
      <c r="X54" s="49">
        <v>275.36102</v>
      </c>
      <c r="Y54" s="49">
        <f t="shared" si="6"/>
        <v>589.5610200000001</v>
      </c>
      <c r="Z54" s="171">
        <f t="shared" si="11"/>
        <v>142.9</v>
      </c>
      <c r="AA54" s="49">
        <f t="shared" si="8"/>
        <v>446.66102000000012</v>
      </c>
      <c r="AB54" s="290">
        <f t="shared" si="9"/>
        <v>0.75761626845682584</v>
      </c>
      <c r="AD54" s="49">
        <f t="shared" si="10"/>
        <v>1086.4886300000001</v>
      </c>
    </row>
    <row r="55" spans="2:30" ht="13">
      <c r="B55" s="225">
        <v>3205060043</v>
      </c>
      <c r="C55" s="51" t="s">
        <v>227</v>
      </c>
      <c r="D55" s="211">
        <v>80.833850000000012</v>
      </c>
      <c r="E55" s="211">
        <v>0</v>
      </c>
      <c r="F55" s="211">
        <v>0</v>
      </c>
      <c r="G55" s="212">
        <v>107.53002000000001</v>
      </c>
      <c r="H55" s="212">
        <v>0</v>
      </c>
      <c r="I55" s="212">
        <v>0.72360999999999998</v>
      </c>
      <c r="J55" s="212">
        <v>171.71803000000003</v>
      </c>
      <c r="K55" s="212">
        <v>4.0030900000000003</v>
      </c>
      <c r="L55" s="212">
        <v>0</v>
      </c>
      <c r="M55" s="212">
        <f t="shared" si="1"/>
        <v>364.80860000000001</v>
      </c>
      <c r="N55" s="290">
        <f t="shared" si="2"/>
        <v>1.9795944370716656E-3</v>
      </c>
      <c r="O55" s="288"/>
      <c r="P55" s="49">
        <v>326.52483999999998</v>
      </c>
      <c r="Q55" s="197">
        <f t="shared" si="3"/>
        <v>1.7844835218861191E-3</v>
      </c>
      <c r="R55" s="49"/>
      <c r="S55" s="49">
        <f t="shared" si="4"/>
        <v>38.283760000000029</v>
      </c>
      <c r="T55" s="290">
        <f t="shared" si="5"/>
        <v>1.9511091518554656E-4</v>
      </c>
      <c r="U55" s="397"/>
      <c r="V55" s="49">
        <v>223.15855999999999</v>
      </c>
      <c r="W55" s="49">
        <v>0</v>
      </c>
      <c r="X55" s="49">
        <v>0</v>
      </c>
      <c r="Y55" s="49">
        <f t="shared" si="6"/>
        <v>223.15855999999999</v>
      </c>
      <c r="Z55" s="171">
        <f t="shared" si="11"/>
        <v>175.72112000000004</v>
      </c>
      <c r="AA55" s="49">
        <f t="shared" si="8"/>
        <v>47.437439999999953</v>
      </c>
      <c r="AB55" s="290">
        <f t="shared" si="9"/>
        <v>0.21257280025467074</v>
      </c>
      <c r="AD55" s="49">
        <f t="shared" si="10"/>
        <v>587.96716000000004</v>
      </c>
    </row>
    <row r="56" spans="2:30" ht="13">
      <c r="B56" s="225">
        <v>3205050025</v>
      </c>
      <c r="C56" s="54" t="s">
        <v>211</v>
      </c>
      <c r="D56" s="211">
        <v>32.227119999999999</v>
      </c>
      <c r="E56" s="211">
        <v>134.42892000000001</v>
      </c>
      <c r="F56" s="211">
        <v>52.797719999999998</v>
      </c>
      <c r="G56" s="212">
        <v>26.902360000000002</v>
      </c>
      <c r="H56" s="212">
        <v>25.161009999999997</v>
      </c>
      <c r="I56" s="212">
        <v>2.4162699999999999</v>
      </c>
      <c r="J56" s="212">
        <v>9.5821900000000007</v>
      </c>
      <c r="K56" s="212">
        <v>8.7711800000000011</v>
      </c>
      <c r="L56" s="212">
        <v>62.9</v>
      </c>
      <c r="M56" s="212">
        <f t="shared" si="1"/>
        <v>355.18677000000002</v>
      </c>
      <c r="N56" s="290">
        <f t="shared" si="2"/>
        <v>1.9273826165651061E-3</v>
      </c>
      <c r="O56" s="288"/>
      <c r="P56" s="49">
        <v>372.55117999999999</v>
      </c>
      <c r="Q56" s="197">
        <f t="shared" si="3"/>
        <v>2.0360210321800614E-3</v>
      </c>
      <c r="R56" s="49"/>
      <c r="S56" s="49">
        <f t="shared" si="4"/>
        <v>-17.364409999999964</v>
      </c>
      <c r="T56" s="290">
        <f t="shared" si="5"/>
        <v>-1.0863841561495531E-4</v>
      </c>
      <c r="U56" s="397"/>
      <c r="V56" s="49">
        <v>118.93639</v>
      </c>
      <c r="W56" s="49">
        <v>39.212760000000003</v>
      </c>
      <c r="X56" s="49">
        <v>141.10594</v>
      </c>
      <c r="Y56" s="49">
        <f t="shared" si="6"/>
        <v>299.25509</v>
      </c>
      <c r="Z56" s="171">
        <f t="shared" si="11"/>
        <v>81.253370000000004</v>
      </c>
      <c r="AA56" s="49">
        <f t="shared" si="8"/>
        <v>218.00171999999998</v>
      </c>
      <c r="AB56" s="290">
        <f t="shared" si="9"/>
        <v>0.72848124320959751</v>
      </c>
      <c r="AD56" s="49">
        <f t="shared" si="10"/>
        <v>654.44186000000002</v>
      </c>
    </row>
    <row r="57" spans="2:30" ht="13">
      <c r="B57" s="225">
        <v>3205040110</v>
      </c>
      <c r="C57" s="54" t="s">
        <v>201</v>
      </c>
      <c r="D57" s="211">
        <v>19.05904</v>
      </c>
      <c r="E57" s="211">
        <v>1.8</v>
      </c>
      <c r="F57" s="211">
        <v>83.84684</v>
      </c>
      <c r="G57" s="212">
        <v>13.995809999999999</v>
      </c>
      <c r="H57" s="212">
        <v>142.73631</v>
      </c>
      <c r="I57" s="212">
        <v>-6.1747899999999998</v>
      </c>
      <c r="J57" s="212">
        <v>24.64509</v>
      </c>
      <c r="K57" s="212">
        <v>1.5186500000000001</v>
      </c>
      <c r="L57" s="212">
        <v>73.02758</v>
      </c>
      <c r="M57" s="212">
        <f t="shared" si="1"/>
        <v>354.45452999999998</v>
      </c>
      <c r="N57" s="290">
        <f t="shared" si="2"/>
        <v>1.9234091953502514E-3</v>
      </c>
      <c r="O57" s="289"/>
      <c r="P57" s="49">
        <v>284.73702000000003</v>
      </c>
      <c r="Q57" s="197">
        <f t="shared" si="3"/>
        <v>1.5561098514310836E-3</v>
      </c>
      <c r="R57" s="49"/>
      <c r="S57" s="49">
        <f t="shared" si="4"/>
        <v>69.717509999999947</v>
      </c>
      <c r="T57" s="290">
        <f t="shared" si="5"/>
        <v>3.6729934391916785E-4</v>
      </c>
      <c r="U57" s="397"/>
      <c r="V57" s="49">
        <v>143.76793000000001</v>
      </c>
      <c r="W57" s="49">
        <v>294.79543000000001</v>
      </c>
      <c r="X57" s="49">
        <v>97.770960000000002</v>
      </c>
      <c r="Y57" s="49">
        <f t="shared" si="6"/>
        <v>536.33431999999993</v>
      </c>
      <c r="Z57" s="171">
        <f t="shared" si="11"/>
        <v>99.191320000000005</v>
      </c>
      <c r="AA57" s="49">
        <f t="shared" si="8"/>
        <v>437.14299999999992</v>
      </c>
      <c r="AB57" s="290">
        <f t="shared" si="9"/>
        <v>0.81505692195867674</v>
      </c>
      <c r="AD57" s="49">
        <f t="shared" si="10"/>
        <v>890.78884999999991</v>
      </c>
    </row>
    <row r="58" spans="2:30" ht="13">
      <c r="B58" s="225">
        <v>3201030050</v>
      </c>
      <c r="C58" s="54" t="s">
        <v>238</v>
      </c>
      <c r="D58" s="211">
        <v>27.713090000000001</v>
      </c>
      <c r="E58" s="211">
        <v>27.353670000000001</v>
      </c>
      <c r="F58" s="211">
        <v>28.180220000000002</v>
      </c>
      <c r="G58" s="212">
        <v>26.498939999999997</v>
      </c>
      <c r="H58" s="212">
        <v>29.447969999999998</v>
      </c>
      <c r="I58" s="212">
        <v>28.85519</v>
      </c>
      <c r="J58" s="212">
        <v>71.609920000000002</v>
      </c>
      <c r="K58" s="212">
        <v>39.981839999999998</v>
      </c>
      <c r="L58" s="212">
        <v>31.312539999999998</v>
      </c>
      <c r="M58" s="212">
        <f t="shared" si="1"/>
        <v>310.95337999999998</v>
      </c>
      <c r="N58" s="290">
        <f t="shared" si="2"/>
        <v>1.6873549067555746E-3</v>
      </c>
      <c r="O58" s="288"/>
      <c r="P58" s="49">
        <v>215.77413000000004</v>
      </c>
      <c r="Q58" s="197">
        <f t="shared" si="3"/>
        <v>1.1792223202201505E-3</v>
      </c>
      <c r="R58" s="49"/>
      <c r="S58" s="49">
        <f t="shared" si="4"/>
        <v>95.179249999999939</v>
      </c>
      <c r="T58" s="290">
        <f t="shared" si="5"/>
        <v>5.0813258653542408E-4</v>
      </c>
      <c r="U58" s="397"/>
      <c r="V58" s="49">
        <v>32.546550000000003</v>
      </c>
      <c r="W58" s="49">
        <v>46.197069999999997</v>
      </c>
      <c r="X58" s="49">
        <v>38.225880000000004</v>
      </c>
      <c r="Y58" s="49">
        <f t="shared" si="6"/>
        <v>116.9695</v>
      </c>
      <c r="Z58" s="171">
        <f t="shared" si="11"/>
        <v>142.90429999999998</v>
      </c>
      <c r="AA58" s="49">
        <f t="shared" si="8"/>
        <v>-25.934799999999981</v>
      </c>
      <c r="AB58" s="290">
        <f t="shared" si="9"/>
        <v>-0.22172275678702552</v>
      </c>
      <c r="AD58" s="49">
        <f t="shared" si="10"/>
        <v>427.92287999999996</v>
      </c>
    </row>
    <row r="59" spans="2:30" ht="13">
      <c r="B59" s="225">
        <v>3205050060</v>
      </c>
      <c r="C59" s="54" t="s">
        <v>214</v>
      </c>
      <c r="D59" s="211">
        <v>0</v>
      </c>
      <c r="E59" s="211">
        <v>17.04102</v>
      </c>
      <c r="F59" s="211">
        <v>0</v>
      </c>
      <c r="G59" s="212">
        <v>25.885590000000001</v>
      </c>
      <c r="H59" s="212">
        <v>33.828000000000003</v>
      </c>
      <c r="I59" s="212">
        <v>65.107839999999996</v>
      </c>
      <c r="J59" s="212">
        <v>18.3</v>
      </c>
      <c r="K59" s="212">
        <v>11.4</v>
      </c>
      <c r="L59" s="212">
        <v>25.523</v>
      </c>
      <c r="M59" s="212">
        <f t="shared" si="1"/>
        <v>197.08545000000001</v>
      </c>
      <c r="N59" s="290">
        <f t="shared" si="2"/>
        <v>1.0694628921789834E-3</v>
      </c>
      <c r="O59" s="289"/>
      <c r="P59" s="49">
        <v>256.93628000000001</v>
      </c>
      <c r="Q59" s="197">
        <f t="shared" si="3"/>
        <v>1.4041766557016551E-3</v>
      </c>
      <c r="R59" s="49"/>
      <c r="S59" s="49">
        <f t="shared" si="4"/>
        <v>-59.850830000000002</v>
      </c>
      <c r="T59" s="290">
        <f t="shared" si="5"/>
        <v>-3.3471376352267167E-4</v>
      </c>
      <c r="U59" s="397"/>
      <c r="V59" s="49">
        <v>118.37886</v>
      </c>
      <c r="W59" s="49">
        <v>136.78135999999998</v>
      </c>
      <c r="X59" s="49">
        <v>104.60414999999999</v>
      </c>
      <c r="Y59" s="49">
        <f t="shared" si="6"/>
        <v>359.76436999999999</v>
      </c>
      <c r="Z59" s="171">
        <f t="shared" si="11"/>
        <v>55.222999999999999</v>
      </c>
      <c r="AA59" s="49">
        <f t="shared" si="8"/>
        <v>304.54136999999997</v>
      </c>
      <c r="AB59" s="290">
        <f t="shared" si="9"/>
        <v>0.84650230927537373</v>
      </c>
      <c r="AD59" s="49">
        <f t="shared" si="10"/>
        <v>556.84982000000002</v>
      </c>
    </row>
    <row r="60" spans="2:30" ht="13">
      <c r="B60" s="225">
        <v>3205080010</v>
      </c>
      <c r="C60" s="51" t="s">
        <v>229</v>
      </c>
      <c r="D60" s="211">
        <v>29.205860000000001</v>
      </c>
      <c r="E60" s="211">
        <v>0</v>
      </c>
      <c r="F60" s="211">
        <v>0</v>
      </c>
      <c r="G60" s="212">
        <v>2.69387</v>
      </c>
      <c r="H60" s="212">
        <v>62.138239999999996</v>
      </c>
      <c r="I60" s="212">
        <v>50.66189</v>
      </c>
      <c r="J60" s="212">
        <v>19.502520000000001</v>
      </c>
      <c r="K60" s="212">
        <v>0</v>
      </c>
      <c r="L60" s="212">
        <v>15.786899999999999</v>
      </c>
      <c r="M60" s="212">
        <f t="shared" si="1"/>
        <v>179.98928000000001</v>
      </c>
      <c r="N60" s="290">
        <f t="shared" si="2"/>
        <v>9.766923735365187E-4</v>
      </c>
      <c r="O60" s="289"/>
      <c r="P60" s="49">
        <v>270.36131</v>
      </c>
      <c r="Q60" s="197">
        <f t="shared" si="3"/>
        <v>1.4775454836775813E-3</v>
      </c>
      <c r="R60" s="49"/>
      <c r="S60" s="49">
        <f t="shared" si="4"/>
        <v>-90.372029999999995</v>
      </c>
      <c r="T60" s="290">
        <f t="shared" si="5"/>
        <v>-5.0085311014106261E-4</v>
      </c>
      <c r="U60" s="397"/>
      <c r="V60" s="49">
        <v>71.678579999999997</v>
      </c>
      <c r="W60" s="49">
        <v>7.7813599999999994</v>
      </c>
      <c r="X60" s="49">
        <v>51.891030000000001</v>
      </c>
      <c r="Y60" s="49">
        <f t="shared" si="6"/>
        <v>131.35096999999999</v>
      </c>
      <c r="Z60" s="171">
        <f t="shared" si="11"/>
        <v>35.28942</v>
      </c>
      <c r="AA60" s="49">
        <f t="shared" si="8"/>
        <v>96.061549999999983</v>
      </c>
      <c r="AB60" s="290">
        <f t="shared" si="9"/>
        <v>0.73133491134477335</v>
      </c>
      <c r="AD60" s="49">
        <f t="shared" si="10"/>
        <v>311.34024999999997</v>
      </c>
    </row>
    <row r="61" spans="2:30" ht="13">
      <c r="B61" s="225">
        <v>3205050080</v>
      </c>
      <c r="C61" s="54" t="s">
        <v>215</v>
      </c>
      <c r="D61" s="211">
        <v>0</v>
      </c>
      <c r="E61" s="211">
        <v>4.15116</v>
      </c>
      <c r="F61" s="211">
        <v>0</v>
      </c>
      <c r="G61" s="212">
        <v>0</v>
      </c>
      <c r="H61" s="212">
        <v>20.413139999999999</v>
      </c>
      <c r="I61" s="212">
        <v>35.584180000000003</v>
      </c>
      <c r="J61" s="212">
        <v>54.187719999999999</v>
      </c>
      <c r="K61" s="212">
        <v>23.219519999999999</v>
      </c>
      <c r="L61" s="212">
        <v>4.9099200000000005</v>
      </c>
      <c r="M61" s="212">
        <f t="shared" si="1"/>
        <v>142.46564000000001</v>
      </c>
      <c r="N61" s="290">
        <f t="shared" si="2"/>
        <v>7.7307439686963124E-4</v>
      </c>
      <c r="O61" s="289"/>
      <c r="P61" s="49">
        <v>100.73747000000002</v>
      </c>
      <c r="Q61" s="197">
        <f t="shared" si="3"/>
        <v>5.5053807009444451E-4</v>
      </c>
      <c r="R61" s="49"/>
      <c r="S61" s="49">
        <f t="shared" si="4"/>
        <v>41.728169999999992</v>
      </c>
      <c r="T61" s="290">
        <f t="shared" si="5"/>
        <v>2.2253632677518673E-4</v>
      </c>
      <c r="U61" s="397"/>
      <c r="V61" s="49">
        <v>0</v>
      </c>
      <c r="W61" s="49">
        <v>13.802940000000001</v>
      </c>
      <c r="X61" s="49">
        <v>0</v>
      </c>
      <c r="Y61" s="49">
        <f t="shared" si="6"/>
        <v>13.802940000000001</v>
      </c>
      <c r="Z61" s="171">
        <f t="shared" si="11"/>
        <v>82.317160000000001</v>
      </c>
      <c r="AA61" s="49">
        <f t="shared" si="8"/>
        <v>-68.514219999999995</v>
      </c>
      <c r="AB61" s="290">
        <f t="shared" si="9"/>
        <v>-4.9637410580644401</v>
      </c>
      <c r="AD61" s="49">
        <f t="shared" si="10"/>
        <v>156.26858000000001</v>
      </c>
    </row>
    <row r="62" spans="2:30" ht="13">
      <c r="B62" s="225">
        <v>3205050140</v>
      </c>
      <c r="C62" s="51" t="s">
        <v>219</v>
      </c>
      <c r="D62" s="211">
        <v>0</v>
      </c>
      <c r="E62" s="211">
        <v>5.8719999999999999</v>
      </c>
      <c r="F62" s="211">
        <v>0.65</v>
      </c>
      <c r="G62" s="212">
        <v>3.52</v>
      </c>
      <c r="H62" s="212">
        <v>0</v>
      </c>
      <c r="I62" s="212">
        <v>9.3190000000000008</v>
      </c>
      <c r="J62" s="212">
        <v>13.983049999999999</v>
      </c>
      <c r="K62" s="212">
        <v>7.0730000000000004</v>
      </c>
      <c r="L62" s="212">
        <v>2.7</v>
      </c>
      <c r="M62" s="212">
        <f t="shared" si="1"/>
        <v>43.117049999999999</v>
      </c>
      <c r="N62" s="290">
        <f t="shared" si="2"/>
        <v>2.3397001146064226E-4</v>
      </c>
      <c r="O62" s="289"/>
      <c r="P62" s="49">
        <v>20.538159999999998</v>
      </c>
      <c r="Q62" s="197">
        <f t="shared" si="3"/>
        <v>1.1224263394435967E-4</v>
      </c>
      <c r="R62" s="49"/>
      <c r="S62" s="49">
        <f t="shared" si="4"/>
        <v>22.578890000000001</v>
      </c>
      <c r="T62" s="290">
        <f t="shared" si="5"/>
        <v>1.2172737751628259E-4</v>
      </c>
      <c r="U62" s="397"/>
      <c r="V62" s="49">
        <v>0</v>
      </c>
      <c r="W62" s="49">
        <v>0</v>
      </c>
      <c r="X62" s="49">
        <v>0</v>
      </c>
      <c r="Y62" s="49">
        <f t="shared" si="6"/>
        <v>0</v>
      </c>
      <c r="Z62" s="171">
        <f t="shared" si="11"/>
        <v>23.756049999999998</v>
      </c>
      <c r="AA62" s="49">
        <f t="shared" si="8"/>
        <v>-23.756049999999998</v>
      </c>
      <c r="AB62" s="290">
        <v>-1</v>
      </c>
      <c r="AD62" s="49">
        <f t="shared" si="10"/>
        <v>43.117049999999999</v>
      </c>
    </row>
    <row r="63" spans="2:30" ht="13">
      <c r="B63" s="225">
        <v>3205050050</v>
      </c>
      <c r="C63" s="54" t="s">
        <v>213</v>
      </c>
      <c r="D63" s="211">
        <v>0</v>
      </c>
      <c r="E63" s="211">
        <v>4.3</v>
      </c>
      <c r="F63" s="211">
        <v>0.46310000000000001</v>
      </c>
      <c r="G63" s="212">
        <v>2.7272699999999999</v>
      </c>
      <c r="H63" s="212">
        <v>0</v>
      </c>
      <c r="I63" s="212">
        <v>0</v>
      </c>
      <c r="J63" s="212">
        <v>20.828779999999998</v>
      </c>
      <c r="K63" s="212">
        <v>0</v>
      </c>
      <c r="L63" s="212">
        <v>0</v>
      </c>
      <c r="M63" s="212">
        <f t="shared" si="1"/>
        <v>28.319149999999997</v>
      </c>
      <c r="N63" s="290">
        <f t="shared" si="2"/>
        <v>1.5367080656157242E-4</v>
      </c>
      <c r="O63" s="289"/>
      <c r="P63" s="49">
        <v>12.138000000000002</v>
      </c>
      <c r="Q63" s="197">
        <f t="shared" si="3"/>
        <v>6.6335109416648723E-5</v>
      </c>
      <c r="R63" s="49"/>
      <c r="S63" s="49">
        <f t="shared" si="4"/>
        <v>16.181149999999995</v>
      </c>
      <c r="T63" s="290">
        <f t="shared" si="5"/>
        <v>8.7335697144923702E-5</v>
      </c>
      <c r="U63" s="397"/>
      <c r="V63" s="49">
        <v>0</v>
      </c>
      <c r="W63" s="49">
        <v>4.1051000000000002</v>
      </c>
      <c r="X63" s="49">
        <v>0</v>
      </c>
      <c r="Y63" s="49">
        <f t="shared" si="6"/>
        <v>4.1051000000000002</v>
      </c>
      <c r="Z63" s="171">
        <f t="shared" si="11"/>
        <v>20.828779999999998</v>
      </c>
      <c r="AA63" s="49">
        <f t="shared" si="8"/>
        <v>-16.723679999999998</v>
      </c>
      <c r="AB63" s="290">
        <f t="shared" si="9"/>
        <v>-4.0738788336459519</v>
      </c>
      <c r="AD63" s="49">
        <f t="shared" si="10"/>
        <v>32.424250000000001</v>
      </c>
    </row>
    <row r="64" spans="2:30" ht="13">
      <c r="B64" s="225">
        <v>3205040130</v>
      </c>
      <c r="C64" s="54" t="s">
        <v>204</v>
      </c>
      <c r="D64" s="211">
        <v>1.2</v>
      </c>
      <c r="E64" s="211">
        <v>0</v>
      </c>
      <c r="F64" s="211">
        <v>6</v>
      </c>
      <c r="G64" s="212">
        <v>0.8</v>
      </c>
      <c r="H64" s="212">
        <v>3</v>
      </c>
      <c r="I64" s="212">
        <v>3.8</v>
      </c>
      <c r="J64" s="212">
        <v>0.8</v>
      </c>
      <c r="K64" s="212">
        <v>1.2</v>
      </c>
      <c r="L64" s="212">
        <v>4.8</v>
      </c>
      <c r="M64" s="212">
        <f t="shared" si="1"/>
        <v>21.6</v>
      </c>
      <c r="N64" s="290">
        <f t="shared" si="2"/>
        <v>1.1721006533493996E-4</v>
      </c>
      <c r="O64" s="288"/>
      <c r="P64" s="49">
        <v>60.8</v>
      </c>
      <c r="Q64" s="197">
        <f t="shared" si="3"/>
        <v>3.3227670559665852E-4</v>
      </c>
      <c r="R64" s="49"/>
      <c r="S64" s="49">
        <f t="shared" si="4"/>
        <v>-39.199999999999996</v>
      </c>
      <c r="T64" s="290">
        <f t="shared" si="5"/>
        <v>-2.1506664026171857E-4</v>
      </c>
      <c r="U64" s="397"/>
      <c r="V64" s="49">
        <v>10.8</v>
      </c>
      <c r="W64" s="49">
        <v>6.4</v>
      </c>
      <c r="X64" s="49">
        <v>5.2</v>
      </c>
      <c r="Y64" s="49">
        <f t="shared" si="6"/>
        <v>22.400000000000002</v>
      </c>
      <c r="Z64" s="171">
        <f t="shared" si="11"/>
        <v>6.8</v>
      </c>
      <c r="AA64" s="49">
        <f t="shared" si="8"/>
        <v>15.600000000000001</v>
      </c>
      <c r="AB64" s="290">
        <f t="shared" si="9"/>
        <v>0.6964285714285714</v>
      </c>
      <c r="AD64" s="49">
        <f t="shared" si="10"/>
        <v>44</v>
      </c>
    </row>
    <row r="65" spans="2:31" ht="13">
      <c r="B65" s="225">
        <v>3205050150</v>
      </c>
      <c r="C65" s="51" t="s">
        <v>314</v>
      </c>
      <c r="D65" s="211">
        <v>0</v>
      </c>
      <c r="E65" s="211">
        <v>0</v>
      </c>
      <c r="F65" s="211">
        <v>0</v>
      </c>
      <c r="G65" s="212">
        <v>0</v>
      </c>
      <c r="H65" s="212">
        <v>0</v>
      </c>
      <c r="I65" s="212">
        <v>2.5559999999999999E-2</v>
      </c>
      <c r="J65" s="212">
        <v>0</v>
      </c>
      <c r="K65" s="212">
        <v>16</v>
      </c>
      <c r="L65" s="212">
        <v>0</v>
      </c>
      <c r="M65" s="212">
        <f t="shared" si="1"/>
        <v>16.025559999999999</v>
      </c>
      <c r="N65" s="290">
        <f t="shared" si="2"/>
        <v>8.6960969195787043E-5</v>
      </c>
      <c r="O65" s="288"/>
      <c r="P65" s="49">
        <v>0</v>
      </c>
      <c r="Q65" s="197">
        <f t="shared" si="3"/>
        <v>0</v>
      </c>
      <c r="R65" s="49"/>
      <c r="S65" s="49">
        <f t="shared" si="4"/>
        <v>16.025559999999999</v>
      </c>
      <c r="T65" s="290">
        <f t="shared" si="5"/>
        <v>8.6960969195787043E-5</v>
      </c>
      <c r="U65" s="397"/>
      <c r="V65" s="49">
        <v>96.394999999999996</v>
      </c>
      <c r="W65" s="49">
        <v>9.3505000000000003</v>
      </c>
      <c r="X65" s="49">
        <v>0.29599999999999999</v>
      </c>
      <c r="Y65" s="49">
        <f t="shared" si="6"/>
        <v>106.0415</v>
      </c>
      <c r="Z65" s="171">
        <f t="shared" si="11"/>
        <v>16</v>
      </c>
      <c r="AA65" s="49">
        <f t="shared" si="8"/>
        <v>90.041499999999999</v>
      </c>
      <c r="AB65" s="290">
        <f t="shared" si="9"/>
        <v>0.84911567640970753</v>
      </c>
      <c r="AD65" s="49">
        <f t="shared" si="10"/>
        <v>122.06706</v>
      </c>
    </row>
    <row r="66" spans="2:31" ht="13">
      <c r="B66" s="225">
        <v>3209000025</v>
      </c>
      <c r="C66" s="51" t="s">
        <v>339</v>
      </c>
      <c r="D66" s="211">
        <v>0</v>
      </c>
      <c r="E66" s="211">
        <v>0</v>
      </c>
      <c r="F66" s="211">
        <v>0</v>
      </c>
      <c r="G66" s="212">
        <v>1.5314000000000001</v>
      </c>
      <c r="H66" s="212">
        <v>0</v>
      </c>
      <c r="I66" s="212">
        <v>0</v>
      </c>
      <c r="J66" s="212">
        <v>0</v>
      </c>
      <c r="K66" s="212">
        <v>0</v>
      </c>
      <c r="L66" s="212">
        <v>0</v>
      </c>
      <c r="M66" s="212">
        <f t="shared" si="1"/>
        <v>1.5314000000000001</v>
      </c>
      <c r="N66" s="290">
        <f t="shared" si="2"/>
        <v>8.3099765765706967E-6</v>
      </c>
      <c r="O66" s="289"/>
      <c r="P66" s="49">
        <v>0</v>
      </c>
      <c r="Q66" s="197">
        <f t="shared" si="3"/>
        <v>0</v>
      </c>
      <c r="R66" s="49"/>
      <c r="S66" s="49">
        <f t="shared" si="4"/>
        <v>1.5314000000000001</v>
      </c>
      <c r="T66" s="290">
        <f t="shared" si="5"/>
        <v>8.3099765765706967E-6</v>
      </c>
      <c r="U66" s="397"/>
      <c r="V66" s="49">
        <v>0</v>
      </c>
      <c r="W66" s="49">
        <v>0</v>
      </c>
      <c r="X66" s="49">
        <v>0</v>
      </c>
      <c r="Y66" s="49">
        <f t="shared" si="6"/>
        <v>0</v>
      </c>
      <c r="Z66" s="171">
        <f t="shared" si="11"/>
        <v>0</v>
      </c>
      <c r="AA66" s="49">
        <f t="shared" si="8"/>
        <v>0</v>
      </c>
      <c r="AB66" s="290">
        <v>-1</v>
      </c>
      <c r="AD66" s="49">
        <f t="shared" si="10"/>
        <v>1.5314000000000001</v>
      </c>
    </row>
    <row r="67" spans="2:31" ht="13">
      <c r="B67" s="225">
        <v>3205080020</v>
      </c>
      <c r="C67" s="51" t="s">
        <v>337</v>
      </c>
      <c r="D67" s="211">
        <v>0</v>
      </c>
      <c r="E67" s="211">
        <v>0</v>
      </c>
      <c r="F67" s="211">
        <v>0.99738000000000004</v>
      </c>
      <c r="G67" s="212">
        <v>0</v>
      </c>
      <c r="H67" s="212">
        <v>0</v>
      </c>
      <c r="I67" s="212">
        <v>0</v>
      </c>
      <c r="J67" s="212">
        <v>0</v>
      </c>
      <c r="K67" s="212">
        <v>0</v>
      </c>
      <c r="L67" s="212">
        <v>0</v>
      </c>
      <c r="M67" s="212">
        <f t="shared" si="1"/>
        <v>0.99738000000000004</v>
      </c>
      <c r="N67" s="290">
        <f t="shared" si="2"/>
        <v>5.4121747668408528E-6</v>
      </c>
      <c r="O67" s="288"/>
      <c r="P67" s="49">
        <v>0</v>
      </c>
      <c r="Q67" s="197">
        <f t="shared" si="3"/>
        <v>0</v>
      </c>
      <c r="R67" s="49"/>
      <c r="S67" s="49">
        <f t="shared" si="4"/>
        <v>0.99738000000000004</v>
      </c>
      <c r="T67" s="290">
        <f t="shared" si="5"/>
        <v>5.4121747668408528E-6</v>
      </c>
      <c r="U67" s="397"/>
      <c r="V67" s="49">
        <v>0</v>
      </c>
      <c r="W67" s="49">
        <v>0</v>
      </c>
      <c r="X67" s="49">
        <v>0</v>
      </c>
      <c r="Y67" s="49">
        <f t="shared" si="6"/>
        <v>0</v>
      </c>
      <c r="Z67" s="171">
        <f t="shared" si="11"/>
        <v>0</v>
      </c>
      <c r="AA67" s="49">
        <f t="shared" si="8"/>
        <v>0</v>
      </c>
      <c r="AB67" s="290">
        <v>-1</v>
      </c>
      <c r="AD67" s="49">
        <f t="shared" si="10"/>
        <v>0.99738000000000004</v>
      </c>
    </row>
    <row r="68" spans="2:31" ht="13">
      <c r="B68" s="225">
        <v>3205080030</v>
      </c>
      <c r="C68" s="51" t="s">
        <v>338</v>
      </c>
      <c r="D68" s="211">
        <v>0</v>
      </c>
      <c r="E68" s="211">
        <v>0</v>
      </c>
      <c r="F68" s="211">
        <v>0.26704</v>
      </c>
      <c r="G68" s="212">
        <v>0</v>
      </c>
      <c r="H68" s="212">
        <v>0</v>
      </c>
      <c r="I68" s="212">
        <v>0</v>
      </c>
      <c r="J68" s="212">
        <v>0</v>
      </c>
      <c r="K68" s="212">
        <v>0</v>
      </c>
      <c r="L68" s="212">
        <v>0</v>
      </c>
      <c r="M68" s="212">
        <f t="shared" si="1"/>
        <v>0.26704</v>
      </c>
      <c r="N68" s="290">
        <f t="shared" si="2"/>
        <v>1.4490636966223317E-6</v>
      </c>
      <c r="O68" s="289"/>
      <c r="P68" s="49">
        <v>0</v>
      </c>
      <c r="Q68" s="197">
        <f t="shared" si="3"/>
        <v>0</v>
      </c>
      <c r="R68" s="49"/>
      <c r="S68" s="49">
        <f t="shared" si="4"/>
        <v>0.26704</v>
      </c>
      <c r="T68" s="290">
        <f t="shared" si="5"/>
        <v>1.4490636966223317E-6</v>
      </c>
      <c r="U68" s="397"/>
      <c r="V68" s="49">
        <v>0</v>
      </c>
      <c r="W68" s="49">
        <v>0</v>
      </c>
      <c r="X68" s="49">
        <v>0</v>
      </c>
      <c r="Y68" s="49">
        <f t="shared" si="6"/>
        <v>0</v>
      </c>
      <c r="Z68" s="171">
        <f t="shared" si="11"/>
        <v>0</v>
      </c>
      <c r="AA68" s="49">
        <f t="shared" si="8"/>
        <v>0</v>
      </c>
      <c r="AB68" s="290">
        <v>-1</v>
      </c>
      <c r="AD68" s="49">
        <f t="shared" si="10"/>
        <v>0.26704</v>
      </c>
    </row>
    <row r="69" spans="2:31" ht="13">
      <c r="B69" s="225">
        <v>3205010070</v>
      </c>
      <c r="C69" s="54" t="s">
        <v>175</v>
      </c>
      <c r="D69" s="211">
        <v>0</v>
      </c>
      <c r="E69" s="211">
        <v>0</v>
      </c>
      <c r="F69" s="211">
        <v>0</v>
      </c>
      <c r="G69" s="212">
        <v>0</v>
      </c>
      <c r="H69" s="212">
        <v>0</v>
      </c>
      <c r="I69" s="212">
        <v>0</v>
      </c>
      <c r="J69" s="212">
        <v>0</v>
      </c>
      <c r="K69" s="212">
        <v>0</v>
      </c>
      <c r="L69" s="212">
        <v>0</v>
      </c>
      <c r="M69" s="212">
        <f t="shared" si="1"/>
        <v>0</v>
      </c>
      <c r="N69" s="290">
        <f t="shared" si="2"/>
        <v>0</v>
      </c>
      <c r="O69" s="173"/>
      <c r="P69" s="49">
        <v>851</v>
      </c>
      <c r="Q69" s="197">
        <f t="shared" si="3"/>
        <v>4.6507808628742835E-3</v>
      </c>
      <c r="R69" s="49"/>
      <c r="S69" s="49">
        <f t="shared" si="4"/>
        <v>-851</v>
      </c>
      <c r="T69" s="290">
        <f t="shared" si="5"/>
        <v>-4.6507808628742835E-3</v>
      </c>
      <c r="U69" s="397"/>
      <c r="V69" s="49">
        <v>0</v>
      </c>
      <c r="W69" s="49">
        <v>0</v>
      </c>
      <c r="X69" s="49">
        <v>0</v>
      </c>
      <c r="Y69" s="49">
        <f t="shared" si="6"/>
        <v>0</v>
      </c>
      <c r="Z69" s="171">
        <f t="shared" si="11"/>
        <v>0</v>
      </c>
      <c r="AA69" s="49">
        <f t="shared" si="8"/>
        <v>0</v>
      </c>
      <c r="AB69" s="290">
        <v>0</v>
      </c>
      <c r="AD69" s="49">
        <f t="shared" si="10"/>
        <v>0</v>
      </c>
    </row>
    <row r="70" spans="2:31" ht="13">
      <c r="B70" s="225">
        <v>3205010200</v>
      </c>
      <c r="C70" s="51" t="s">
        <v>185</v>
      </c>
      <c r="D70" s="211">
        <v>0</v>
      </c>
      <c r="E70" s="211">
        <v>0</v>
      </c>
      <c r="F70" s="211">
        <v>0</v>
      </c>
      <c r="G70" s="212">
        <v>0</v>
      </c>
      <c r="H70" s="212">
        <v>0</v>
      </c>
      <c r="I70" s="212">
        <v>0</v>
      </c>
      <c r="J70" s="212">
        <v>0</v>
      </c>
      <c r="K70" s="212">
        <v>0</v>
      </c>
      <c r="L70" s="212">
        <v>0</v>
      </c>
      <c r="M70" s="212">
        <f t="shared" si="1"/>
        <v>0</v>
      </c>
      <c r="N70" s="290">
        <f t="shared" si="2"/>
        <v>0</v>
      </c>
      <c r="O70" s="49"/>
      <c r="P70" s="49">
        <v>20.1816</v>
      </c>
      <c r="Q70" s="197">
        <f t="shared" si="3"/>
        <v>1.102940059485119E-4</v>
      </c>
      <c r="R70" s="49"/>
      <c r="S70" s="49">
        <f t="shared" si="4"/>
        <v>-20.1816</v>
      </c>
      <c r="T70" s="290">
        <f>N70-Q70</f>
        <v>-1.102940059485119E-4</v>
      </c>
      <c r="U70" s="397"/>
      <c r="V70" s="49">
        <v>0</v>
      </c>
      <c r="W70" s="49">
        <v>0</v>
      </c>
      <c r="X70" s="49">
        <v>0</v>
      </c>
      <c r="Y70" s="49">
        <f t="shared" si="6"/>
        <v>0</v>
      </c>
      <c r="Z70" s="171">
        <f t="shared" si="11"/>
        <v>0</v>
      </c>
      <c r="AA70" s="49">
        <f t="shared" si="8"/>
        <v>0</v>
      </c>
      <c r="AB70" s="290">
        <v>0</v>
      </c>
      <c r="AD70" s="49">
        <f t="shared" si="10"/>
        <v>0</v>
      </c>
    </row>
    <row r="71" spans="2:31" ht="13">
      <c r="B71" s="225">
        <v>3205040145</v>
      </c>
      <c r="C71" s="291" t="s">
        <v>206</v>
      </c>
      <c r="D71" s="292">
        <v>0</v>
      </c>
      <c r="E71" s="292">
        <v>0</v>
      </c>
      <c r="F71" s="292">
        <v>0</v>
      </c>
      <c r="G71" s="293">
        <v>0</v>
      </c>
      <c r="H71" s="293">
        <v>0</v>
      </c>
      <c r="I71" s="293">
        <v>0</v>
      </c>
      <c r="J71" s="293">
        <v>0</v>
      </c>
      <c r="K71" s="293">
        <v>0</v>
      </c>
      <c r="L71" s="293">
        <v>0</v>
      </c>
      <c r="M71" s="212">
        <f t="shared" si="1"/>
        <v>0</v>
      </c>
      <c r="N71" s="201">
        <f t="shared" si="2"/>
        <v>0</v>
      </c>
      <c r="O71" s="62"/>
      <c r="P71" s="63">
        <v>18.420339999999999</v>
      </c>
      <c r="Q71" s="201">
        <f t="shared" si="3"/>
        <v>1.0066858373635449E-4</v>
      </c>
      <c r="R71" s="49"/>
      <c r="S71" s="63">
        <f t="shared" si="4"/>
        <v>-18.420339999999999</v>
      </c>
      <c r="T71" s="201">
        <f t="shared" si="5"/>
        <v>-1.0066858373635449E-4</v>
      </c>
      <c r="U71" s="397"/>
      <c r="V71" s="49">
        <v>91.559300000000007</v>
      </c>
      <c r="W71" s="49">
        <v>54.935580000000002</v>
      </c>
      <c r="X71" s="49">
        <v>48.566949999999999</v>
      </c>
      <c r="Y71" s="49">
        <f t="shared" si="6"/>
        <v>195.06183000000001</v>
      </c>
      <c r="Z71" s="171">
        <f t="shared" si="11"/>
        <v>0</v>
      </c>
      <c r="AA71" s="49">
        <f t="shared" si="8"/>
        <v>195.06183000000001</v>
      </c>
      <c r="AB71" s="290">
        <f t="shared" si="9"/>
        <v>1</v>
      </c>
      <c r="AD71" s="49">
        <f t="shared" si="10"/>
        <v>195.06183000000001</v>
      </c>
    </row>
    <row r="72" spans="2:31" ht="13">
      <c r="B72" s="13"/>
      <c r="C72" s="202" t="s">
        <v>411</v>
      </c>
      <c r="D72" s="203">
        <f>SUM(D38:D71)</f>
        <v>20201.442970000007</v>
      </c>
      <c r="E72" s="203">
        <f>SUM(E38:E71)</f>
        <v>23439.457029999998</v>
      </c>
      <c r="F72" s="203">
        <f t="shared" ref="F72:N72" si="12">SUM(F38:F71)</f>
        <v>22625.943279999996</v>
      </c>
      <c r="G72" s="203">
        <f t="shared" si="12"/>
        <v>20720.285670000001</v>
      </c>
      <c r="H72" s="203">
        <f t="shared" si="12"/>
        <v>20726.369950000004</v>
      </c>
      <c r="I72" s="203">
        <f t="shared" si="12"/>
        <v>18702.103370000001</v>
      </c>
      <c r="J72" s="203">
        <f t="shared" si="12"/>
        <v>19315.586970000004</v>
      </c>
      <c r="K72" s="203">
        <f t="shared" si="12"/>
        <v>24480.592879999997</v>
      </c>
      <c r="L72" s="203">
        <f>SUM(L38:L71)</f>
        <v>14072.732509999998</v>
      </c>
      <c r="M72" s="203">
        <f t="shared" si="12"/>
        <v>184284.51463000002</v>
      </c>
      <c r="N72" s="332">
        <f t="shared" si="12"/>
        <v>1</v>
      </c>
      <c r="O72" s="49"/>
      <c r="P72" s="203">
        <f>SUM(P38:P71)</f>
        <v>182980.02531</v>
      </c>
      <c r="Q72" s="332">
        <f t="shared" ref="Q72" si="13">SUM(Q38:Q71)</f>
        <v>0.99999999999999978</v>
      </c>
      <c r="R72" s="49"/>
      <c r="S72" s="203">
        <f t="shared" ref="S72:T72" si="14">SUM(S38:S71)</f>
        <v>1304.4893200000213</v>
      </c>
      <c r="T72" s="332">
        <f t="shared" si="14"/>
        <v>3.6374982886888674E-17</v>
      </c>
      <c r="U72" s="195" t="s">
        <v>11</v>
      </c>
      <c r="V72" s="466">
        <f>SUM(V38:V71)</f>
        <v>27778.10255</v>
      </c>
      <c r="W72" s="466">
        <f t="shared" ref="W72:X72" si="15">SUM(W38:W71)</f>
        <v>29905.654230000004</v>
      </c>
      <c r="X72" s="466">
        <f t="shared" si="15"/>
        <v>33520.785459999999</v>
      </c>
      <c r="Y72" s="466">
        <f>SUM(Y38:Y71)</f>
        <v>91204.54224000001</v>
      </c>
      <c r="Z72" s="466">
        <f>SUM(Z38:Z71)</f>
        <v>70280.600580000013</v>
      </c>
      <c r="AA72" s="466">
        <f t="shared" si="8"/>
        <v>20923.941659999997</v>
      </c>
      <c r="AB72" s="427">
        <f t="shared" si="9"/>
        <v>0.22941775865657801</v>
      </c>
      <c r="AD72" s="466">
        <f t="shared" si="10"/>
        <v>275489.05687000003</v>
      </c>
    </row>
    <row r="73" spans="2:31" ht="13">
      <c r="C73" s="58"/>
      <c r="D73" s="49"/>
      <c r="E73" s="198"/>
      <c r="F73" s="198"/>
      <c r="G73" s="198"/>
      <c r="H73" s="198"/>
      <c r="I73" s="198"/>
      <c r="J73" s="198"/>
      <c r="K73" s="198"/>
      <c r="L73" s="204" t="s">
        <v>359</v>
      </c>
      <c r="M73" s="431">
        <v>183835</v>
      </c>
      <c r="N73" s="286" t="s">
        <v>282</v>
      </c>
      <c r="O73" s="49"/>
      <c r="P73" s="49"/>
      <c r="Q73" s="49"/>
      <c r="R73" s="49"/>
      <c r="S73" s="49"/>
      <c r="AC73" s="204" t="s">
        <v>359</v>
      </c>
      <c r="AD73" s="137">
        <v>271703</v>
      </c>
      <c r="AE73" s="108" t="s">
        <v>66</v>
      </c>
    </row>
    <row r="74" spans="2:31" ht="13">
      <c r="C74" s="206"/>
      <c r="E74" s="207"/>
      <c r="F74" s="207"/>
      <c r="G74" s="207"/>
      <c r="H74" s="207"/>
      <c r="I74" s="207"/>
      <c r="J74" s="207"/>
      <c r="K74" s="207"/>
      <c r="L74" s="208" t="s">
        <v>27</v>
      </c>
      <c r="M74" s="430">
        <f>M73-M72</f>
        <v>-449.51463000001968</v>
      </c>
      <c r="N74" s="60" t="s">
        <v>11</v>
      </c>
      <c r="AC74" s="208" t="s">
        <v>27</v>
      </c>
      <c r="AD74" s="137">
        <f>AD73-AD72</f>
        <v>-3786.0568700000294</v>
      </c>
      <c r="AE74" s="511" t="s">
        <v>585</v>
      </c>
    </row>
    <row r="75" spans="2:31" ht="13">
      <c r="L75" s="204"/>
      <c r="M75" s="431"/>
      <c r="N75" s="286"/>
    </row>
    <row r="76" spans="2:31" ht="13">
      <c r="B76" s="266" t="s">
        <v>393</v>
      </c>
      <c r="L76" s="208"/>
      <c r="M76" s="430"/>
      <c r="N76" s="60"/>
    </row>
    <row r="77" spans="2:31">
      <c r="B77" s="110" t="s">
        <v>772</v>
      </c>
    </row>
    <row r="78" spans="2:31">
      <c r="B78" s="110" t="s">
        <v>773</v>
      </c>
    </row>
    <row r="79" spans="2:31">
      <c r="B79" s="110" t="s">
        <v>774</v>
      </c>
    </row>
  </sheetData>
  <autoFilter ref="B37:N71" xr:uid="{00000000-0009-0000-0000-000007000000}">
    <sortState ref="B41:N80">
      <sortCondition descending="1" ref="M40:M77"/>
    </sortState>
  </autoFilter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AD562"/>
  <sheetViews>
    <sheetView tabSelected="1" topLeftCell="A448" zoomScale="80" zoomScaleNormal="80" workbookViewId="0">
      <selection activeCell="C25" sqref="C25"/>
    </sheetView>
  </sheetViews>
  <sheetFormatPr defaultColWidth="17.54296875" defaultRowHeight="12.5" outlineLevelRow="1"/>
  <cols>
    <col min="1" max="1" width="10.81640625" style="110" customWidth="1"/>
    <col min="2" max="2" width="32.1796875" style="116" customWidth="1"/>
    <col min="3" max="3" width="40.81640625" style="116" customWidth="1"/>
    <col min="4" max="4" width="21" style="116" customWidth="1"/>
    <col min="5" max="5" width="21" style="110" customWidth="1"/>
    <col min="6" max="7" width="17.54296875" style="110" customWidth="1"/>
    <col min="8" max="8" width="26.1796875" style="110" customWidth="1"/>
    <col min="9" max="9" width="17.54296875" style="110" customWidth="1"/>
    <col min="10" max="10" width="32.1796875" style="110" customWidth="1"/>
    <col min="11" max="11" width="35.1796875" style="110" customWidth="1"/>
    <col min="12" max="14" width="17.54296875" style="110" customWidth="1"/>
    <col min="15" max="16384" width="17.54296875" style="110"/>
  </cols>
  <sheetData>
    <row r="1" spans="1:21" ht="13">
      <c r="A1" s="1" t="s">
        <v>798</v>
      </c>
      <c r="B1" s="110"/>
      <c r="C1" s="110"/>
      <c r="D1" s="157" t="s">
        <v>759</v>
      </c>
      <c r="E1" s="111" t="s">
        <v>2</v>
      </c>
      <c r="F1" s="111" t="s">
        <v>3</v>
      </c>
      <c r="G1" s="157" t="s">
        <v>760</v>
      </c>
      <c r="H1" s="111" t="s">
        <v>2</v>
      </c>
      <c r="I1" s="111" t="s">
        <v>3</v>
      </c>
      <c r="K1" s="112"/>
      <c r="L1" s="113" t="s">
        <v>4</v>
      </c>
      <c r="M1" s="113"/>
      <c r="N1" s="6" t="s">
        <v>293</v>
      </c>
      <c r="P1" s="5" t="s">
        <v>290</v>
      </c>
    </row>
    <row r="2" spans="1:21" ht="13">
      <c r="A2" s="109" t="str">
        <f>'ВД0 Рабочая программа'!A2</f>
        <v>31.12.2018</v>
      </c>
      <c r="B2" s="110"/>
      <c r="C2" s="110"/>
      <c r="D2" s="706" t="s">
        <v>635</v>
      </c>
      <c r="E2" s="704">
        <f>'ВД1 Свод'!$E$2</f>
        <v>24800</v>
      </c>
      <c r="F2" s="705">
        <f>'ВД1 Свод'!$F$2</f>
        <v>1523607.8490842495</v>
      </c>
      <c r="G2" s="700" t="s">
        <v>637</v>
      </c>
      <c r="H2" s="701">
        <v>24800</v>
      </c>
      <c r="I2" s="698">
        <f>H2*$L$9</f>
        <v>1555152.7333698627</v>
      </c>
      <c r="K2" s="650" t="s">
        <v>315</v>
      </c>
      <c r="L2" s="114">
        <v>61.435800366300377</v>
      </c>
      <c r="M2" s="8"/>
      <c r="N2" s="4" t="s">
        <v>5</v>
      </c>
      <c r="O2" s="117" t="s">
        <v>9</v>
      </c>
    </row>
    <row r="3" spans="1:21" ht="13">
      <c r="A3" s="2" t="s">
        <v>467</v>
      </c>
      <c r="B3" s="110"/>
      <c r="C3" s="110"/>
      <c r="D3" s="707" t="s">
        <v>636</v>
      </c>
      <c r="E3" s="597">
        <f>'ВД1 Свод'!$E$3</f>
        <v>2700</v>
      </c>
      <c r="F3" s="599">
        <f>'ВД1 Свод'!$F$3</f>
        <v>165876.66098901103</v>
      </c>
      <c r="G3" s="699" t="s">
        <v>638</v>
      </c>
      <c r="H3" s="62">
        <v>2600</v>
      </c>
      <c r="I3" s="601">
        <f t="shared" ref="I3:I5" si="0">H3*$L$9</f>
        <v>163040.2059178082</v>
      </c>
      <c r="K3" s="651" t="s">
        <v>6</v>
      </c>
      <c r="L3" s="115">
        <v>58.255220833333389</v>
      </c>
      <c r="M3" s="8"/>
      <c r="N3" s="4" t="s">
        <v>7</v>
      </c>
      <c r="O3" s="117" t="s">
        <v>10</v>
      </c>
      <c r="R3" s="71"/>
      <c r="S3" s="136"/>
      <c r="T3" s="71"/>
      <c r="U3" s="136"/>
    </row>
    <row r="4" spans="1:21" ht="13">
      <c r="A4" s="3" t="s">
        <v>1</v>
      </c>
      <c r="B4" s="110"/>
      <c r="C4" s="110"/>
      <c r="D4" s="76" t="s">
        <v>258</v>
      </c>
      <c r="E4" s="659">
        <f>E2/4</f>
        <v>6200</v>
      </c>
      <c r="F4" s="709">
        <f>F2/4</f>
        <v>380901.96227106237</v>
      </c>
      <c r="G4" s="76" t="s">
        <v>258</v>
      </c>
      <c r="H4" s="62">
        <f>H2*0.25</f>
        <v>6200</v>
      </c>
      <c r="I4" s="601">
        <f t="shared" si="0"/>
        <v>388788.18334246567</v>
      </c>
      <c r="K4" s="652" t="s">
        <v>316</v>
      </c>
      <c r="L4" s="115">
        <v>65.590599999999995</v>
      </c>
      <c r="M4" s="8"/>
      <c r="N4" s="4" t="s">
        <v>11</v>
      </c>
      <c r="O4" s="117" t="s">
        <v>12</v>
      </c>
      <c r="R4" s="71"/>
      <c r="S4" s="54"/>
      <c r="T4" s="71"/>
      <c r="U4" s="54"/>
    </row>
    <row r="5" spans="1:21">
      <c r="B5" s="110"/>
      <c r="C5" s="110"/>
      <c r="D5" s="710" t="s">
        <v>308</v>
      </c>
      <c r="E5" s="350">
        <f>E4*0.75</f>
        <v>4650</v>
      </c>
      <c r="F5" s="711">
        <f>F4*0.75</f>
        <v>285676.47170329676</v>
      </c>
      <c r="G5" s="76" t="s">
        <v>308</v>
      </c>
      <c r="H5" s="62">
        <f>H4*3/4</f>
        <v>4650</v>
      </c>
      <c r="I5" s="601">
        <f t="shared" si="0"/>
        <v>291591.13750684925</v>
      </c>
      <c r="K5" s="652" t="s">
        <v>8</v>
      </c>
      <c r="L5" s="115">
        <v>58.0169</v>
      </c>
      <c r="M5" s="8"/>
      <c r="N5" s="4" t="s">
        <v>13</v>
      </c>
      <c r="O5" s="117" t="s">
        <v>14</v>
      </c>
      <c r="R5" s="71"/>
      <c r="S5" s="66"/>
      <c r="T5" s="71"/>
      <c r="U5" s="66"/>
    </row>
    <row r="6" spans="1:21">
      <c r="B6" s="110"/>
      <c r="C6" s="110"/>
      <c r="D6" s="176" t="s">
        <v>600</v>
      </c>
      <c r="E6" s="508">
        <f>E4*0.5</f>
        <v>3100</v>
      </c>
      <c r="F6" s="708">
        <f>F4*0.5</f>
        <v>190450.98113553118</v>
      </c>
      <c r="G6" s="77" t="s">
        <v>600</v>
      </c>
      <c r="H6" s="63">
        <f>H4/2</f>
        <v>3100</v>
      </c>
      <c r="I6" s="568">
        <f>H6*$L$9</f>
        <v>194394.09167123283</v>
      </c>
      <c r="K6" s="653" t="s">
        <v>309</v>
      </c>
      <c r="L6" s="162">
        <v>58.352899999999998</v>
      </c>
      <c r="N6" s="4" t="s">
        <v>15</v>
      </c>
      <c r="O6" s="117" t="s">
        <v>16</v>
      </c>
      <c r="P6" s="71"/>
      <c r="Q6" s="54"/>
    </row>
    <row r="7" spans="1:21">
      <c r="B7" s="110"/>
      <c r="C7" s="110"/>
      <c r="D7" s="596"/>
      <c r="E7" s="161"/>
      <c r="F7" s="62"/>
      <c r="K7" s="654" t="s">
        <v>310</v>
      </c>
      <c r="L7" s="298">
        <v>57.600200000000001</v>
      </c>
      <c r="N7" s="4" t="s">
        <v>17</v>
      </c>
      <c r="O7" s="117" t="s">
        <v>18</v>
      </c>
      <c r="P7" s="71"/>
      <c r="Q7" s="54"/>
    </row>
    <row r="8" spans="1:21">
      <c r="B8" s="110"/>
      <c r="C8" s="110"/>
      <c r="D8" s="596"/>
      <c r="E8" s="62"/>
      <c r="F8" s="62"/>
      <c r="K8" s="581" t="s">
        <v>652</v>
      </c>
      <c r="L8" s="162">
        <v>69.470600000000005</v>
      </c>
      <c r="N8" s="4" t="s">
        <v>19</v>
      </c>
      <c r="O8" s="117" t="s">
        <v>20</v>
      </c>
      <c r="P8" s="71"/>
      <c r="Q8" s="54"/>
    </row>
    <row r="9" spans="1:21">
      <c r="B9" s="110"/>
      <c r="C9" s="110"/>
      <c r="D9" s="110"/>
      <c r="K9" s="582" t="s">
        <v>651</v>
      </c>
      <c r="L9" s="583">
        <v>62.707771506849305</v>
      </c>
      <c r="P9" s="71"/>
      <c r="Q9" s="54"/>
    </row>
    <row r="10" spans="1:21" ht="13">
      <c r="B10" s="122" t="s">
        <v>70</v>
      </c>
      <c r="C10" s="110"/>
      <c r="D10" s="110"/>
      <c r="N10" s="71"/>
      <c r="O10" s="54"/>
      <c r="P10" s="71"/>
      <c r="Q10" s="54"/>
    </row>
    <row r="11" spans="1:21">
      <c r="B11" s="130" t="s">
        <v>559</v>
      </c>
      <c r="C11" s="110"/>
      <c r="D11" s="110"/>
      <c r="N11" s="126"/>
      <c r="O11" s="54"/>
      <c r="P11" s="126"/>
      <c r="Q11" s="54"/>
    </row>
    <row r="12" spans="1:21">
      <c r="B12" s="130"/>
      <c r="C12" s="110"/>
      <c r="D12" s="110"/>
      <c r="N12" s="126"/>
      <c r="O12" s="54"/>
      <c r="P12" s="126"/>
      <c r="Q12" s="54"/>
    </row>
    <row r="13" spans="1:21" ht="13">
      <c r="B13" s="122" t="s">
        <v>22</v>
      </c>
      <c r="C13" s="110"/>
      <c r="D13" s="110"/>
      <c r="N13" s="126"/>
      <c r="O13" s="54"/>
      <c r="P13" s="126"/>
      <c r="Q13" s="54"/>
    </row>
    <row r="14" spans="1:21">
      <c r="B14" s="130" t="s">
        <v>560</v>
      </c>
      <c r="C14" s="110"/>
      <c r="D14" s="110"/>
      <c r="N14" s="71"/>
      <c r="O14" s="54"/>
      <c r="P14" s="71"/>
      <c r="Q14" s="54"/>
    </row>
    <row r="15" spans="1:21">
      <c r="B15" s="130" t="s">
        <v>302</v>
      </c>
      <c r="C15" s="110"/>
      <c r="D15" s="110"/>
      <c r="N15" s="71"/>
      <c r="O15" s="54"/>
      <c r="P15" s="71"/>
      <c r="Q15" s="54"/>
    </row>
    <row r="16" spans="1:21">
      <c r="B16" s="130" t="s">
        <v>305</v>
      </c>
      <c r="C16" s="110"/>
      <c r="D16" s="110"/>
      <c r="N16" s="71"/>
      <c r="O16" s="54"/>
      <c r="P16" s="71"/>
      <c r="Q16" s="54"/>
    </row>
    <row r="17" spans="2:17">
      <c r="B17" s="130" t="s">
        <v>291</v>
      </c>
      <c r="C17" s="110"/>
      <c r="D17" s="110"/>
      <c r="N17" s="71"/>
      <c r="O17" s="54"/>
      <c r="P17" s="71"/>
      <c r="Q17" s="54"/>
    </row>
    <row r="18" spans="2:17" ht="13">
      <c r="B18" s="130" t="s">
        <v>737</v>
      </c>
      <c r="C18" s="110"/>
      <c r="D18" s="110"/>
      <c r="N18" s="71"/>
      <c r="O18" s="54"/>
      <c r="P18" s="71"/>
      <c r="Q18" s="54"/>
    </row>
    <row r="19" spans="2:17">
      <c r="B19" s="219" t="s">
        <v>653</v>
      </c>
      <c r="C19" s="110"/>
      <c r="D19" s="110"/>
      <c r="N19" s="71"/>
      <c r="O19" s="54"/>
      <c r="P19" s="71"/>
      <c r="Q19" s="54"/>
    </row>
    <row r="20" spans="2:17">
      <c r="B20" s="219"/>
      <c r="C20" s="110"/>
      <c r="D20" s="110"/>
      <c r="N20" s="71"/>
      <c r="O20" s="54"/>
      <c r="P20" s="71"/>
      <c r="Q20" s="54"/>
    </row>
    <row r="21" spans="2:17" ht="13">
      <c r="B21" s="122" t="s">
        <v>24</v>
      </c>
      <c r="C21" s="110"/>
      <c r="D21" s="110"/>
      <c r="N21" s="71"/>
      <c r="O21" s="66"/>
      <c r="P21" s="71"/>
      <c r="Q21" s="66"/>
    </row>
    <row r="22" spans="2:17">
      <c r="B22" s="130" t="s">
        <v>303</v>
      </c>
      <c r="C22" s="110"/>
      <c r="D22" s="151"/>
      <c r="N22" s="71"/>
      <c r="O22" s="152"/>
      <c r="P22" s="71"/>
      <c r="Q22" s="152"/>
    </row>
    <row r="23" spans="2:17">
      <c r="B23" s="130"/>
      <c r="C23" s="110"/>
      <c r="D23" s="151"/>
      <c r="N23" s="71"/>
      <c r="O23" s="152"/>
      <c r="P23" s="71"/>
      <c r="Q23" s="152"/>
    </row>
    <row r="24" spans="2:17" ht="13">
      <c r="B24" s="526" t="s">
        <v>562</v>
      </c>
      <c r="D24" s="527"/>
      <c r="N24" s="71"/>
      <c r="O24" s="152"/>
      <c r="P24" s="71"/>
      <c r="Q24" s="152"/>
    </row>
    <row r="25" spans="2:17">
      <c r="B25" s="126" t="s">
        <v>561</v>
      </c>
      <c r="D25" s="527"/>
      <c r="N25" s="71"/>
      <c r="O25" s="152"/>
      <c r="P25" s="71"/>
      <c r="Q25" s="152"/>
    </row>
    <row r="26" spans="2:17">
      <c r="B26" s="130"/>
      <c r="D26" s="527"/>
      <c r="N26" s="71"/>
      <c r="O26" s="152"/>
      <c r="P26" s="71"/>
      <c r="Q26" s="152"/>
    </row>
    <row r="27" spans="2:17" ht="13">
      <c r="B27" s="126"/>
      <c r="C27" s="126"/>
      <c r="D27" s="528" t="s">
        <v>565</v>
      </c>
      <c r="N27" s="71"/>
      <c r="O27" s="152"/>
      <c r="P27" s="71"/>
      <c r="Q27" s="152"/>
    </row>
    <row r="28" spans="2:17" ht="25.5">
      <c r="B28" s="529" t="s">
        <v>770</v>
      </c>
      <c r="C28" s="530" t="s">
        <v>440</v>
      </c>
      <c r="D28" s="531">
        <f>SUM(J257:L257)</f>
        <v>2144595.8911499996</v>
      </c>
      <c r="E28" s="511" t="str">
        <f>B33</f>
        <v>Общий комментарий</v>
      </c>
      <c r="N28" s="71"/>
      <c r="O28" s="152"/>
      <c r="P28" s="71"/>
      <c r="Q28" s="152"/>
    </row>
    <row r="29" spans="2:17" ht="13">
      <c r="B29" s="532" t="s">
        <v>602</v>
      </c>
      <c r="C29" s="204" t="s">
        <v>277</v>
      </c>
      <c r="D29" s="527">
        <f>W257</f>
        <v>2179439.7642299999</v>
      </c>
      <c r="N29" s="71"/>
      <c r="O29" s="152"/>
      <c r="P29" s="71"/>
      <c r="Q29" s="152"/>
    </row>
    <row r="30" spans="2:17" ht="13">
      <c r="B30" s="532" t="s">
        <v>563</v>
      </c>
      <c r="C30" s="532"/>
      <c r="D30" s="527">
        <f>D28-D29</f>
        <v>-34843.873080000281</v>
      </c>
      <c r="E30" s="511" t="str">
        <f>IF(ABS(D30)&gt;$I$6, "Более 1/2 от 25% ДО, анализировать", "Менее 1/2 от 25% ДО, соответствует ожиданиям")</f>
        <v>Менее 1/2 от 25% ДО, соответствует ожиданиям</v>
      </c>
      <c r="F30" s="116"/>
      <c r="N30" s="71"/>
      <c r="O30" s="152"/>
      <c r="P30" s="71"/>
      <c r="Q30" s="152"/>
    </row>
    <row r="31" spans="2:17" ht="13">
      <c r="B31" s="533" t="s">
        <v>564</v>
      </c>
      <c r="C31" s="533"/>
      <c r="D31" s="534">
        <f>D30/D29</f>
        <v>-1.5987536637568273E-2</v>
      </c>
      <c r="E31" s="511" t="str">
        <f>IF(ABS(D31)&gt;10%, "Более 10%, анализировать", "Менее 10%, соответствует ожиданиям")</f>
        <v>Менее 10%, соответствует ожиданиям</v>
      </c>
      <c r="F31" s="116"/>
      <c r="N31" s="71"/>
      <c r="O31" s="152"/>
      <c r="P31" s="71"/>
      <c r="Q31" s="152"/>
    </row>
    <row r="32" spans="2:17" ht="13">
      <c r="B32" s="532"/>
      <c r="C32" s="532"/>
      <c r="D32" s="723"/>
      <c r="E32" s="504"/>
      <c r="F32" s="116"/>
      <c r="N32" s="71"/>
      <c r="O32" s="152"/>
      <c r="P32" s="71"/>
      <c r="Q32" s="152"/>
    </row>
    <row r="33" spans="2:17" ht="13">
      <c r="B33" s="724" t="s">
        <v>775</v>
      </c>
      <c r="D33" s="527"/>
      <c r="N33" s="71"/>
      <c r="O33" s="152"/>
      <c r="P33" s="71"/>
      <c r="Q33" s="152"/>
    </row>
    <row r="34" spans="2:17">
      <c r="B34" s="130" t="s">
        <v>814</v>
      </c>
      <c r="D34" s="527"/>
      <c r="N34" s="71"/>
      <c r="O34" s="152"/>
      <c r="P34" s="71"/>
      <c r="Q34" s="152"/>
    </row>
    <row r="35" spans="2:17">
      <c r="B35" s="130"/>
      <c r="D35" s="527"/>
      <c r="N35" s="71"/>
      <c r="O35" s="152"/>
      <c r="P35" s="71"/>
      <c r="Q35" s="152"/>
    </row>
    <row r="36" spans="2:17" ht="13">
      <c r="B36" s="135"/>
      <c r="C36" s="135"/>
      <c r="D36" s="528" t="s">
        <v>565</v>
      </c>
      <c r="N36" s="71"/>
      <c r="O36" s="152"/>
      <c r="P36" s="71"/>
      <c r="Q36" s="152"/>
    </row>
    <row r="37" spans="2:17" ht="25.5">
      <c r="B37" s="499" t="s">
        <v>608</v>
      </c>
      <c r="C37" s="500" t="s">
        <v>440</v>
      </c>
      <c r="D37" s="531">
        <f>Q257/3</f>
        <v>76376.647886666644</v>
      </c>
      <c r="N37" s="71"/>
      <c r="O37" s="152"/>
      <c r="P37" s="71"/>
      <c r="Q37" s="152"/>
    </row>
    <row r="38" spans="2:17" ht="13">
      <c r="B38" s="185" t="s">
        <v>602</v>
      </c>
      <c r="C38" s="501" t="s">
        <v>277</v>
      </c>
      <c r="D38" s="535">
        <f>AB257-Q257</f>
        <v>84586.502850000048</v>
      </c>
      <c r="N38" s="71"/>
      <c r="O38" s="152"/>
      <c r="P38" s="71"/>
      <c r="Q38" s="152"/>
    </row>
    <row r="39" spans="2:17" ht="13">
      <c r="B39" s="185" t="s">
        <v>563</v>
      </c>
      <c r="C39" s="185"/>
      <c r="D39" s="482">
        <f>D37-D38</f>
        <v>-8209.8549633334042</v>
      </c>
      <c r="E39" s="511" t="str">
        <f>IF(ABS(D39)&gt;$I$6, "Более 1/2 от 25% ДО, анализировать", "Менее 1/2 от 25% ДО, соответствует ожиданиям")</f>
        <v>Менее 1/2 от 25% ДО, соответствует ожиданиям</v>
      </c>
      <c r="N39" s="71"/>
      <c r="O39" s="152"/>
      <c r="P39" s="71"/>
      <c r="Q39" s="152"/>
    </row>
    <row r="40" spans="2:17" ht="13">
      <c r="B40" s="311" t="s">
        <v>564</v>
      </c>
      <c r="C40" s="311"/>
      <c r="D40" s="536">
        <f>D39/D38</f>
        <v>-9.7058687695035728E-2</v>
      </c>
      <c r="E40" s="511" t="str">
        <f>IF(ABS(D40)&gt;10%, "Более 10%, анализировать", "Менее 10%, соответствует ожиданиям")</f>
        <v>Менее 10%, соответствует ожиданиям</v>
      </c>
      <c r="N40" s="71"/>
      <c r="O40" s="152"/>
      <c r="P40" s="71"/>
      <c r="Q40" s="152"/>
    </row>
    <row r="41" spans="2:17">
      <c r="B41" s="130"/>
      <c r="C41" s="110"/>
      <c r="D41" s="151"/>
      <c r="N41" s="71"/>
      <c r="O41" s="152"/>
      <c r="P41" s="71"/>
      <c r="Q41" s="152"/>
    </row>
    <row r="42" spans="2:17" ht="13">
      <c r="B42" s="130"/>
      <c r="C42" s="110"/>
      <c r="D42" s="528" t="s">
        <v>565</v>
      </c>
      <c r="N42" s="71"/>
      <c r="O42" s="152"/>
      <c r="P42" s="71"/>
      <c r="Q42" s="152"/>
    </row>
    <row r="43" spans="2:17" ht="25.5">
      <c r="B43" s="499" t="s">
        <v>609</v>
      </c>
      <c r="C43" s="500" t="s">
        <v>440</v>
      </c>
      <c r="D43" s="502">
        <f>R257/3</f>
        <v>21430.860563333332</v>
      </c>
      <c r="N43" s="71"/>
      <c r="O43" s="152"/>
      <c r="P43" s="71"/>
      <c r="Q43" s="152"/>
    </row>
    <row r="44" spans="2:17" ht="13">
      <c r="B44" s="185" t="s">
        <v>602</v>
      </c>
      <c r="C44" s="501" t="s">
        <v>277</v>
      </c>
      <c r="D44" s="482">
        <f>AC257-R257</f>
        <v>21778.954959999995</v>
      </c>
      <c r="N44" s="71"/>
      <c r="O44" s="152"/>
      <c r="P44" s="71"/>
      <c r="Q44" s="152"/>
    </row>
    <row r="45" spans="2:17" ht="13">
      <c r="B45" s="185" t="s">
        <v>563</v>
      </c>
      <c r="C45" s="185"/>
      <c r="D45" s="482">
        <f>D43-D44</f>
        <v>-348.09439666666367</v>
      </c>
      <c r="E45" s="511" t="str">
        <f>IF(ABS(D45)&gt;$I$6, "Более 1/2 от 25% ДО, анализировать", "Менее 1/2 от 25% ДО, соответствует ожиданиям")</f>
        <v>Менее 1/2 от 25% ДО, соответствует ожиданиям</v>
      </c>
      <c r="N45" s="71"/>
      <c r="O45" s="152"/>
      <c r="P45" s="71"/>
      <c r="Q45" s="152"/>
    </row>
    <row r="46" spans="2:17" ht="13">
      <c r="B46" s="311" t="s">
        <v>564</v>
      </c>
      <c r="C46" s="311"/>
      <c r="D46" s="536">
        <f>D45/D44</f>
        <v>-1.5983062424528002E-2</v>
      </c>
      <c r="E46" s="511" t="str">
        <f>IF(ABS(D46)&gt;10%, "Более 10%, анализировать", "Менее 10%, соответствует ожиданиям")</f>
        <v>Менее 10%, соответствует ожиданиям</v>
      </c>
      <c r="N46" s="71"/>
      <c r="O46" s="152"/>
      <c r="P46" s="71"/>
      <c r="Q46" s="152"/>
    </row>
    <row r="47" spans="2:17">
      <c r="B47" s="130"/>
      <c r="C47" s="110"/>
      <c r="D47" s="151"/>
      <c r="N47" s="71"/>
      <c r="O47" s="152"/>
      <c r="P47" s="71"/>
      <c r="Q47" s="152"/>
    </row>
    <row r="48" spans="2:17">
      <c r="B48" s="130"/>
      <c r="C48" s="110"/>
      <c r="D48" s="151"/>
      <c r="N48" s="71"/>
      <c r="O48" s="152"/>
      <c r="P48" s="71"/>
      <c r="Q48" s="152"/>
    </row>
    <row r="49" spans="2:28">
      <c r="B49" s="130"/>
      <c r="C49" s="110"/>
      <c r="D49" s="151"/>
      <c r="N49" s="71"/>
      <c r="O49" s="152"/>
      <c r="P49" s="71"/>
      <c r="Q49" s="152"/>
    </row>
    <row r="50" spans="2:28">
      <c r="B50" s="130"/>
      <c r="C50" s="110"/>
      <c r="D50" s="151"/>
      <c r="N50" s="71"/>
      <c r="O50" s="152"/>
      <c r="P50" s="71"/>
      <c r="Q50" s="152"/>
    </row>
    <row r="51" spans="2:28" ht="13">
      <c r="B51" s="122" t="s">
        <v>468</v>
      </c>
      <c r="C51" s="110"/>
      <c r="D51" s="151"/>
      <c r="N51" s="71"/>
      <c r="O51" s="152"/>
      <c r="P51" s="153"/>
      <c r="Q51" s="152"/>
    </row>
    <row r="52" spans="2:28" ht="13">
      <c r="B52" s="144" t="s">
        <v>815</v>
      </c>
      <c r="C52" s="110"/>
      <c r="D52" s="151"/>
      <c r="N52" s="71"/>
      <c r="O52" s="152"/>
      <c r="P52" s="153"/>
      <c r="Q52" s="152"/>
    </row>
    <row r="53" spans="2:28">
      <c r="B53" s="82">
        <v>701</v>
      </c>
      <c r="C53" s="83" t="s">
        <v>45</v>
      </c>
      <c r="D53" s="151"/>
      <c r="N53" s="71"/>
      <c r="O53" s="152"/>
      <c r="P53" s="153"/>
      <c r="Q53" s="152"/>
    </row>
    <row r="54" spans="2:28">
      <c r="B54" s="84">
        <v>703</v>
      </c>
      <c r="C54" s="85" t="s">
        <v>273</v>
      </c>
      <c r="D54" s="151"/>
      <c r="N54" s="71"/>
      <c r="O54" s="152"/>
      <c r="P54" s="153"/>
      <c r="Q54" s="152"/>
    </row>
    <row r="55" spans="2:28">
      <c r="B55" s="84">
        <v>301</v>
      </c>
      <c r="C55" s="85" t="s">
        <v>50</v>
      </c>
      <c r="D55" s="151"/>
      <c r="N55" s="71"/>
      <c r="O55" s="152"/>
      <c r="P55" s="153"/>
      <c r="Q55" s="152"/>
    </row>
    <row r="56" spans="2:28">
      <c r="B56" s="84">
        <v>605</v>
      </c>
      <c r="C56" s="85" t="s">
        <v>41</v>
      </c>
      <c r="D56" s="151"/>
      <c r="N56" s="71"/>
      <c r="O56" s="152"/>
      <c r="P56" s="153"/>
      <c r="Q56" s="152"/>
    </row>
    <row r="57" spans="2:28">
      <c r="B57" s="84">
        <v>401</v>
      </c>
      <c r="C57" s="85" t="s">
        <v>52</v>
      </c>
      <c r="D57" s="151"/>
      <c r="N57" s="71"/>
      <c r="O57" s="152"/>
      <c r="P57" s="153"/>
      <c r="Q57" s="152"/>
    </row>
    <row r="58" spans="2:28">
      <c r="B58" s="84">
        <v>190</v>
      </c>
      <c r="C58" s="85" t="s">
        <v>48</v>
      </c>
      <c r="D58" s="151"/>
      <c r="N58" s="71"/>
      <c r="O58" s="152"/>
      <c r="P58" s="153"/>
      <c r="Q58" s="152"/>
    </row>
    <row r="59" spans="2:28">
      <c r="B59" s="84">
        <v>606</v>
      </c>
      <c r="C59" s="85" t="s">
        <v>43</v>
      </c>
      <c r="D59" s="151"/>
      <c r="N59" s="71"/>
      <c r="O59" s="152"/>
      <c r="P59" s="71"/>
      <c r="Q59" s="152"/>
      <c r="R59" s="135"/>
      <c r="S59" s="135"/>
    </row>
    <row r="60" spans="2:28">
      <c r="B60" s="84">
        <v>201</v>
      </c>
      <c r="C60" s="85" t="s">
        <v>259</v>
      </c>
      <c r="D60" s="151"/>
      <c r="N60" s="71"/>
      <c r="O60" s="152"/>
      <c r="P60" s="71"/>
      <c r="Q60" s="152"/>
      <c r="R60" s="135"/>
      <c r="S60" s="135"/>
    </row>
    <row r="61" spans="2:28">
      <c r="B61" s="86">
        <v>999</v>
      </c>
      <c r="C61" s="87" t="s">
        <v>257</v>
      </c>
      <c r="D61" s="151"/>
      <c r="E61" s="49"/>
      <c r="N61" s="71"/>
      <c r="O61" s="152"/>
      <c r="P61" s="71"/>
      <c r="Q61" s="152"/>
      <c r="R61" s="135"/>
      <c r="S61" s="135"/>
    </row>
    <row r="62" spans="2:28">
      <c r="B62" s="153"/>
      <c r="C62" s="152"/>
      <c r="D62" s="110"/>
      <c r="P62" s="135"/>
      <c r="Q62" s="135"/>
      <c r="R62" s="135"/>
      <c r="S62" s="135"/>
    </row>
    <row r="63" spans="2:28">
      <c r="B63" s="110"/>
      <c r="C63" s="110"/>
      <c r="D63" s="110"/>
      <c r="P63" s="135"/>
      <c r="Q63" s="135"/>
      <c r="R63" s="135"/>
      <c r="S63" s="135"/>
    </row>
    <row r="64" spans="2:28" ht="13">
      <c r="B64" s="122" t="s">
        <v>469</v>
      </c>
      <c r="C64" s="45"/>
      <c r="D64" s="46"/>
      <c r="E64" s="46"/>
      <c r="F64" s="46"/>
      <c r="G64" s="47"/>
      <c r="H64" s="47"/>
      <c r="I64" s="47"/>
      <c r="J64" s="48"/>
      <c r="K64" s="48"/>
      <c r="L64" s="48"/>
      <c r="M64" s="48"/>
      <c r="P64" s="135"/>
      <c r="Q64" s="522" t="s">
        <v>583</v>
      </c>
      <c r="R64" s="135"/>
      <c r="S64" s="135"/>
      <c r="AB64" s="511" t="s">
        <v>584</v>
      </c>
    </row>
    <row r="65" spans="1:29" ht="13">
      <c r="B65" s="144" t="s">
        <v>815</v>
      </c>
      <c r="D65" s="46"/>
      <c r="E65" s="46"/>
      <c r="F65" s="46"/>
      <c r="G65" s="47"/>
      <c r="H65" s="47"/>
      <c r="I65" s="47"/>
      <c r="J65" s="48"/>
      <c r="K65" s="48"/>
      <c r="L65" s="48"/>
      <c r="M65" s="48"/>
      <c r="P65" s="89"/>
      <c r="Q65" s="737" t="s">
        <v>470</v>
      </c>
      <c r="R65" s="737"/>
      <c r="T65" s="511" t="s">
        <v>582</v>
      </c>
      <c r="AB65" s="737" t="s">
        <v>470</v>
      </c>
      <c r="AC65" s="737"/>
    </row>
    <row r="66" spans="1:29" s="154" customFormat="1" ht="39">
      <c r="B66" s="140" t="s">
        <v>71</v>
      </c>
      <c r="C66" s="140" t="s">
        <v>72</v>
      </c>
      <c r="D66" s="140" t="s">
        <v>73</v>
      </c>
      <c r="E66" s="140" t="s">
        <v>74</v>
      </c>
      <c r="F66" s="141" t="s">
        <v>75</v>
      </c>
      <c r="G66" s="140" t="s">
        <v>76</v>
      </c>
      <c r="H66" s="140" t="s">
        <v>77</v>
      </c>
      <c r="I66" s="140" t="s">
        <v>78</v>
      </c>
      <c r="J66" s="134" t="s">
        <v>79</v>
      </c>
      <c r="K66" s="134" t="s">
        <v>80</v>
      </c>
      <c r="L66" s="134" t="s">
        <v>81</v>
      </c>
      <c r="M66" s="138" t="s">
        <v>342</v>
      </c>
      <c r="N66" s="134" t="s">
        <v>256</v>
      </c>
      <c r="O66" s="159" t="s">
        <v>306</v>
      </c>
      <c r="P66" s="80"/>
      <c r="Q66" s="322" t="s">
        <v>271</v>
      </c>
      <c r="R66" s="322" t="s">
        <v>272</v>
      </c>
      <c r="T66" s="323" t="s">
        <v>551</v>
      </c>
      <c r="U66" s="322" t="s">
        <v>552</v>
      </c>
      <c r="V66" s="322" t="s">
        <v>553</v>
      </c>
      <c r="W66" s="323" t="s">
        <v>580</v>
      </c>
      <c r="X66" s="159" t="s">
        <v>306</v>
      </c>
      <c r="Z66" s="323" t="s">
        <v>581</v>
      </c>
      <c r="AB66" s="322" t="s">
        <v>271</v>
      </c>
      <c r="AC66" s="322" t="s">
        <v>272</v>
      </c>
    </row>
    <row r="67" spans="1:29" s="135" customFormat="1" ht="13" outlineLevel="1">
      <c r="A67" s="110"/>
      <c r="B67" s="665">
        <v>3201040020</v>
      </c>
      <c r="C67" s="574" t="s">
        <v>83</v>
      </c>
      <c r="D67" s="574">
        <v>0.50532999999999995</v>
      </c>
      <c r="E67" s="574">
        <v>0.50024000000000002</v>
      </c>
      <c r="F67" s="574">
        <v>0</v>
      </c>
      <c r="G67" s="574">
        <v>0</v>
      </c>
      <c r="H67" s="574">
        <v>0</v>
      </c>
      <c r="I67" s="574">
        <v>0</v>
      </c>
      <c r="J67" s="574">
        <v>0</v>
      </c>
      <c r="K67" s="574">
        <v>0</v>
      </c>
      <c r="L67" s="574">
        <v>0</v>
      </c>
      <c r="M67" s="62">
        <f>(SUM(D67:L67))</f>
        <v>1.0055700000000001</v>
      </c>
      <c r="N67" s="69">
        <v>190</v>
      </c>
      <c r="O67" s="150" t="s">
        <v>288</v>
      </c>
      <c r="P67" s="69"/>
      <c r="Q67" s="62"/>
      <c r="R67" s="62"/>
      <c r="T67" s="667">
        <v>0</v>
      </c>
      <c r="U67" s="667">
        <v>0</v>
      </c>
      <c r="V67" s="667">
        <v>0</v>
      </c>
      <c r="W67" s="131">
        <f>SUM(T67:V67)</f>
        <v>0</v>
      </c>
      <c r="X67" s="150" t="s">
        <v>288</v>
      </c>
      <c r="Z67" s="62">
        <f t="shared" ref="Z67:Z123" si="1">W67+M67</f>
        <v>1.0055700000000001</v>
      </c>
      <c r="AB67" s="62"/>
      <c r="AC67" s="62"/>
    </row>
    <row r="68" spans="1:29" s="135" customFormat="1" ht="13" outlineLevel="1">
      <c r="A68" s="110"/>
      <c r="B68" s="665">
        <v>3201040050</v>
      </c>
      <c r="C68" s="574" t="s">
        <v>84</v>
      </c>
      <c r="D68" s="574">
        <v>3110.7163300000002</v>
      </c>
      <c r="E68" s="574">
        <v>2613.6379700000002</v>
      </c>
      <c r="F68" s="574">
        <v>2745.6569599999998</v>
      </c>
      <c r="G68" s="574">
        <v>2080.0374699999998</v>
      </c>
      <c r="H68" s="574">
        <v>1682.21306</v>
      </c>
      <c r="I68" s="574">
        <v>1428.3771200000001</v>
      </c>
      <c r="J68" s="574">
        <v>882.31997999999999</v>
      </c>
      <c r="K68" s="574">
        <v>973.55041999999992</v>
      </c>
      <c r="L68" s="574">
        <v>883.28397000000007</v>
      </c>
      <c r="M68" s="62">
        <f>SUM(D68:L68)</f>
        <v>16399.793280000002</v>
      </c>
      <c r="N68" s="69">
        <v>190</v>
      </c>
      <c r="O68" s="150" t="s">
        <v>288</v>
      </c>
      <c r="P68" s="69"/>
      <c r="Q68" s="62"/>
      <c r="R68" s="62"/>
      <c r="T68" s="667">
        <v>1627.2930700000002</v>
      </c>
      <c r="U68" s="667">
        <v>2907.8054499999998</v>
      </c>
      <c r="V68" s="667">
        <v>3116.1213200000002</v>
      </c>
      <c r="W68" s="131">
        <f t="shared" ref="W68:W124" si="2">SUM(T68:V68)</f>
        <v>7651.2198399999997</v>
      </c>
      <c r="X68" s="150" t="s">
        <v>288</v>
      </c>
      <c r="Z68" s="62">
        <f t="shared" si="1"/>
        <v>24051.013120000003</v>
      </c>
      <c r="AB68" s="62"/>
      <c r="AC68" s="62"/>
    </row>
    <row r="69" spans="1:29" s="135" customFormat="1" ht="13" outlineLevel="1">
      <c r="A69" s="110"/>
      <c r="B69" s="665">
        <v>3201040080</v>
      </c>
      <c r="C69" s="574" t="s">
        <v>85</v>
      </c>
      <c r="D69" s="574">
        <v>2.3300000000000001E-2</v>
      </c>
      <c r="E69" s="574">
        <v>1.2E-2</v>
      </c>
      <c r="F69" s="574">
        <v>7.7300000000000008E-3</v>
      </c>
      <c r="G69" s="574">
        <v>1.5269999999999999E-2</v>
      </c>
      <c r="H69" s="574">
        <v>2.1319999999999999E-2</v>
      </c>
      <c r="I69" s="574">
        <v>2.7170000000000003E-2</v>
      </c>
      <c r="J69" s="574">
        <v>2.7570000000000001E-2</v>
      </c>
      <c r="K69" s="574">
        <v>2.231E-2</v>
      </c>
      <c r="L69" s="574">
        <v>1.4160000000000001E-2</v>
      </c>
      <c r="M69" s="62">
        <f>SUM(D69:L69)</f>
        <v>0.17083000000000001</v>
      </c>
      <c r="N69" s="69">
        <v>190</v>
      </c>
      <c r="O69" s="150" t="s">
        <v>288</v>
      </c>
      <c r="P69" s="69"/>
      <c r="Q69" s="62"/>
      <c r="R69" s="62"/>
      <c r="T69" s="667">
        <v>1.2199999999999999E-3</v>
      </c>
      <c r="U69" s="667">
        <v>1.393E-2</v>
      </c>
      <c r="V69" s="667">
        <v>1.2330000000000001E-2</v>
      </c>
      <c r="W69" s="131">
        <f t="shared" si="2"/>
        <v>2.7480000000000001E-2</v>
      </c>
      <c r="X69" s="150" t="s">
        <v>288</v>
      </c>
      <c r="Z69" s="62">
        <f t="shared" si="1"/>
        <v>0.19831000000000001</v>
      </c>
      <c r="AB69" s="62"/>
      <c r="AC69" s="62"/>
    </row>
    <row r="70" spans="1:29" s="58" customFormat="1" ht="13">
      <c r="A70" s="109"/>
      <c r="B70" s="666"/>
      <c r="C70" s="577" t="s">
        <v>86</v>
      </c>
      <c r="D70" s="577">
        <f>SUM(D67:D69)</f>
        <v>3111.24496</v>
      </c>
      <c r="E70" s="577">
        <f t="shared" ref="E70:L70" si="3">SUM(E67:E69)</f>
        <v>2614.1502100000002</v>
      </c>
      <c r="F70" s="577">
        <f t="shared" si="3"/>
        <v>2745.6646899999996</v>
      </c>
      <c r="G70" s="577">
        <f t="shared" si="3"/>
        <v>2080.0527399999996</v>
      </c>
      <c r="H70" s="577">
        <f t="shared" si="3"/>
        <v>1682.2343800000001</v>
      </c>
      <c r="I70" s="577">
        <f t="shared" si="3"/>
        <v>1428.4042900000002</v>
      </c>
      <c r="J70" s="577">
        <f t="shared" si="3"/>
        <v>882.34754999999996</v>
      </c>
      <c r="K70" s="577">
        <f t="shared" si="3"/>
        <v>973.57272999999986</v>
      </c>
      <c r="L70" s="577">
        <f t="shared" si="3"/>
        <v>883.29813000000001</v>
      </c>
      <c r="M70" s="577">
        <f>SUM(M67:M69)</f>
        <v>16400.969680000002</v>
      </c>
      <c r="N70" s="70"/>
      <c r="O70" s="150"/>
      <c r="P70" s="70"/>
      <c r="Q70" s="198"/>
      <c r="R70" s="198"/>
      <c r="T70" s="668">
        <f>SUM(T67:T69)</f>
        <v>1627.2942900000003</v>
      </c>
      <c r="U70" s="668">
        <f t="shared" ref="U70:V70" si="4">SUM(U67:U69)</f>
        <v>2907.8193799999999</v>
      </c>
      <c r="V70" s="668">
        <f t="shared" si="4"/>
        <v>3116.1336500000002</v>
      </c>
      <c r="W70" s="59">
        <f t="shared" si="2"/>
        <v>7651.2473200000004</v>
      </c>
      <c r="X70" s="150"/>
      <c r="Z70" s="198">
        <f t="shared" si="1"/>
        <v>24052.217000000004</v>
      </c>
      <c r="AB70" s="62"/>
      <c r="AC70" s="62"/>
    </row>
    <row r="71" spans="1:29" s="135" customFormat="1" ht="13" outlineLevel="1">
      <c r="A71" s="110"/>
      <c r="B71" s="665">
        <v>3201010020</v>
      </c>
      <c r="C71" s="574" t="s">
        <v>87</v>
      </c>
      <c r="D71" s="574">
        <v>0</v>
      </c>
      <c r="E71" s="574">
        <v>0</v>
      </c>
      <c r="F71" s="574">
        <v>0</v>
      </c>
      <c r="G71" s="574">
        <v>3.5E-4</v>
      </c>
      <c r="H71" s="574">
        <v>2.2000000000000001E-4</v>
      </c>
      <c r="I71" s="574">
        <v>0</v>
      </c>
      <c r="J71" s="574">
        <v>0</v>
      </c>
      <c r="K71" s="574">
        <v>0</v>
      </c>
      <c r="L71" s="574">
        <v>0</v>
      </c>
      <c r="M71" s="62">
        <f t="shared" ref="M71:M118" si="5">SUM(D71:L71)</f>
        <v>5.6999999999999998E-4</v>
      </c>
      <c r="N71" s="69">
        <v>190</v>
      </c>
      <c r="O71" s="150" t="s">
        <v>288</v>
      </c>
      <c r="P71" s="69"/>
      <c r="Q71" s="62">
        <f>VLOOKUP(B71,$B$373:$M$430,12,0)</f>
        <v>0</v>
      </c>
      <c r="R71" s="62"/>
      <c r="T71" s="667">
        <v>0.49532999999999999</v>
      </c>
      <c r="U71" s="667">
        <v>0</v>
      </c>
      <c r="V71" s="667">
        <v>5.5799999999999999E-3</v>
      </c>
      <c r="W71" s="131">
        <f t="shared" si="2"/>
        <v>0.50090999999999997</v>
      </c>
      <c r="X71" s="150" t="s">
        <v>288</v>
      </c>
      <c r="Z71" s="62">
        <f t="shared" si="1"/>
        <v>0.50147999999999993</v>
      </c>
      <c r="AB71" s="62">
        <f>VLOOKUP(B71,$B$373:$R$430,17,0)</f>
        <v>0</v>
      </c>
      <c r="AC71" s="62"/>
    </row>
    <row r="72" spans="1:29" s="135" customFormat="1" ht="13" outlineLevel="1">
      <c r="A72" s="110"/>
      <c r="B72" s="665">
        <v>3201010030</v>
      </c>
      <c r="C72" s="574" t="s">
        <v>88</v>
      </c>
      <c r="D72" s="574">
        <v>0</v>
      </c>
      <c r="E72" s="574">
        <v>0</v>
      </c>
      <c r="F72" s="574">
        <v>0</v>
      </c>
      <c r="G72" s="574">
        <v>0</v>
      </c>
      <c r="H72" s="574">
        <v>9.5230000000000009E-2</v>
      </c>
      <c r="I72" s="574">
        <v>1.4014800000000001</v>
      </c>
      <c r="J72" s="574">
        <v>0</v>
      </c>
      <c r="K72" s="574">
        <v>0</v>
      </c>
      <c r="L72" s="574">
        <v>0</v>
      </c>
      <c r="M72" s="62">
        <f t="shared" si="5"/>
        <v>1.49671</v>
      </c>
      <c r="N72" s="69">
        <v>190</v>
      </c>
      <c r="O72" s="150" t="s">
        <v>288</v>
      </c>
      <c r="P72" s="69"/>
      <c r="Q72" s="62"/>
      <c r="R72" s="62"/>
      <c r="T72" s="667">
        <v>0</v>
      </c>
      <c r="U72" s="667">
        <v>0</v>
      </c>
      <c r="V72" s="667">
        <v>0</v>
      </c>
      <c r="W72" s="131">
        <f t="shared" si="2"/>
        <v>0</v>
      </c>
      <c r="X72" s="150" t="s">
        <v>288</v>
      </c>
      <c r="Z72" s="62">
        <f t="shared" si="1"/>
        <v>1.49671</v>
      </c>
      <c r="AB72" s="62"/>
      <c r="AC72" s="62"/>
    </row>
    <row r="73" spans="1:29" s="135" customFormat="1" ht="13" outlineLevel="1">
      <c r="A73" s="110"/>
      <c r="B73" s="665">
        <v>3201010055</v>
      </c>
      <c r="C73" s="574" t="s">
        <v>89</v>
      </c>
      <c r="D73" s="574">
        <v>0</v>
      </c>
      <c r="E73" s="574">
        <v>0</v>
      </c>
      <c r="F73" s="574">
        <v>0</v>
      </c>
      <c r="G73" s="574">
        <v>0</v>
      </c>
      <c r="H73" s="574">
        <v>4.6242999999999999</v>
      </c>
      <c r="I73" s="574">
        <v>0</v>
      </c>
      <c r="J73" s="574">
        <v>0</v>
      </c>
      <c r="K73" s="574">
        <v>6.8068800000000005</v>
      </c>
      <c r="L73" s="574">
        <v>0.46162999999999998</v>
      </c>
      <c r="M73" s="62">
        <f t="shared" si="5"/>
        <v>11.892810000000001</v>
      </c>
      <c r="N73" s="69">
        <v>190</v>
      </c>
      <c r="O73" s="150" t="s">
        <v>288</v>
      </c>
      <c r="P73" s="69"/>
      <c r="Q73" s="62"/>
      <c r="R73" s="62"/>
      <c r="T73" s="667">
        <v>0</v>
      </c>
      <c r="U73" s="667">
        <v>0.92583000000000004</v>
      </c>
      <c r="V73" s="667">
        <v>5.9950799999999997</v>
      </c>
      <c r="W73" s="131">
        <f t="shared" si="2"/>
        <v>6.9209100000000001</v>
      </c>
      <c r="X73" s="150" t="s">
        <v>288</v>
      </c>
      <c r="Z73" s="62">
        <f t="shared" si="1"/>
        <v>18.81372</v>
      </c>
      <c r="AB73" s="62"/>
      <c r="AC73" s="62"/>
    </row>
    <row r="74" spans="1:29" s="135" customFormat="1" ht="13" outlineLevel="1">
      <c r="A74" s="110"/>
      <c r="B74" s="665">
        <v>3201030010</v>
      </c>
      <c r="C74" s="574" t="s">
        <v>90</v>
      </c>
      <c r="D74" s="574">
        <v>1951.7198900000001</v>
      </c>
      <c r="E74" s="574">
        <v>1814.5456100000001</v>
      </c>
      <c r="F74" s="574">
        <v>1920.3169700000003</v>
      </c>
      <c r="G74" s="574">
        <v>2485.8595599999994</v>
      </c>
      <c r="H74" s="574">
        <v>2460.7400899999998</v>
      </c>
      <c r="I74" s="574">
        <v>2635.9566800000002</v>
      </c>
      <c r="J74" s="574">
        <v>2108.9494599999998</v>
      </c>
      <c r="K74" s="574">
        <v>3965.0544799999998</v>
      </c>
      <c r="L74" s="574">
        <v>4956.8860500000001</v>
      </c>
      <c r="M74" s="62">
        <f t="shared" si="5"/>
        <v>24300.02879</v>
      </c>
      <c r="N74" s="69">
        <v>190</v>
      </c>
      <c r="O74" s="150" t="s">
        <v>288</v>
      </c>
      <c r="P74" s="69"/>
      <c r="Q74" s="62">
        <f>VLOOKUP(B74,$B$373:$M$430,12,0)</f>
        <v>3096.5331700000006</v>
      </c>
      <c r="R74" s="62">
        <f>VLOOKUP($B74,$B$437:$E$452,3,0)</f>
        <v>94.654579999999996</v>
      </c>
      <c r="T74" s="667">
        <v>3179.20876</v>
      </c>
      <c r="U74" s="667">
        <v>4328.1563499999993</v>
      </c>
      <c r="V74" s="667">
        <v>4394.8745600000002</v>
      </c>
      <c r="W74" s="131">
        <f t="shared" si="2"/>
        <v>11902.239669999999</v>
      </c>
      <c r="X74" s="150" t="s">
        <v>288</v>
      </c>
      <c r="Z74" s="62">
        <f t="shared" si="1"/>
        <v>36202.268459999999</v>
      </c>
      <c r="AB74" s="62">
        <f>VLOOKUP(B74,$B$373:$R$430,17,0)</f>
        <v>4368.2632400000002</v>
      </c>
      <c r="AC74" s="62">
        <f>VLOOKUP($B74,$B$437:$E$452,4,0)</f>
        <v>277.92194000000001</v>
      </c>
    </row>
    <row r="75" spans="1:29" s="135" customFormat="1" ht="13" outlineLevel="1">
      <c r="A75" s="110"/>
      <c r="B75" s="665">
        <v>3201030015</v>
      </c>
      <c r="C75" s="574" t="s">
        <v>91</v>
      </c>
      <c r="D75" s="574">
        <v>0</v>
      </c>
      <c r="E75" s="574">
        <v>0</v>
      </c>
      <c r="F75" s="574">
        <v>0</v>
      </c>
      <c r="G75" s="574">
        <v>0</v>
      </c>
      <c r="H75" s="574">
        <v>0</v>
      </c>
      <c r="I75" s="574">
        <v>0</v>
      </c>
      <c r="J75" s="574">
        <v>0</v>
      </c>
      <c r="K75" s="574">
        <v>0.46379999999999999</v>
      </c>
      <c r="L75" s="574">
        <v>2.0087299999999999</v>
      </c>
      <c r="M75" s="62">
        <f t="shared" si="5"/>
        <v>2.4725299999999999</v>
      </c>
      <c r="N75" s="69">
        <v>190</v>
      </c>
      <c r="O75" s="150" t="s">
        <v>288</v>
      </c>
      <c r="P75" s="69"/>
      <c r="Q75" s="62"/>
      <c r="R75" s="62"/>
      <c r="T75" s="667">
        <v>0.48327999999999999</v>
      </c>
      <c r="U75" s="667">
        <v>0</v>
      </c>
      <c r="V75" s="667">
        <v>0</v>
      </c>
      <c r="W75" s="131">
        <f t="shared" si="2"/>
        <v>0.48327999999999999</v>
      </c>
      <c r="X75" s="150" t="s">
        <v>288</v>
      </c>
      <c r="Z75" s="62">
        <f t="shared" si="1"/>
        <v>2.95581</v>
      </c>
      <c r="AB75" s="62"/>
      <c r="AC75" s="62"/>
    </row>
    <row r="76" spans="1:29" s="135" customFormat="1" ht="13" outlineLevel="1">
      <c r="A76" s="110"/>
      <c r="B76" s="665">
        <v>3201030020</v>
      </c>
      <c r="C76" s="574" t="s">
        <v>92</v>
      </c>
      <c r="D76" s="574">
        <v>44.270129999999995</v>
      </c>
      <c r="E76" s="574">
        <v>42.125089999999993</v>
      </c>
      <c r="F76" s="574">
        <v>30.919689999999999</v>
      </c>
      <c r="G76" s="574">
        <v>23.37388</v>
      </c>
      <c r="H76" s="574">
        <v>62.1511</v>
      </c>
      <c r="I76" s="574">
        <v>44.310209999999998</v>
      </c>
      <c r="J76" s="574">
        <v>12.078340000000001</v>
      </c>
      <c r="K76" s="574">
        <v>41.45675</v>
      </c>
      <c r="L76" s="574">
        <v>53.194269999999996</v>
      </c>
      <c r="M76" s="62">
        <f t="shared" si="5"/>
        <v>353.87945999999999</v>
      </c>
      <c r="N76" s="69">
        <v>190</v>
      </c>
      <c r="O76" s="150" t="s">
        <v>288</v>
      </c>
      <c r="P76" s="69"/>
      <c r="Q76" s="62">
        <f>VLOOKUP(B76,$B$373:$M$430,12,0)</f>
        <v>353.87945999999999</v>
      </c>
      <c r="R76" s="62"/>
      <c r="T76" s="667">
        <v>207.04973999999999</v>
      </c>
      <c r="U76" s="667">
        <v>59.581029999999998</v>
      </c>
      <c r="V76" s="667">
        <v>63.896349999999998</v>
      </c>
      <c r="W76" s="131">
        <f t="shared" si="2"/>
        <v>330.52711999999997</v>
      </c>
      <c r="X76" s="150" t="s">
        <v>288</v>
      </c>
      <c r="Z76" s="62">
        <f t="shared" si="1"/>
        <v>684.40657999999996</v>
      </c>
      <c r="AB76" s="62">
        <f>VLOOKUP(B76,$B$373:$R$430,17,0)</f>
        <v>684.40657999999996</v>
      </c>
      <c r="AC76" s="62"/>
    </row>
    <row r="77" spans="1:29" s="135" customFormat="1" ht="13" outlineLevel="1">
      <c r="A77" s="110"/>
      <c r="B77" s="665">
        <v>3201030030</v>
      </c>
      <c r="C77" s="574" t="s">
        <v>311</v>
      </c>
      <c r="D77" s="574">
        <v>0</v>
      </c>
      <c r="E77" s="574">
        <v>0</v>
      </c>
      <c r="F77" s="574">
        <v>0</v>
      </c>
      <c r="G77" s="574">
        <v>0</v>
      </c>
      <c r="H77" s="574">
        <v>0</v>
      </c>
      <c r="I77" s="574">
        <v>0</v>
      </c>
      <c r="J77" s="574">
        <v>0</v>
      </c>
      <c r="K77" s="574">
        <v>0</v>
      </c>
      <c r="L77" s="574">
        <v>7.9779499999999999</v>
      </c>
      <c r="M77" s="62">
        <f t="shared" si="5"/>
        <v>7.9779499999999999</v>
      </c>
      <c r="N77" s="69">
        <v>190</v>
      </c>
      <c r="O77" s="150" t="s">
        <v>288</v>
      </c>
      <c r="P77" s="69"/>
      <c r="Q77" s="62"/>
      <c r="R77" s="62"/>
      <c r="T77" s="667">
        <v>0</v>
      </c>
      <c r="U77" s="667">
        <v>0</v>
      </c>
      <c r="V77" s="667">
        <v>0</v>
      </c>
      <c r="W77" s="131">
        <f t="shared" si="2"/>
        <v>0</v>
      </c>
      <c r="X77" s="150" t="s">
        <v>288</v>
      </c>
      <c r="Z77" s="62">
        <f t="shared" si="1"/>
        <v>7.9779499999999999</v>
      </c>
      <c r="AB77" s="62"/>
      <c r="AC77" s="62"/>
    </row>
    <row r="78" spans="1:29" s="135" customFormat="1" ht="13" outlineLevel="1">
      <c r="A78" s="110"/>
      <c r="B78" s="665">
        <v>3201030043</v>
      </c>
      <c r="C78" s="574" t="s">
        <v>668</v>
      </c>
      <c r="D78" s="574">
        <v>0</v>
      </c>
      <c r="E78" s="574">
        <v>0</v>
      </c>
      <c r="F78" s="574">
        <v>0</v>
      </c>
      <c r="G78" s="574">
        <v>0</v>
      </c>
      <c r="H78" s="574">
        <v>0</v>
      </c>
      <c r="I78" s="574">
        <v>0</v>
      </c>
      <c r="J78" s="574">
        <v>0</v>
      </c>
      <c r="K78" s="574">
        <v>0</v>
      </c>
      <c r="L78" s="574">
        <v>0</v>
      </c>
      <c r="M78" s="62">
        <f t="shared" si="5"/>
        <v>0</v>
      </c>
      <c r="N78" s="69"/>
      <c r="O78" s="150"/>
      <c r="P78" s="69"/>
      <c r="Q78" s="62"/>
      <c r="R78" s="62"/>
      <c r="T78" s="667">
        <v>0</v>
      </c>
      <c r="U78" s="667">
        <v>2.6765700000000003</v>
      </c>
      <c r="V78" s="667">
        <v>0</v>
      </c>
      <c r="W78" s="131">
        <f t="shared" si="2"/>
        <v>2.6765700000000003</v>
      </c>
      <c r="X78" s="150"/>
      <c r="Z78" s="62">
        <f t="shared" si="1"/>
        <v>2.6765700000000003</v>
      </c>
      <c r="AB78" s="62"/>
      <c r="AC78" s="62"/>
    </row>
    <row r="79" spans="1:29" s="135" customFormat="1" ht="13" outlineLevel="1">
      <c r="A79" s="110"/>
      <c r="B79" s="665">
        <v>3201050010</v>
      </c>
      <c r="C79" s="574" t="s">
        <v>93</v>
      </c>
      <c r="D79" s="574">
        <v>14.64296</v>
      </c>
      <c r="E79" s="574">
        <v>6.4405000000000001</v>
      </c>
      <c r="F79" s="574">
        <v>0.14354</v>
      </c>
      <c r="G79" s="574">
        <v>0.35494999999999999</v>
      </c>
      <c r="H79" s="574">
        <v>43.192459999999997</v>
      </c>
      <c r="I79" s="574">
        <v>8.9704300000000003</v>
      </c>
      <c r="J79" s="574">
        <v>3.0114500000000004</v>
      </c>
      <c r="K79" s="574">
        <v>3.5099999999999997E-3</v>
      </c>
      <c r="L79" s="574">
        <v>56.7911</v>
      </c>
      <c r="M79" s="62">
        <f t="shared" si="5"/>
        <v>133.55090000000001</v>
      </c>
      <c r="N79" s="69">
        <v>190</v>
      </c>
      <c r="O79" s="150" t="s">
        <v>288</v>
      </c>
      <c r="P79" s="69"/>
      <c r="Q79" s="62">
        <f>VLOOKUP(B79,$B$373:$M$430,12,0)</f>
        <v>73.46651</v>
      </c>
      <c r="R79" s="62"/>
      <c r="T79" s="667">
        <v>18.104580000000002</v>
      </c>
      <c r="U79" s="667">
        <v>6.5076999999999998</v>
      </c>
      <c r="V79" s="667">
        <v>0.97372000000000003</v>
      </c>
      <c r="W79" s="131">
        <f t="shared" si="2"/>
        <v>25.586000000000002</v>
      </c>
      <c r="X79" s="150" t="s">
        <v>288</v>
      </c>
      <c r="Z79" s="62">
        <f t="shared" si="1"/>
        <v>159.13690000000003</v>
      </c>
      <c r="AB79" s="62">
        <f>VLOOKUP(B79,$B$373:$R$430,17,0)</f>
        <v>74.286850000000001</v>
      </c>
      <c r="AC79" s="62"/>
    </row>
    <row r="80" spans="1:29" s="135" customFormat="1" ht="13" outlineLevel="1">
      <c r="A80" s="110"/>
      <c r="B80" s="665">
        <v>3201060010</v>
      </c>
      <c r="C80" s="574" t="s">
        <v>94</v>
      </c>
      <c r="D80" s="574">
        <v>4462.8580000000002</v>
      </c>
      <c r="E80" s="574">
        <v>2585.38436</v>
      </c>
      <c r="F80" s="574">
        <v>3926.6674900000003</v>
      </c>
      <c r="G80" s="574">
        <v>3849.6750400000001</v>
      </c>
      <c r="H80" s="574">
        <v>7878.8663200000001</v>
      </c>
      <c r="I80" s="574">
        <v>5221.5164299999997</v>
      </c>
      <c r="J80" s="574">
        <v>5105.8050300000004</v>
      </c>
      <c r="K80" s="574">
        <v>5861.1012499999997</v>
      </c>
      <c r="L80" s="574">
        <v>6256.4335999999994</v>
      </c>
      <c r="M80" s="62">
        <f t="shared" si="5"/>
        <v>45148.307519999995</v>
      </c>
      <c r="N80" s="69">
        <v>190</v>
      </c>
      <c r="O80" s="150" t="s">
        <v>288</v>
      </c>
      <c r="P80" s="69"/>
      <c r="Q80" s="62">
        <f>VLOOKUP(B80,$B$373:$M$430,12,0)</f>
        <v>1071.5386800000001</v>
      </c>
      <c r="R80" s="62">
        <f>VLOOKUP(B80,$B$437:$E$452,3,0)</f>
        <v>21.255130000000001</v>
      </c>
      <c r="T80" s="667">
        <v>3977.2371899999994</v>
      </c>
      <c r="U80" s="667">
        <v>6950.1139700000003</v>
      </c>
      <c r="V80" s="667">
        <v>7949.3296500000006</v>
      </c>
      <c r="W80" s="131">
        <f t="shared" si="2"/>
        <v>18876.680810000002</v>
      </c>
      <c r="X80" s="150" t="s">
        <v>288</v>
      </c>
      <c r="Z80" s="62">
        <f t="shared" si="1"/>
        <v>64024.988329999993</v>
      </c>
      <c r="AB80" s="62">
        <f>VLOOKUP(B80,$B$373:$R$430,17,0)</f>
        <v>2923.07627</v>
      </c>
      <c r="AC80" s="62">
        <f>VLOOKUP($B80,$B$437:$E$452,4,0)</f>
        <v>21.215259999999997</v>
      </c>
    </row>
    <row r="81" spans="1:29" s="135" customFormat="1" ht="13" outlineLevel="1">
      <c r="A81" s="110"/>
      <c r="B81" s="665">
        <v>3201060020</v>
      </c>
      <c r="C81" s="574" t="s">
        <v>96</v>
      </c>
      <c r="D81" s="574">
        <v>0</v>
      </c>
      <c r="E81" s="574">
        <v>0</v>
      </c>
      <c r="F81" s="574">
        <v>1.165</v>
      </c>
      <c r="G81" s="574">
        <v>0</v>
      </c>
      <c r="H81" s="574">
        <v>3.7879999999999998</v>
      </c>
      <c r="I81" s="574">
        <v>1.1579999999999999</v>
      </c>
      <c r="J81" s="574">
        <v>0</v>
      </c>
      <c r="K81" s="574">
        <v>0</v>
      </c>
      <c r="L81" s="574">
        <v>0</v>
      </c>
      <c r="M81" s="62">
        <f t="shared" si="5"/>
        <v>6.1109999999999989</v>
      </c>
      <c r="N81" s="69">
        <v>190</v>
      </c>
      <c r="O81" s="150" t="s">
        <v>288</v>
      </c>
      <c r="P81" s="69"/>
      <c r="Q81" s="62"/>
      <c r="R81" s="62"/>
      <c r="T81" s="667">
        <v>0</v>
      </c>
      <c r="U81" s="667">
        <v>0</v>
      </c>
      <c r="V81" s="667">
        <v>63.310120000000005</v>
      </c>
      <c r="W81" s="131">
        <f t="shared" si="2"/>
        <v>63.310120000000005</v>
      </c>
      <c r="X81" s="150" t="s">
        <v>288</v>
      </c>
      <c r="Z81" s="62">
        <f t="shared" si="1"/>
        <v>69.421120000000002</v>
      </c>
      <c r="AB81" s="62"/>
      <c r="AC81" s="62"/>
    </row>
    <row r="82" spans="1:29" s="135" customFormat="1" ht="13" outlineLevel="1">
      <c r="A82" s="110"/>
      <c r="B82" s="665">
        <v>3201060030</v>
      </c>
      <c r="C82" s="574" t="s">
        <v>97</v>
      </c>
      <c r="D82" s="574">
        <v>0</v>
      </c>
      <c r="E82" s="574">
        <v>0</v>
      </c>
      <c r="F82" s="574">
        <v>0</v>
      </c>
      <c r="G82" s="574">
        <v>0</v>
      </c>
      <c r="H82" s="574">
        <v>0</v>
      </c>
      <c r="I82" s="574">
        <v>0</v>
      </c>
      <c r="J82" s="574">
        <v>0</v>
      </c>
      <c r="K82" s="574">
        <v>117.48209</v>
      </c>
      <c r="L82" s="574">
        <v>0</v>
      </c>
      <c r="M82" s="62">
        <f t="shared" si="5"/>
        <v>117.48209</v>
      </c>
      <c r="N82" s="69">
        <v>190</v>
      </c>
      <c r="O82" s="150" t="s">
        <v>288</v>
      </c>
      <c r="P82" s="69"/>
      <c r="Q82" s="62"/>
      <c r="R82" s="62"/>
      <c r="T82" s="667">
        <v>0</v>
      </c>
      <c r="U82" s="667">
        <v>0</v>
      </c>
      <c r="V82" s="667">
        <v>0</v>
      </c>
      <c r="W82" s="131">
        <f t="shared" si="2"/>
        <v>0</v>
      </c>
      <c r="X82" s="150" t="s">
        <v>288</v>
      </c>
      <c r="Z82" s="62">
        <f t="shared" si="1"/>
        <v>117.48209</v>
      </c>
      <c r="AB82" s="62"/>
      <c r="AC82" s="62"/>
    </row>
    <row r="83" spans="1:29" s="135" customFormat="1" ht="13" outlineLevel="1">
      <c r="A83" s="110"/>
      <c r="B83" s="665">
        <v>3201070010</v>
      </c>
      <c r="C83" s="574" t="s">
        <v>98</v>
      </c>
      <c r="D83" s="574">
        <v>1093.7487900000001</v>
      </c>
      <c r="E83" s="574">
        <v>1779.3922299999999</v>
      </c>
      <c r="F83" s="574">
        <v>1602.96228</v>
      </c>
      <c r="G83" s="574">
        <v>2501.9724799999999</v>
      </c>
      <c r="H83" s="574">
        <v>1610.0609100000001</v>
      </c>
      <c r="I83" s="574">
        <v>9152.247519999999</v>
      </c>
      <c r="J83" s="574">
        <v>7316.1122700000005</v>
      </c>
      <c r="K83" s="574">
        <v>4520.2724700000008</v>
      </c>
      <c r="L83" s="574">
        <v>15486.170450000001</v>
      </c>
      <c r="M83" s="62">
        <f t="shared" si="5"/>
        <v>45062.939400000003</v>
      </c>
      <c r="N83" s="69">
        <v>190</v>
      </c>
      <c r="O83" s="150" t="s">
        <v>288</v>
      </c>
      <c r="P83" s="69"/>
      <c r="Q83" s="62">
        <f>VLOOKUP(B83,$B$373:$M$430,12,0)</f>
        <v>747.19516999999996</v>
      </c>
      <c r="R83" s="62">
        <f>VLOOKUP(B83,$B$437:$E$452,3,0)</f>
        <v>21.203389999999999</v>
      </c>
      <c r="T83" s="667">
        <v>8642.6694100000004</v>
      </c>
      <c r="U83" s="667">
        <v>8171.3794300000009</v>
      </c>
      <c r="V83" s="667">
        <v>18875.241550000002</v>
      </c>
      <c r="W83" s="131">
        <f t="shared" si="2"/>
        <v>35689.290390000009</v>
      </c>
      <c r="X83" s="150" t="s">
        <v>288</v>
      </c>
      <c r="Z83" s="62">
        <f t="shared" si="1"/>
        <v>80752.229790000012</v>
      </c>
      <c r="AB83" s="62">
        <f>VLOOKUP(B83,$B$373:$R$430,17,0)</f>
        <v>1065.3028999999999</v>
      </c>
      <c r="AC83" s="62">
        <f>VLOOKUP($B83,$B$437:$E$452,4,0)</f>
        <v>21.163619999999998</v>
      </c>
    </row>
    <row r="84" spans="1:29" s="135" customFormat="1" ht="13" outlineLevel="1">
      <c r="A84" s="110"/>
      <c r="B84" s="665">
        <v>3201070030</v>
      </c>
      <c r="C84" s="574" t="s">
        <v>323</v>
      </c>
      <c r="D84" s="574">
        <v>0</v>
      </c>
      <c r="E84" s="574">
        <v>0</v>
      </c>
      <c r="F84" s="574">
        <v>0</v>
      </c>
      <c r="G84" s="574">
        <v>0</v>
      </c>
      <c r="H84" s="574">
        <v>0</v>
      </c>
      <c r="I84" s="574">
        <v>0</v>
      </c>
      <c r="J84" s="574">
        <v>0</v>
      </c>
      <c r="K84" s="574">
        <v>0</v>
      </c>
      <c r="L84" s="574">
        <v>29.148820000000001</v>
      </c>
      <c r="M84" s="62">
        <f t="shared" si="5"/>
        <v>29.148820000000001</v>
      </c>
      <c r="N84" s="69">
        <v>190</v>
      </c>
      <c r="O84" s="150" t="s">
        <v>288</v>
      </c>
      <c r="P84" s="69"/>
      <c r="Q84" s="62"/>
      <c r="R84" s="62"/>
      <c r="T84" s="667">
        <v>0</v>
      </c>
      <c r="U84" s="667">
        <v>0</v>
      </c>
      <c r="V84" s="667">
        <v>0</v>
      </c>
      <c r="W84" s="131">
        <f t="shared" si="2"/>
        <v>0</v>
      </c>
      <c r="X84" s="150" t="s">
        <v>288</v>
      </c>
      <c r="Z84" s="62">
        <f t="shared" si="1"/>
        <v>29.148820000000001</v>
      </c>
      <c r="AB84" s="62"/>
      <c r="AC84" s="62"/>
    </row>
    <row r="85" spans="1:29" s="135" customFormat="1" ht="13" outlineLevel="1">
      <c r="A85" s="110"/>
      <c r="B85" s="665">
        <v>3201090010</v>
      </c>
      <c r="C85" s="574" t="s">
        <v>99</v>
      </c>
      <c r="D85" s="574">
        <v>51.522350000000003</v>
      </c>
      <c r="E85" s="574">
        <v>61.078150000000001</v>
      </c>
      <c r="F85" s="574">
        <v>69.339160000000007</v>
      </c>
      <c r="G85" s="574">
        <v>36.42286</v>
      </c>
      <c r="H85" s="574">
        <v>377.93475999999998</v>
      </c>
      <c r="I85" s="574">
        <v>42.83717</v>
      </c>
      <c r="J85" s="574">
        <v>148.55458999999999</v>
      </c>
      <c r="K85" s="574">
        <v>409.84490999999997</v>
      </c>
      <c r="L85" s="574">
        <v>250.23275000000001</v>
      </c>
      <c r="M85" s="62">
        <f t="shared" si="5"/>
        <v>1447.7667000000001</v>
      </c>
      <c r="N85" s="69">
        <v>190</v>
      </c>
      <c r="O85" s="150" t="s">
        <v>288</v>
      </c>
      <c r="P85" s="69"/>
      <c r="Q85" s="62">
        <f>VLOOKUP(B85,$B$373:$M$430,12,0)</f>
        <v>192.56540000000001</v>
      </c>
      <c r="R85" s="62">
        <f>VLOOKUP(B85,$B$437:$E$452,3,0)</f>
        <v>6.9059200000000001</v>
      </c>
      <c r="T85" s="667">
        <v>273.79980999999998</v>
      </c>
      <c r="U85" s="667">
        <v>276.95524999999998</v>
      </c>
      <c r="V85" s="667">
        <v>571.39194000000009</v>
      </c>
      <c r="W85" s="131">
        <f t="shared" si="2"/>
        <v>1122.1469999999999</v>
      </c>
      <c r="X85" s="150" t="s">
        <v>288</v>
      </c>
      <c r="Z85" s="62">
        <f t="shared" si="1"/>
        <v>2569.9137000000001</v>
      </c>
      <c r="AB85" s="62">
        <f>VLOOKUP(B85,$B$373:$R$430,17,0)</f>
        <v>344.12178</v>
      </c>
      <c r="AC85" s="62">
        <f>VLOOKUP($B85,$B$437:$E$452,4,0)</f>
        <v>18.390419999999999</v>
      </c>
    </row>
    <row r="86" spans="1:29" s="135" customFormat="1" ht="13" outlineLevel="1">
      <c r="A86" s="110"/>
      <c r="B86" s="665">
        <v>3201100010</v>
      </c>
      <c r="C86" s="574" t="s">
        <v>100</v>
      </c>
      <c r="D86" s="574">
        <v>371.00471999999996</v>
      </c>
      <c r="E86" s="574">
        <v>535.47717999999998</v>
      </c>
      <c r="F86" s="574">
        <v>436.02906999999993</v>
      </c>
      <c r="G86" s="574">
        <v>429.48493000000008</v>
      </c>
      <c r="H86" s="574">
        <v>626.02883999999995</v>
      </c>
      <c r="I86" s="574">
        <v>336.15224000000001</v>
      </c>
      <c r="J86" s="574">
        <v>503.87223999999998</v>
      </c>
      <c r="K86" s="574">
        <v>518.71998999999994</v>
      </c>
      <c r="L86" s="574">
        <v>572.30557999999996</v>
      </c>
      <c r="M86" s="62">
        <f t="shared" si="5"/>
        <v>4329.0747899999997</v>
      </c>
      <c r="N86" s="69">
        <v>190</v>
      </c>
      <c r="O86" s="150" t="s">
        <v>288</v>
      </c>
      <c r="P86" s="69"/>
      <c r="Q86" s="62">
        <f>VLOOKUP(B86,$B$373:$M$430,12,0)</f>
        <v>1558.8012800000001</v>
      </c>
      <c r="R86" s="62">
        <f>VLOOKUP(B86,$B$437:$E$452,3,0)</f>
        <v>0.56533</v>
      </c>
      <c r="T86" s="667">
        <v>834.40521999999999</v>
      </c>
      <c r="U86" s="667">
        <v>947.51291999999989</v>
      </c>
      <c r="V86" s="667">
        <v>841.04536000000007</v>
      </c>
      <c r="W86" s="131">
        <f t="shared" si="2"/>
        <v>2622.9634999999998</v>
      </c>
      <c r="X86" s="150" t="s">
        <v>288</v>
      </c>
      <c r="Z86" s="62">
        <f t="shared" si="1"/>
        <v>6952.0382899999995</v>
      </c>
      <c r="AB86" s="62">
        <f>VLOOKUP(B86,$B$373:$R$430,17,0)</f>
        <v>2575.2534100000003</v>
      </c>
      <c r="AC86" s="62">
        <f>VLOOKUP($B86,$B$437:$E$452,4,0)</f>
        <v>1.10327</v>
      </c>
    </row>
    <row r="87" spans="1:29" s="135" customFormat="1" ht="13" outlineLevel="1">
      <c r="A87" s="110"/>
      <c r="B87" s="665">
        <v>3201100020</v>
      </c>
      <c r="C87" s="574" t="s">
        <v>101</v>
      </c>
      <c r="D87" s="574">
        <v>1.5889000000000002</v>
      </c>
      <c r="E87" s="574">
        <v>7.59802</v>
      </c>
      <c r="F87" s="574">
        <v>20.6557</v>
      </c>
      <c r="G87" s="574">
        <v>6.3556000000000008</v>
      </c>
      <c r="H87" s="574">
        <v>22.620979999999999</v>
      </c>
      <c r="I87" s="574">
        <v>13.809670000000001</v>
      </c>
      <c r="J87" s="574">
        <v>22.224499999999999</v>
      </c>
      <c r="K87" s="574">
        <v>23.83183</v>
      </c>
      <c r="L87" s="574">
        <v>19.040230000000001</v>
      </c>
      <c r="M87" s="62">
        <f t="shared" si="5"/>
        <v>137.72542999999999</v>
      </c>
      <c r="N87" s="69">
        <v>190</v>
      </c>
      <c r="O87" s="150" t="s">
        <v>288</v>
      </c>
      <c r="P87" s="69"/>
      <c r="Q87" s="62"/>
      <c r="R87" s="62"/>
      <c r="T87" s="667">
        <v>3.1778000000000004</v>
      </c>
      <c r="U87" s="667">
        <v>6.3537400000000002</v>
      </c>
      <c r="V87" s="667">
        <v>5.3938800000000002</v>
      </c>
      <c r="W87" s="131">
        <f t="shared" si="2"/>
        <v>14.925419999999999</v>
      </c>
      <c r="X87" s="150" t="s">
        <v>288</v>
      </c>
      <c r="Z87" s="62">
        <f t="shared" si="1"/>
        <v>152.65084999999999</v>
      </c>
      <c r="AB87" s="62"/>
      <c r="AC87" s="62"/>
    </row>
    <row r="88" spans="1:29" s="135" customFormat="1" ht="13" outlineLevel="1">
      <c r="A88" s="110"/>
      <c r="B88" s="665">
        <v>3201140030</v>
      </c>
      <c r="C88" s="574" t="s">
        <v>102</v>
      </c>
      <c r="D88" s="574">
        <v>34.647390000000001</v>
      </c>
      <c r="E88" s="574">
        <v>34.952550000000002</v>
      </c>
      <c r="F88" s="574">
        <v>29.880590000000002</v>
      </c>
      <c r="G88" s="574">
        <v>38.40025</v>
      </c>
      <c r="H88" s="574">
        <v>94.716929999999991</v>
      </c>
      <c r="I88" s="574">
        <v>50.371559999999995</v>
      </c>
      <c r="J88" s="574">
        <v>56.02808000000001</v>
      </c>
      <c r="K88" s="574">
        <v>96.250209999999996</v>
      </c>
      <c r="L88" s="574">
        <v>27.602229999999995</v>
      </c>
      <c r="M88" s="62">
        <f t="shared" si="5"/>
        <v>462.84978999999998</v>
      </c>
      <c r="N88" s="69">
        <v>190</v>
      </c>
      <c r="O88" s="150" t="s">
        <v>288</v>
      </c>
      <c r="P88" s="69"/>
      <c r="Q88" s="62">
        <f>VLOOKUP(B88,$B$373:$M$430,12,0)</f>
        <v>151.53805</v>
      </c>
      <c r="R88" s="62">
        <f>VLOOKUP(B88,$B$437:$E$452,3,0)</f>
        <v>0</v>
      </c>
      <c r="T88" s="667">
        <v>55.216900000000003</v>
      </c>
      <c r="U88" s="667">
        <v>29.585099999999997</v>
      </c>
      <c r="V88" s="667">
        <v>111.89127000000001</v>
      </c>
      <c r="W88" s="131">
        <f t="shared" si="2"/>
        <v>196.69326999999998</v>
      </c>
      <c r="X88" s="150" t="s">
        <v>288</v>
      </c>
      <c r="Z88" s="62">
        <f t="shared" si="1"/>
        <v>659.54305999999997</v>
      </c>
      <c r="AB88" s="62">
        <f>VLOOKUP(B88,$B$373:$R$430,17,0)</f>
        <v>181.28158999999999</v>
      </c>
      <c r="AC88" s="62">
        <f>VLOOKUP($B88,$B$437:$E$452,4,0)</f>
        <v>0</v>
      </c>
    </row>
    <row r="89" spans="1:29" s="135" customFormat="1" ht="13" outlineLevel="1">
      <c r="A89" s="110"/>
      <c r="B89" s="665">
        <v>3299000608</v>
      </c>
      <c r="C89" s="574" t="s">
        <v>324</v>
      </c>
      <c r="D89" s="574">
        <v>0</v>
      </c>
      <c r="E89" s="574">
        <v>0</v>
      </c>
      <c r="F89" s="574">
        <v>0</v>
      </c>
      <c r="G89" s="574">
        <v>0</v>
      </c>
      <c r="H89" s="574">
        <v>0</v>
      </c>
      <c r="I89" s="574">
        <v>0</v>
      </c>
      <c r="J89" s="574">
        <v>-0.88983000000000001</v>
      </c>
      <c r="K89" s="574">
        <v>0</v>
      </c>
      <c r="L89" s="574">
        <v>0</v>
      </c>
      <c r="M89" s="62">
        <f t="shared" si="5"/>
        <v>-0.88983000000000001</v>
      </c>
      <c r="N89" s="69">
        <v>190</v>
      </c>
      <c r="O89" s="150" t="s">
        <v>288</v>
      </c>
      <c r="P89" s="69"/>
      <c r="Q89" s="62"/>
      <c r="R89" s="62"/>
      <c r="T89" s="667">
        <v>0</v>
      </c>
      <c r="U89" s="667">
        <v>0</v>
      </c>
      <c r="V89" s="667">
        <v>0</v>
      </c>
      <c r="W89" s="131">
        <f t="shared" si="2"/>
        <v>0</v>
      </c>
      <c r="X89" s="150" t="s">
        <v>288</v>
      </c>
      <c r="Z89" s="62">
        <f t="shared" si="1"/>
        <v>-0.88983000000000001</v>
      </c>
      <c r="AB89" s="62"/>
      <c r="AC89" s="62"/>
    </row>
    <row r="90" spans="1:29" s="135" customFormat="1" ht="13" outlineLevel="1">
      <c r="A90" s="110"/>
      <c r="B90" s="665">
        <v>3299000060</v>
      </c>
      <c r="C90" s="574" t="s">
        <v>325</v>
      </c>
      <c r="D90" s="574">
        <v>0</v>
      </c>
      <c r="E90" s="574">
        <v>0</v>
      </c>
      <c r="F90" s="574">
        <v>0</v>
      </c>
      <c r="G90" s="574">
        <v>0</v>
      </c>
      <c r="H90" s="574">
        <v>0</v>
      </c>
      <c r="I90" s="574">
        <v>0</v>
      </c>
      <c r="J90" s="574">
        <v>-13.17008</v>
      </c>
      <c r="K90" s="574">
        <v>0</v>
      </c>
      <c r="L90" s="574">
        <v>0</v>
      </c>
      <c r="M90" s="62">
        <f t="shared" si="5"/>
        <v>-13.17008</v>
      </c>
      <c r="N90" s="69">
        <v>190</v>
      </c>
      <c r="O90" s="150" t="s">
        <v>288</v>
      </c>
      <c r="P90" s="69"/>
      <c r="Q90" s="62"/>
      <c r="R90" s="62"/>
      <c r="T90" s="667">
        <v>0</v>
      </c>
      <c r="U90" s="667">
        <v>0</v>
      </c>
      <c r="V90" s="667">
        <v>0</v>
      </c>
      <c r="W90" s="131">
        <f t="shared" si="2"/>
        <v>0</v>
      </c>
      <c r="X90" s="150" t="s">
        <v>288</v>
      </c>
      <c r="Z90" s="62">
        <f t="shared" si="1"/>
        <v>-13.17008</v>
      </c>
      <c r="AB90" s="62"/>
      <c r="AC90" s="62"/>
    </row>
    <row r="91" spans="1:29" s="135" customFormat="1" ht="13" outlineLevel="1">
      <c r="A91" s="110"/>
      <c r="B91" s="665">
        <v>3299000062</v>
      </c>
      <c r="C91" s="574" t="s">
        <v>326</v>
      </c>
      <c r="D91" s="574">
        <v>0</v>
      </c>
      <c r="E91" s="574">
        <v>0</v>
      </c>
      <c r="F91" s="574">
        <v>0</v>
      </c>
      <c r="G91" s="574">
        <v>0</v>
      </c>
      <c r="H91" s="574">
        <v>0</v>
      </c>
      <c r="I91" s="574">
        <v>-69.072550000000007</v>
      </c>
      <c r="J91" s="574">
        <v>0</v>
      </c>
      <c r="K91" s="574">
        <v>0</v>
      </c>
      <c r="L91" s="574">
        <v>0</v>
      </c>
      <c r="M91" s="62">
        <f t="shared" si="5"/>
        <v>-69.072550000000007</v>
      </c>
      <c r="N91" s="69">
        <v>190</v>
      </c>
      <c r="O91" s="150" t="s">
        <v>288</v>
      </c>
      <c r="P91" s="69"/>
      <c r="Q91" s="62"/>
      <c r="R91" s="62"/>
      <c r="T91" s="667">
        <v>0</v>
      </c>
      <c r="U91" s="667">
        <v>0</v>
      </c>
      <c r="V91" s="667">
        <v>0</v>
      </c>
      <c r="W91" s="131">
        <f t="shared" si="2"/>
        <v>0</v>
      </c>
      <c r="X91" s="150" t="s">
        <v>288</v>
      </c>
      <c r="Z91" s="62">
        <f t="shared" si="1"/>
        <v>-69.072550000000007</v>
      </c>
      <c r="AB91" s="62"/>
      <c r="AC91" s="62"/>
    </row>
    <row r="92" spans="1:29" s="135" customFormat="1" ht="13" outlineLevel="1">
      <c r="A92" s="110"/>
      <c r="B92" s="665">
        <v>3299000003</v>
      </c>
      <c r="C92" s="574" t="s">
        <v>103</v>
      </c>
      <c r="D92" s="574">
        <v>0</v>
      </c>
      <c r="E92" s="574">
        <v>0</v>
      </c>
      <c r="F92" s="574">
        <v>0</v>
      </c>
      <c r="G92" s="574">
        <v>0</v>
      </c>
      <c r="H92" s="574">
        <v>0</v>
      </c>
      <c r="I92" s="574">
        <v>-18.850000000000001</v>
      </c>
      <c r="J92" s="574">
        <v>0</v>
      </c>
      <c r="K92" s="574">
        <v>0</v>
      </c>
      <c r="L92" s="574">
        <v>0</v>
      </c>
      <c r="M92" s="62">
        <f>M91+M70</f>
        <v>16331.897130000001</v>
      </c>
      <c r="N92" s="69">
        <v>190</v>
      </c>
      <c r="O92" s="150" t="s">
        <v>288</v>
      </c>
      <c r="P92" s="69"/>
      <c r="Q92" s="62"/>
      <c r="R92" s="62"/>
      <c r="T92" s="667">
        <v>0</v>
      </c>
      <c r="U92" s="667">
        <v>0</v>
      </c>
      <c r="V92" s="667">
        <v>0</v>
      </c>
      <c r="W92" s="131">
        <f t="shared" si="2"/>
        <v>0</v>
      </c>
      <c r="X92" s="150" t="s">
        <v>288</v>
      </c>
      <c r="Z92" s="62">
        <f t="shared" si="1"/>
        <v>16331.897130000001</v>
      </c>
      <c r="AB92" s="62"/>
      <c r="AC92" s="62"/>
    </row>
    <row r="93" spans="1:29" s="135" customFormat="1" ht="13" outlineLevel="1">
      <c r="A93" s="110"/>
      <c r="B93" s="665">
        <v>3299000037</v>
      </c>
      <c r="C93" s="574" t="s">
        <v>104</v>
      </c>
      <c r="D93" s="574">
        <v>-5.7560500000000001</v>
      </c>
      <c r="E93" s="574">
        <v>-9.6390200000000004</v>
      </c>
      <c r="F93" s="574">
        <v>0</v>
      </c>
      <c r="G93" s="574">
        <v>0</v>
      </c>
      <c r="H93" s="574">
        <v>0</v>
      </c>
      <c r="I93" s="574">
        <v>-308.19666999999998</v>
      </c>
      <c r="J93" s="574">
        <v>0</v>
      </c>
      <c r="K93" s="574">
        <v>-31.460129999999999</v>
      </c>
      <c r="L93" s="574">
        <v>-102.6348</v>
      </c>
      <c r="M93" s="62">
        <f t="shared" si="5"/>
        <v>-457.68666999999994</v>
      </c>
      <c r="N93" s="69">
        <v>190</v>
      </c>
      <c r="O93" s="150" t="s">
        <v>288</v>
      </c>
      <c r="P93" s="69"/>
      <c r="Q93" s="62"/>
      <c r="R93" s="62"/>
      <c r="T93" s="667">
        <v>-34.878699999999995</v>
      </c>
      <c r="U93" s="667">
        <v>0</v>
      </c>
      <c r="V93" s="667">
        <v>0</v>
      </c>
      <c r="W93" s="131">
        <f t="shared" si="2"/>
        <v>-34.878699999999995</v>
      </c>
      <c r="X93" s="150" t="s">
        <v>288</v>
      </c>
      <c r="Z93" s="62">
        <f t="shared" si="1"/>
        <v>-492.56536999999992</v>
      </c>
      <c r="AB93" s="62"/>
      <c r="AC93" s="62"/>
    </row>
    <row r="94" spans="1:29" s="58" customFormat="1" ht="13">
      <c r="A94" s="109"/>
      <c r="B94" s="666"/>
      <c r="C94" s="577" t="s">
        <v>105</v>
      </c>
      <c r="D94" s="577">
        <f t="shared" ref="D94:M94" si="6">SUM(D71:D93)</f>
        <v>8020.2470800000001</v>
      </c>
      <c r="E94" s="577">
        <f t="shared" si="6"/>
        <v>6857.3546700000015</v>
      </c>
      <c r="F94" s="577">
        <f t="shared" si="6"/>
        <v>8038.0794900000001</v>
      </c>
      <c r="G94" s="577">
        <f t="shared" si="6"/>
        <v>9371.8999000000022</v>
      </c>
      <c r="H94" s="577">
        <f t="shared" si="6"/>
        <v>13184.820140000002</v>
      </c>
      <c r="I94" s="577">
        <f t="shared" si="6"/>
        <v>17112.612169999997</v>
      </c>
      <c r="J94" s="577">
        <f t="shared" si="6"/>
        <v>15262.576050000001</v>
      </c>
      <c r="K94" s="577">
        <f t="shared" si="6"/>
        <v>15529.82804</v>
      </c>
      <c r="L94" s="577">
        <f t="shared" si="6"/>
        <v>27615.618589999998</v>
      </c>
      <c r="M94" s="577">
        <f t="shared" si="6"/>
        <v>137343.78326000003</v>
      </c>
      <c r="N94" s="69"/>
      <c r="O94" s="150"/>
      <c r="P94" s="69"/>
      <c r="Q94" s="62"/>
      <c r="R94" s="62"/>
      <c r="T94" s="668">
        <f>SUM(T71:T93)</f>
        <v>17156.96932</v>
      </c>
      <c r="U94" s="668">
        <f>SUM(U71:U93)</f>
        <v>20779.747889999999</v>
      </c>
      <c r="V94" s="668">
        <f>SUM(V71:V93)</f>
        <v>32883.349060000008</v>
      </c>
      <c r="W94" s="59">
        <f>SUM(T94:V94)</f>
        <v>70820.06627000001</v>
      </c>
      <c r="X94" s="150"/>
      <c r="Z94" s="198">
        <f t="shared" si="1"/>
        <v>208163.84953000004</v>
      </c>
      <c r="AB94" s="62"/>
      <c r="AC94" s="62"/>
    </row>
    <row r="95" spans="1:29" s="58" customFormat="1" ht="13">
      <c r="A95" s="109"/>
      <c r="B95" s="666"/>
      <c r="C95" s="577" t="s">
        <v>106</v>
      </c>
      <c r="D95" s="577">
        <f t="shared" ref="D95:M95" si="7">D94+D70</f>
        <v>11131.492040000001</v>
      </c>
      <c r="E95" s="577">
        <f t="shared" si="7"/>
        <v>9471.5048800000022</v>
      </c>
      <c r="F95" s="577">
        <f t="shared" si="7"/>
        <v>10783.74418</v>
      </c>
      <c r="G95" s="577">
        <f t="shared" si="7"/>
        <v>11451.952640000001</v>
      </c>
      <c r="H95" s="577">
        <f t="shared" si="7"/>
        <v>14867.054520000002</v>
      </c>
      <c r="I95" s="577">
        <f t="shared" si="7"/>
        <v>18541.016459999995</v>
      </c>
      <c r="J95" s="577">
        <f t="shared" si="7"/>
        <v>16144.923600000002</v>
      </c>
      <c r="K95" s="577">
        <f t="shared" si="7"/>
        <v>16503.40077</v>
      </c>
      <c r="L95" s="577">
        <f t="shared" si="7"/>
        <v>28498.916719999997</v>
      </c>
      <c r="M95" s="577">
        <f t="shared" si="7"/>
        <v>153744.75294000003</v>
      </c>
      <c r="N95" s="69"/>
      <c r="O95" s="150"/>
      <c r="P95" s="69"/>
      <c r="Q95" s="62"/>
      <c r="R95" s="62"/>
      <c r="T95" s="668">
        <f>T94+T70</f>
        <v>18784.263610000002</v>
      </c>
      <c r="U95" s="668">
        <f>U94+U70</f>
        <v>23687.56727</v>
      </c>
      <c r="V95" s="668">
        <f>V94+V70</f>
        <v>35999.482710000011</v>
      </c>
      <c r="W95" s="59">
        <f t="shared" si="2"/>
        <v>78471.313590000005</v>
      </c>
      <c r="X95" s="150"/>
      <c r="Z95" s="198">
        <f t="shared" si="1"/>
        <v>232216.06653000004</v>
      </c>
      <c r="AB95" s="62"/>
      <c r="AC95" s="62"/>
    </row>
    <row r="96" spans="1:29" s="135" customFormat="1" ht="13" outlineLevel="1">
      <c r="A96" s="110"/>
      <c r="B96" s="665">
        <v>3201110010</v>
      </c>
      <c r="C96" s="574" t="s">
        <v>107</v>
      </c>
      <c r="D96" s="574">
        <v>41.277590000000004</v>
      </c>
      <c r="E96" s="574">
        <v>51.977789999999999</v>
      </c>
      <c r="F96" s="574">
        <v>42.520040000000002</v>
      </c>
      <c r="G96" s="574">
        <v>33.757979999999996</v>
      </c>
      <c r="H96" s="574">
        <v>33.156129999999997</v>
      </c>
      <c r="I96" s="574">
        <v>27.162739999999999</v>
      </c>
      <c r="J96" s="574">
        <v>117.39814000000001</v>
      </c>
      <c r="K96" s="574">
        <v>124.82850000000001</v>
      </c>
      <c r="L96" s="574">
        <v>116.51461</v>
      </c>
      <c r="M96" s="62">
        <f t="shared" si="5"/>
        <v>588.59352000000001</v>
      </c>
      <c r="N96" s="69">
        <v>999</v>
      </c>
      <c r="O96" s="150" t="s">
        <v>289</v>
      </c>
      <c r="P96" s="69"/>
      <c r="Q96" s="62"/>
      <c r="R96" s="62"/>
      <c r="T96" s="667">
        <v>121.48286</v>
      </c>
      <c r="U96" s="667">
        <v>118.8552</v>
      </c>
      <c r="V96" s="667">
        <v>167.86266000000001</v>
      </c>
      <c r="W96" s="131">
        <f t="shared" si="2"/>
        <v>408.20071999999999</v>
      </c>
      <c r="X96" s="150" t="s">
        <v>289</v>
      </c>
      <c r="Z96" s="62">
        <f t="shared" si="1"/>
        <v>996.79423999999995</v>
      </c>
      <c r="AB96" s="62"/>
      <c r="AC96" s="62"/>
    </row>
    <row r="97" spans="1:29" s="135" customFormat="1" ht="13" outlineLevel="1">
      <c r="A97" s="110"/>
      <c r="B97" s="665">
        <v>3201110015</v>
      </c>
      <c r="C97" s="574" t="s">
        <v>108</v>
      </c>
      <c r="D97" s="574">
        <v>1853.3917099999999</v>
      </c>
      <c r="E97" s="574">
        <v>1894.2198500000002</v>
      </c>
      <c r="F97" s="574">
        <v>1783.2341699999999</v>
      </c>
      <c r="G97" s="574">
        <v>1865.12015</v>
      </c>
      <c r="H97" s="574">
        <v>2342.9171699999997</v>
      </c>
      <c r="I97" s="574">
        <v>2491.9341899999999</v>
      </c>
      <c r="J97" s="574">
        <v>2533.7493399999998</v>
      </c>
      <c r="K97" s="574">
        <v>2552.0974000000001</v>
      </c>
      <c r="L97" s="574">
        <v>2039.1964699999999</v>
      </c>
      <c r="M97" s="62">
        <f t="shared" si="5"/>
        <v>19355.86045</v>
      </c>
      <c r="N97" s="69">
        <v>999</v>
      </c>
      <c r="O97" s="150" t="s">
        <v>289</v>
      </c>
      <c r="P97" s="69"/>
      <c r="Q97" s="62"/>
      <c r="R97" s="62">
        <f>VLOOKUP(B97,$B$437:$E$452,3,0)</f>
        <v>586.16521999999998</v>
      </c>
      <c r="T97" s="667">
        <v>1982.0629199999998</v>
      </c>
      <c r="U97" s="667">
        <v>1816.80081</v>
      </c>
      <c r="V97" s="667">
        <v>1964.3995500000001</v>
      </c>
      <c r="W97" s="131">
        <f t="shared" si="2"/>
        <v>5763.2632800000001</v>
      </c>
      <c r="X97" s="150" t="s">
        <v>289</v>
      </c>
      <c r="Z97" s="62">
        <f t="shared" si="1"/>
        <v>25119.123729999999</v>
      </c>
      <c r="AB97" s="62"/>
      <c r="AC97" s="62">
        <f>VLOOKUP($B97,$B$437:$E$452,4,0)</f>
        <v>743.21531000000004</v>
      </c>
    </row>
    <row r="98" spans="1:29" s="135" customFormat="1" ht="13" outlineLevel="1">
      <c r="A98" s="110"/>
      <c r="B98" s="665">
        <v>3201110020</v>
      </c>
      <c r="C98" s="574" t="s">
        <v>109</v>
      </c>
      <c r="D98" s="574">
        <v>5079.6098000000011</v>
      </c>
      <c r="E98" s="574">
        <v>4653.0829499999991</v>
      </c>
      <c r="F98" s="574">
        <v>4071.7838899999997</v>
      </c>
      <c r="G98" s="574">
        <v>2508.3441699999998</v>
      </c>
      <c r="H98" s="574">
        <v>1035.87294</v>
      </c>
      <c r="I98" s="574">
        <v>244.89027999999999</v>
      </c>
      <c r="J98" s="574">
        <v>266.11824000000001</v>
      </c>
      <c r="K98" s="574">
        <v>177.78111999999999</v>
      </c>
      <c r="L98" s="574">
        <v>948.88906000000009</v>
      </c>
      <c r="M98" s="62">
        <f t="shared" si="5"/>
        <v>18986.372450000003</v>
      </c>
      <c r="N98" s="69">
        <v>999</v>
      </c>
      <c r="O98" s="150" t="s">
        <v>289</v>
      </c>
      <c r="P98" s="69"/>
      <c r="Q98" s="62">
        <f>VLOOKUP(B98,$B$373:$M$430,12,0)</f>
        <v>844.47196999999983</v>
      </c>
      <c r="R98" s="62"/>
      <c r="T98" s="667">
        <v>3317.7765899999999</v>
      </c>
      <c r="U98" s="667">
        <v>5527.2019900000005</v>
      </c>
      <c r="V98" s="667">
        <v>6678.0048699999988</v>
      </c>
      <c r="W98" s="131">
        <f t="shared" si="2"/>
        <v>15522.98345</v>
      </c>
      <c r="X98" s="150" t="s">
        <v>289</v>
      </c>
      <c r="Z98" s="62">
        <f t="shared" si="1"/>
        <v>34509.355900000002</v>
      </c>
      <c r="AB98" s="62">
        <f>VLOOKUP(B98,$B$373:$R$430,17,0)</f>
        <v>2686.8037999999997</v>
      </c>
      <c r="AC98" s="62"/>
    </row>
    <row r="99" spans="1:29" s="135" customFormat="1" ht="13" outlineLevel="1">
      <c r="A99" s="110"/>
      <c r="B99" s="665">
        <v>3201110030</v>
      </c>
      <c r="C99" s="574" t="s">
        <v>110</v>
      </c>
      <c r="D99" s="574">
        <v>940.23437999999987</v>
      </c>
      <c r="E99" s="574">
        <v>860.33915000000002</v>
      </c>
      <c r="F99" s="574">
        <v>982.96789999999999</v>
      </c>
      <c r="G99" s="574">
        <v>1004.43459</v>
      </c>
      <c r="H99" s="574">
        <v>960.17984000000001</v>
      </c>
      <c r="I99" s="574">
        <v>839.56335000000001</v>
      </c>
      <c r="J99" s="574">
        <v>780.95027999999991</v>
      </c>
      <c r="K99" s="574">
        <v>864.87082999999984</v>
      </c>
      <c r="L99" s="574">
        <v>806.04810000000009</v>
      </c>
      <c r="M99" s="62">
        <f t="shared" si="5"/>
        <v>8039.58842</v>
      </c>
      <c r="N99" s="69">
        <v>999</v>
      </c>
      <c r="O99" s="150" t="s">
        <v>289</v>
      </c>
      <c r="P99" s="69"/>
      <c r="Q99" s="62"/>
      <c r="R99" s="62"/>
      <c r="T99" s="667">
        <v>725.72514999999999</v>
      </c>
      <c r="U99" s="667">
        <v>646.78143</v>
      </c>
      <c r="V99" s="667">
        <v>494.12809999999996</v>
      </c>
      <c r="W99" s="131">
        <f t="shared" si="2"/>
        <v>1866.6346799999999</v>
      </c>
      <c r="X99" s="150" t="s">
        <v>289</v>
      </c>
      <c r="Z99" s="62">
        <f t="shared" si="1"/>
        <v>9906.2230999999992</v>
      </c>
      <c r="AB99" s="62"/>
      <c r="AC99" s="62"/>
    </row>
    <row r="100" spans="1:29" s="135" customFormat="1" ht="13" outlineLevel="1">
      <c r="A100" s="110"/>
      <c r="B100" s="665">
        <v>3201110050</v>
      </c>
      <c r="C100" s="574" t="s">
        <v>669</v>
      </c>
      <c r="D100" s="574">
        <v>0</v>
      </c>
      <c r="E100" s="574">
        <v>0</v>
      </c>
      <c r="F100" s="574">
        <v>0</v>
      </c>
      <c r="G100" s="574">
        <v>0</v>
      </c>
      <c r="H100" s="574">
        <v>0</v>
      </c>
      <c r="I100" s="574">
        <v>0</v>
      </c>
      <c r="J100" s="574">
        <v>0</v>
      </c>
      <c r="K100" s="574">
        <v>0</v>
      </c>
      <c r="L100" s="574">
        <v>0</v>
      </c>
      <c r="M100" s="62">
        <f t="shared" si="5"/>
        <v>0</v>
      </c>
      <c r="N100" s="69"/>
      <c r="O100" s="150"/>
      <c r="P100" s="69"/>
      <c r="Q100" s="62"/>
      <c r="R100" s="62"/>
      <c r="T100" s="667">
        <v>2.6199999999999999E-3</v>
      </c>
      <c r="U100" s="667">
        <v>1.3390000000000004E-2</v>
      </c>
      <c r="V100" s="667">
        <v>3.4300000000000003E-3</v>
      </c>
      <c r="W100" s="131">
        <f t="shared" si="2"/>
        <v>1.9440000000000002E-2</v>
      </c>
      <c r="X100" s="150"/>
      <c r="Z100" s="62">
        <f t="shared" si="1"/>
        <v>1.9440000000000002E-2</v>
      </c>
      <c r="AB100" s="62"/>
      <c r="AC100" s="62"/>
    </row>
    <row r="101" spans="1:29" s="58" customFormat="1" ht="13">
      <c r="A101" s="109"/>
      <c r="B101" s="666"/>
      <c r="C101" s="577" t="s">
        <v>111</v>
      </c>
      <c r="D101" s="577">
        <f t="shared" ref="D101:M101" si="8">SUM(D96:D100)</f>
        <v>7914.5134800000005</v>
      </c>
      <c r="E101" s="577">
        <f t="shared" si="8"/>
        <v>7459.6197399999992</v>
      </c>
      <c r="F101" s="577">
        <f t="shared" si="8"/>
        <v>6880.5059999999994</v>
      </c>
      <c r="G101" s="577">
        <f t="shared" si="8"/>
        <v>5411.6568899999993</v>
      </c>
      <c r="H101" s="577">
        <f t="shared" si="8"/>
        <v>4372.1260799999991</v>
      </c>
      <c r="I101" s="577">
        <f t="shared" si="8"/>
        <v>3603.5505600000001</v>
      </c>
      <c r="J101" s="577">
        <f t="shared" si="8"/>
        <v>3698.2159999999994</v>
      </c>
      <c r="K101" s="577">
        <f t="shared" si="8"/>
        <v>3719.5778500000001</v>
      </c>
      <c r="L101" s="577">
        <f t="shared" si="8"/>
        <v>3910.64824</v>
      </c>
      <c r="M101" s="577">
        <f t="shared" si="8"/>
        <v>46970.414839999998</v>
      </c>
      <c r="N101" s="69"/>
      <c r="O101" s="150"/>
      <c r="P101" s="69"/>
      <c r="Q101" s="62"/>
      <c r="R101" s="62"/>
      <c r="T101" s="668">
        <f>SUM(T96:T100)</f>
        <v>6147.0501400000003</v>
      </c>
      <c r="U101" s="668">
        <f>SUM(U96:U100)</f>
        <v>8109.6528200000002</v>
      </c>
      <c r="V101" s="668">
        <f>SUM(V96:V100)</f>
        <v>9304.3986099999984</v>
      </c>
      <c r="W101" s="59">
        <f t="shared" si="2"/>
        <v>23561.101569999999</v>
      </c>
      <c r="X101" s="150"/>
      <c r="Z101" s="198">
        <f t="shared" si="1"/>
        <v>70531.516409999997</v>
      </c>
      <c r="AB101" s="62"/>
      <c r="AC101" s="62"/>
    </row>
    <row r="102" spans="1:29" s="135" customFormat="1" ht="13" outlineLevel="1">
      <c r="A102" s="110"/>
      <c r="B102" s="665">
        <v>3201040040</v>
      </c>
      <c r="C102" s="574" t="s">
        <v>112</v>
      </c>
      <c r="D102" s="574">
        <v>2547.2943500000001</v>
      </c>
      <c r="E102" s="574">
        <v>2339.4204500000001</v>
      </c>
      <c r="F102" s="574">
        <v>2214.3535899999997</v>
      </c>
      <c r="G102" s="574">
        <v>2025.36672</v>
      </c>
      <c r="H102" s="574">
        <v>2175.2194900000004</v>
      </c>
      <c r="I102" s="574">
        <v>2259.96702</v>
      </c>
      <c r="J102" s="574">
        <v>2656.6642900000002</v>
      </c>
      <c r="K102" s="574">
        <v>2680.5528300000001</v>
      </c>
      <c r="L102" s="574">
        <v>2497.1519699999999</v>
      </c>
      <c r="M102" s="62">
        <f t="shared" si="5"/>
        <v>21395.990709999998</v>
      </c>
      <c r="N102" s="69">
        <v>190</v>
      </c>
      <c r="O102" s="150" t="s">
        <v>288</v>
      </c>
      <c r="P102" s="69"/>
      <c r="Q102" s="62">
        <f>VLOOKUP(B102,$B$373:$M$430,12,0)</f>
        <v>1601.2120499999999</v>
      </c>
      <c r="R102" s="62">
        <f>VLOOKUP(B102,$B$437:$E$452,3,0)</f>
        <v>1113.39879</v>
      </c>
      <c r="T102" s="667">
        <v>2869.5622400000002</v>
      </c>
      <c r="U102" s="667">
        <v>3081.0602000000003</v>
      </c>
      <c r="V102" s="667">
        <v>3183.8701999999998</v>
      </c>
      <c r="W102" s="131">
        <f t="shared" si="2"/>
        <v>9134.4926400000004</v>
      </c>
      <c r="X102" s="150" t="s">
        <v>288</v>
      </c>
      <c r="Z102" s="62">
        <f t="shared" si="1"/>
        <v>30530.483349999999</v>
      </c>
      <c r="AB102" s="62">
        <f>VLOOKUP(B102,$B$373:$R$430,17,0)</f>
        <v>2219.8791099999999</v>
      </c>
      <c r="AC102" s="62">
        <f>VLOOKUP($B102,$B$437:$E$452,4,0)</f>
        <v>1545.0765900000001</v>
      </c>
    </row>
    <row r="103" spans="1:29" s="135" customFormat="1" ht="13" outlineLevel="1">
      <c r="A103" s="110"/>
      <c r="B103" s="665">
        <v>3201040030</v>
      </c>
      <c r="C103" s="574" t="s">
        <v>113</v>
      </c>
      <c r="D103" s="574">
        <v>45.025289999999998</v>
      </c>
      <c r="E103" s="574">
        <v>67.160339999999991</v>
      </c>
      <c r="F103" s="574">
        <v>91.157330000000002</v>
      </c>
      <c r="G103" s="574">
        <v>85.66443000000001</v>
      </c>
      <c r="H103" s="574">
        <v>82.527709999999985</v>
      </c>
      <c r="I103" s="574">
        <v>72.832459999999998</v>
      </c>
      <c r="J103" s="574">
        <v>87.073459999999997</v>
      </c>
      <c r="K103" s="574">
        <v>87.695400000000006</v>
      </c>
      <c r="L103" s="574">
        <v>92.585929999999991</v>
      </c>
      <c r="M103" s="62">
        <f t="shared" si="5"/>
        <v>711.72234999999978</v>
      </c>
      <c r="N103" s="69">
        <v>190</v>
      </c>
      <c r="O103" s="150" t="s">
        <v>288</v>
      </c>
      <c r="P103" s="69"/>
      <c r="Q103" s="62">
        <f>VLOOKUP(B103,$B$373:$M$430,12,0)</f>
        <v>7.48414</v>
      </c>
      <c r="R103" s="62">
        <f>VLOOKUP(B103,$B$437:$E$452,3,0)</f>
        <v>16.199280000000002</v>
      </c>
      <c r="T103" s="667">
        <v>86.565079999999995</v>
      </c>
      <c r="U103" s="667">
        <v>61.134939999999993</v>
      </c>
      <c r="V103" s="667">
        <v>84.466540000000009</v>
      </c>
      <c r="W103" s="131">
        <f t="shared" si="2"/>
        <v>232.16656</v>
      </c>
      <c r="X103" s="150" t="s">
        <v>288</v>
      </c>
      <c r="Z103" s="62">
        <f t="shared" si="1"/>
        <v>943.88890999999978</v>
      </c>
      <c r="AB103" s="62">
        <f>VLOOKUP(B103,$B$373:$R$430,17,0)</f>
        <v>23.16864</v>
      </c>
      <c r="AC103" s="62">
        <f>VLOOKUP($B103,$B$437:$E$452,4,0)</f>
        <v>16.168890000000001</v>
      </c>
    </row>
    <row r="104" spans="1:29" s="58" customFormat="1" ht="13">
      <c r="A104" s="109"/>
      <c r="B104" s="666"/>
      <c r="C104" s="577" t="s">
        <v>114</v>
      </c>
      <c r="D104" s="577">
        <f>SUM(D102:D103)</f>
        <v>2592.3196400000002</v>
      </c>
      <c r="E104" s="577">
        <f t="shared" ref="E104:M104" si="9">SUM(E102:E103)</f>
        <v>2406.58079</v>
      </c>
      <c r="F104" s="577">
        <f t="shared" si="9"/>
        <v>2305.5109199999997</v>
      </c>
      <c r="G104" s="577">
        <f t="shared" si="9"/>
        <v>2111.0311499999998</v>
      </c>
      <c r="H104" s="577">
        <f t="shared" si="9"/>
        <v>2257.7472000000002</v>
      </c>
      <c r="I104" s="577">
        <f t="shared" si="9"/>
        <v>2332.7994800000001</v>
      </c>
      <c r="J104" s="577">
        <f t="shared" si="9"/>
        <v>2743.7377500000002</v>
      </c>
      <c r="K104" s="577">
        <f t="shared" si="9"/>
        <v>2768.2482300000001</v>
      </c>
      <c r="L104" s="577">
        <f t="shared" si="9"/>
        <v>2589.7379000000001</v>
      </c>
      <c r="M104" s="577">
        <f t="shared" si="9"/>
        <v>22107.713059999998</v>
      </c>
      <c r="N104" s="69"/>
      <c r="O104" s="150"/>
      <c r="P104" s="69"/>
      <c r="Q104" s="62"/>
      <c r="R104" s="62"/>
      <c r="T104" s="668">
        <f>SUM(T102:T103)</f>
        <v>2956.1273200000001</v>
      </c>
      <c r="U104" s="668">
        <f t="shared" ref="U104:V104" si="10">SUM(U102:U103)</f>
        <v>3142.1951400000003</v>
      </c>
      <c r="V104" s="668">
        <f t="shared" si="10"/>
        <v>3268.3367399999997</v>
      </c>
      <c r="W104" s="59">
        <f t="shared" si="2"/>
        <v>9366.6592000000001</v>
      </c>
      <c r="X104" s="150"/>
      <c r="Z104" s="198">
        <f t="shared" si="1"/>
        <v>31474.372259999996</v>
      </c>
      <c r="AB104" s="62"/>
      <c r="AC104" s="62"/>
    </row>
    <row r="105" spans="1:29" s="135" customFormat="1" ht="13" outlineLevel="1">
      <c r="A105" s="110"/>
      <c r="B105" s="665">
        <v>3201120010</v>
      </c>
      <c r="C105" s="574" t="s">
        <v>115</v>
      </c>
      <c r="D105" s="574">
        <v>6106.1845600000006</v>
      </c>
      <c r="E105" s="574">
        <v>7196.2963800000007</v>
      </c>
      <c r="F105" s="574">
        <v>8012.5302999999985</v>
      </c>
      <c r="G105" s="574">
        <v>8191.2638899999993</v>
      </c>
      <c r="H105" s="574">
        <v>7473.1714699999993</v>
      </c>
      <c r="I105" s="574">
        <v>7866.2034100000001</v>
      </c>
      <c r="J105" s="574">
        <v>8777.0318000000007</v>
      </c>
      <c r="K105" s="574">
        <v>8062.0696600000001</v>
      </c>
      <c r="L105" s="574">
        <v>8562.4104700000007</v>
      </c>
      <c r="M105" s="62">
        <f t="shared" si="5"/>
        <v>70247.161939999991</v>
      </c>
      <c r="N105" s="69">
        <v>606</v>
      </c>
      <c r="O105" s="150" t="s">
        <v>286</v>
      </c>
      <c r="P105" s="69"/>
      <c r="Q105" s="62">
        <f t="shared" ref="Q105:Q114" si="11">VLOOKUP(B105,$B$373:$M$430,12,0)</f>
        <v>22302.87745</v>
      </c>
      <c r="R105" s="62"/>
      <c r="T105" s="667">
        <v>9170.2580300000009</v>
      </c>
      <c r="U105" s="667">
        <v>7124.55123</v>
      </c>
      <c r="V105" s="667">
        <v>9855.8565400000007</v>
      </c>
      <c r="W105" s="131">
        <f t="shared" si="2"/>
        <v>26150.665800000002</v>
      </c>
      <c r="X105" s="150" t="s">
        <v>286</v>
      </c>
      <c r="Z105" s="62">
        <f t="shared" si="1"/>
        <v>96397.827739999993</v>
      </c>
      <c r="AB105" s="62">
        <f t="shared" ref="AB105:AB114" si="12">VLOOKUP(B105,$B$373:$R$430,17,0)</f>
        <v>31159.526100000003</v>
      </c>
      <c r="AC105" s="62"/>
    </row>
    <row r="106" spans="1:29" s="135" customFormat="1" ht="13" outlineLevel="1">
      <c r="A106" s="110"/>
      <c r="B106" s="665">
        <v>3201120015</v>
      </c>
      <c r="C106" s="574" t="s">
        <v>116</v>
      </c>
      <c r="D106" s="574">
        <v>0</v>
      </c>
      <c r="E106" s="574">
        <v>1.52328</v>
      </c>
      <c r="F106" s="574">
        <v>14.279500000000001</v>
      </c>
      <c r="G106" s="574">
        <v>3.8373900000000001</v>
      </c>
      <c r="H106" s="574">
        <v>8.4877299999999991</v>
      </c>
      <c r="I106" s="574">
        <v>3.6313</v>
      </c>
      <c r="J106" s="574">
        <v>1.2785299999999999</v>
      </c>
      <c r="K106" s="574">
        <v>16.786529999999999</v>
      </c>
      <c r="L106" s="574">
        <v>12.80034</v>
      </c>
      <c r="M106" s="62">
        <f t="shared" si="5"/>
        <v>62.624599999999994</v>
      </c>
      <c r="N106" s="69">
        <v>606</v>
      </c>
      <c r="O106" s="150" t="s">
        <v>286</v>
      </c>
      <c r="P106" s="69"/>
      <c r="Q106" s="62">
        <f t="shared" si="11"/>
        <v>62.624599999999994</v>
      </c>
      <c r="R106" s="62"/>
      <c r="T106" s="667">
        <v>10.958120000000001</v>
      </c>
      <c r="U106" s="667">
        <v>15.932829999999999</v>
      </c>
      <c r="V106" s="667">
        <v>5.1808900000000007</v>
      </c>
      <c r="W106" s="131">
        <f t="shared" si="2"/>
        <v>32.071840000000002</v>
      </c>
      <c r="X106" s="150" t="s">
        <v>286</v>
      </c>
      <c r="Z106" s="62">
        <f t="shared" si="1"/>
        <v>94.696439999999996</v>
      </c>
      <c r="AB106" s="62">
        <f t="shared" si="12"/>
        <v>94.696439999999996</v>
      </c>
      <c r="AC106" s="62"/>
    </row>
    <row r="107" spans="1:29" s="135" customFormat="1" ht="13" outlineLevel="1">
      <c r="A107" s="110"/>
      <c r="B107" s="665">
        <v>3201120020</v>
      </c>
      <c r="C107" s="574" t="s">
        <v>117</v>
      </c>
      <c r="D107" s="574">
        <v>1120.9236799999999</v>
      </c>
      <c r="E107" s="574">
        <v>1698.2776999999999</v>
      </c>
      <c r="F107" s="574">
        <v>575.69659000000013</v>
      </c>
      <c r="G107" s="574">
        <v>1017.52508</v>
      </c>
      <c r="H107" s="574">
        <v>1892.1750099999999</v>
      </c>
      <c r="I107" s="574">
        <v>2387.8578899999998</v>
      </c>
      <c r="J107" s="574">
        <v>946.54122000000007</v>
      </c>
      <c r="K107" s="574">
        <v>1541.7411499999998</v>
      </c>
      <c r="L107" s="574">
        <v>2348.7496299999998</v>
      </c>
      <c r="M107" s="62">
        <f t="shared" si="5"/>
        <v>13529.487949999999</v>
      </c>
      <c r="N107" s="69">
        <v>606</v>
      </c>
      <c r="O107" s="150" t="s">
        <v>286</v>
      </c>
      <c r="P107" s="69"/>
      <c r="Q107" s="62">
        <f t="shared" si="11"/>
        <v>3640.3350099999998</v>
      </c>
      <c r="R107" s="62"/>
      <c r="T107" s="667">
        <v>5039.8916200000003</v>
      </c>
      <c r="U107" s="667">
        <v>4650.3491299999996</v>
      </c>
      <c r="V107" s="667">
        <v>11880.594620000002</v>
      </c>
      <c r="W107" s="131">
        <f t="shared" si="2"/>
        <v>21570.835370000001</v>
      </c>
      <c r="X107" s="150" t="s">
        <v>286</v>
      </c>
      <c r="Z107" s="62">
        <f t="shared" si="1"/>
        <v>35100.323319999996</v>
      </c>
      <c r="AB107" s="62">
        <f t="shared" si="12"/>
        <v>9979.5923299999995</v>
      </c>
      <c r="AC107" s="62"/>
    </row>
    <row r="108" spans="1:29" s="135" customFormat="1" ht="13" outlineLevel="1">
      <c r="A108" s="110"/>
      <c r="B108" s="665">
        <v>3201120030</v>
      </c>
      <c r="C108" s="574" t="s">
        <v>118</v>
      </c>
      <c r="D108" s="574">
        <v>0</v>
      </c>
      <c r="E108" s="574">
        <v>0</v>
      </c>
      <c r="F108" s="574">
        <v>0</v>
      </c>
      <c r="G108" s="574">
        <v>0</v>
      </c>
      <c r="H108" s="574">
        <v>10.44552</v>
      </c>
      <c r="I108" s="574">
        <v>49.869410000000002</v>
      </c>
      <c r="J108" s="574">
        <v>29.536769999999997</v>
      </c>
      <c r="K108" s="574">
        <v>32.312689999999996</v>
      </c>
      <c r="L108" s="574">
        <v>3263.9004</v>
      </c>
      <c r="M108" s="62">
        <f t="shared" si="5"/>
        <v>3386.0647899999999</v>
      </c>
      <c r="N108" s="69">
        <v>606</v>
      </c>
      <c r="O108" s="150" t="s">
        <v>286</v>
      </c>
      <c r="P108" s="69"/>
      <c r="Q108" s="62">
        <f t="shared" si="11"/>
        <v>0</v>
      </c>
      <c r="R108" s="62"/>
      <c r="T108" s="667">
        <v>48.308999999999997</v>
      </c>
      <c r="U108" s="667">
        <v>103.48209</v>
      </c>
      <c r="V108" s="667">
        <v>421.10095999999999</v>
      </c>
      <c r="W108" s="131">
        <f t="shared" si="2"/>
        <v>572.89204999999993</v>
      </c>
      <c r="X108" s="150" t="s">
        <v>286</v>
      </c>
      <c r="Z108" s="62">
        <f t="shared" si="1"/>
        <v>3958.9568399999998</v>
      </c>
      <c r="AB108" s="62">
        <f t="shared" si="12"/>
        <v>0</v>
      </c>
      <c r="AC108" s="62"/>
    </row>
    <row r="109" spans="1:29" s="135" customFormat="1" ht="13" outlineLevel="1">
      <c r="A109" s="110"/>
      <c r="B109" s="665">
        <v>3201120035</v>
      </c>
      <c r="C109" s="574" t="s">
        <v>119</v>
      </c>
      <c r="D109" s="574">
        <v>46.585639999999998</v>
      </c>
      <c r="E109" s="574">
        <v>52.796490000000006</v>
      </c>
      <c r="F109" s="574">
        <v>56.516590000000008</v>
      </c>
      <c r="G109" s="574">
        <v>57.969759999999994</v>
      </c>
      <c r="H109" s="574">
        <v>54.608280000000001</v>
      </c>
      <c r="I109" s="574">
        <v>0</v>
      </c>
      <c r="J109" s="574">
        <v>50.15945</v>
      </c>
      <c r="K109" s="574">
        <v>50.715720000000012</v>
      </c>
      <c r="L109" s="574">
        <v>103.65409000000001</v>
      </c>
      <c r="M109" s="62">
        <f t="shared" si="5"/>
        <v>473.00602000000003</v>
      </c>
      <c r="N109" s="69">
        <v>606</v>
      </c>
      <c r="O109" s="187" t="s">
        <v>286</v>
      </c>
      <c r="P109" s="69"/>
      <c r="Q109" s="62">
        <f t="shared" si="11"/>
        <v>252.05088000000001</v>
      </c>
      <c r="R109" s="62"/>
      <c r="T109" s="667">
        <v>57.108669999999996</v>
      </c>
      <c r="U109" s="667">
        <v>50.592410000000001</v>
      </c>
      <c r="V109" s="667">
        <v>48.759339999999995</v>
      </c>
      <c r="W109" s="131">
        <f t="shared" si="2"/>
        <v>156.46042</v>
      </c>
      <c r="X109" s="187" t="s">
        <v>286</v>
      </c>
      <c r="Z109" s="62">
        <f t="shared" si="1"/>
        <v>629.46644000000003</v>
      </c>
      <c r="AB109" s="62">
        <f t="shared" si="12"/>
        <v>335.10374000000002</v>
      </c>
      <c r="AC109" s="62"/>
    </row>
    <row r="110" spans="1:29" s="135" customFormat="1" ht="13" outlineLevel="1">
      <c r="A110" s="110"/>
      <c r="B110" s="665">
        <v>3201120045</v>
      </c>
      <c r="C110" s="574" t="s">
        <v>120</v>
      </c>
      <c r="D110" s="574">
        <v>5090.8784400000004</v>
      </c>
      <c r="E110" s="574">
        <v>5090.8784400000004</v>
      </c>
      <c r="F110" s="574">
        <v>5039.4998900000001</v>
      </c>
      <c r="G110" s="574">
        <v>4661.4182499999997</v>
      </c>
      <c r="H110" s="574">
        <v>2844.04421</v>
      </c>
      <c r="I110" s="574">
        <v>20487.339120000001</v>
      </c>
      <c r="J110" s="574">
        <v>20994.031030000002</v>
      </c>
      <c r="K110" s="574">
        <v>6460.1053700000002</v>
      </c>
      <c r="L110" s="574">
        <v>2430.8081699999998</v>
      </c>
      <c r="M110" s="62">
        <f t="shared" si="5"/>
        <v>73099.002920000014</v>
      </c>
      <c r="N110" s="69">
        <v>606</v>
      </c>
      <c r="O110" s="150" t="s">
        <v>286</v>
      </c>
      <c r="P110" s="69"/>
      <c r="Q110" s="62">
        <f t="shared" si="11"/>
        <v>0</v>
      </c>
      <c r="R110" s="62"/>
      <c r="T110" s="667">
        <v>3225.7853999999998</v>
      </c>
      <c r="U110" s="667">
        <v>15416.094009999999</v>
      </c>
      <c r="V110" s="667">
        <v>9330.9365799999996</v>
      </c>
      <c r="W110" s="131">
        <f t="shared" si="2"/>
        <v>27972.815989999996</v>
      </c>
      <c r="X110" s="150" t="s">
        <v>286</v>
      </c>
      <c r="Z110" s="62">
        <f t="shared" si="1"/>
        <v>101071.81891</v>
      </c>
      <c r="AB110" s="62">
        <f t="shared" si="12"/>
        <v>0</v>
      </c>
      <c r="AC110" s="62"/>
    </row>
    <row r="111" spans="1:29" s="135" customFormat="1" ht="13" outlineLevel="1">
      <c r="A111" s="110"/>
      <c r="B111" s="665">
        <v>3201120086</v>
      </c>
      <c r="C111" s="574" t="s">
        <v>121</v>
      </c>
      <c r="D111" s="574">
        <v>1236.3935599999998</v>
      </c>
      <c r="E111" s="574">
        <v>1257.4774399999999</v>
      </c>
      <c r="F111" s="574">
        <v>1369.34736</v>
      </c>
      <c r="G111" s="574">
        <v>1398.3753300000001</v>
      </c>
      <c r="H111" s="574">
        <v>1530.7355699999998</v>
      </c>
      <c r="I111" s="574">
        <v>1386.1983</v>
      </c>
      <c r="J111" s="574">
        <v>1409.6170199999999</v>
      </c>
      <c r="K111" s="574">
        <v>1458.8805399999999</v>
      </c>
      <c r="L111" s="574">
        <v>1401.7338599999998</v>
      </c>
      <c r="M111" s="62">
        <f t="shared" si="5"/>
        <v>12448.758980000001</v>
      </c>
      <c r="N111" s="69">
        <v>606</v>
      </c>
      <c r="O111" s="150" t="s">
        <v>286</v>
      </c>
      <c r="P111" s="69"/>
      <c r="Q111" s="62">
        <f t="shared" si="11"/>
        <v>368.12230999999997</v>
      </c>
      <c r="R111" s="62"/>
      <c r="T111" s="667">
        <v>1320.7789599999999</v>
      </c>
      <c r="U111" s="667">
        <v>1337.86518</v>
      </c>
      <c r="V111" s="667">
        <v>1490.2328600000001</v>
      </c>
      <c r="W111" s="131">
        <f t="shared" si="2"/>
        <v>4148.8770000000004</v>
      </c>
      <c r="X111" s="150" t="s">
        <v>286</v>
      </c>
      <c r="Z111" s="62">
        <f t="shared" si="1"/>
        <v>16597.635979999999</v>
      </c>
      <c r="AB111" s="62">
        <f t="shared" si="12"/>
        <v>391.66273999999999</v>
      </c>
      <c r="AC111" s="62"/>
    </row>
    <row r="112" spans="1:29" s="135" customFormat="1" ht="13" outlineLevel="1">
      <c r="A112" s="110"/>
      <c r="B112" s="665">
        <v>3201120090</v>
      </c>
      <c r="C112" s="574" t="s">
        <v>122</v>
      </c>
      <c r="D112" s="574">
        <v>294.30378000000002</v>
      </c>
      <c r="E112" s="574">
        <v>1325.14239</v>
      </c>
      <c r="F112" s="574">
        <v>472.98631</v>
      </c>
      <c r="G112" s="574">
        <v>1836.2350599999997</v>
      </c>
      <c r="H112" s="574">
        <v>863.17354</v>
      </c>
      <c r="I112" s="574">
        <v>1212.1742099999999</v>
      </c>
      <c r="J112" s="574">
        <v>1458.57411</v>
      </c>
      <c r="K112" s="574">
        <v>1764.0842700000001</v>
      </c>
      <c r="L112" s="574">
        <v>1042.8338100000001</v>
      </c>
      <c r="M112" s="62">
        <f t="shared" si="5"/>
        <v>10269.507479999998</v>
      </c>
      <c r="N112" s="69">
        <v>606</v>
      </c>
      <c r="O112" s="150" t="s">
        <v>286</v>
      </c>
      <c r="P112" s="69"/>
      <c r="Q112" s="62">
        <f t="shared" si="11"/>
        <v>6090.5513899999996</v>
      </c>
      <c r="R112" s="62"/>
      <c r="T112" s="667">
        <v>1401.5890799999997</v>
      </c>
      <c r="U112" s="667">
        <v>1184.09843</v>
      </c>
      <c r="V112" s="667">
        <v>7667.9986399999998</v>
      </c>
      <c r="W112" s="131">
        <f t="shared" si="2"/>
        <v>10253.68615</v>
      </c>
      <c r="X112" s="150" t="s">
        <v>286</v>
      </c>
      <c r="Z112" s="62">
        <f t="shared" si="1"/>
        <v>20523.193629999998</v>
      </c>
      <c r="AB112" s="62">
        <f t="shared" si="12"/>
        <v>8586.5085099999997</v>
      </c>
      <c r="AC112" s="62"/>
    </row>
    <row r="113" spans="1:29" s="135" customFormat="1" ht="13" outlineLevel="1">
      <c r="A113" s="110"/>
      <c r="B113" s="665">
        <v>3201120293</v>
      </c>
      <c r="C113" s="574" t="s">
        <v>123</v>
      </c>
      <c r="D113" s="574">
        <v>5.5410000000000004</v>
      </c>
      <c r="E113" s="574">
        <v>0</v>
      </c>
      <c r="F113" s="574">
        <v>160.54542999999998</v>
      </c>
      <c r="G113" s="574">
        <v>66.826750000000004</v>
      </c>
      <c r="H113" s="574">
        <v>64.057839999999999</v>
      </c>
      <c r="I113" s="574">
        <v>0</v>
      </c>
      <c r="J113" s="574">
        <v>123.44938999999999</v>
      </c>
      <c r="K113" s="574">
        <v>293.35174999999998</v>
      </c>
      <c r="L113" s="574">
        <v>176.11337</v>
      </c>
      <c r="M113" s="62">
        <f t="shared" si="5"/>
        <v>889.88553000000002</v>
      </c>
      <c r="N113" s="69">
        <v>606</v>
      </c>
      <c r="O113" s="150" t="s">
        <v>286</v>
      </c>
      <c r="P113" s="69"/>
      <c r="Q113" s="62">
        <f t="shared" si="11"/>
        <v>884.34453000000008</v>
      </c>
      <c r="R113" s="62"/>
      <c r="T113" s="667">
        <v>74.568830000000005</v>
      </c>
      <c r="U113" s="667">
        <v>225.91844</v>
      </c>
      <c r="V113" s="667">
        <v>315.95981</v>
      </c>
      <c r="W113" s="131">
        <f t="shared" si="2"/>
        <v>616.44708000000003</v>
      </c>
      <c r="X113" s="150" t="s">
        <v>286</v>
      </c>
      <c r="Z113" s="62">
        <f t="shared" si="1"/>
        <v>1506.3326099999999</v>
      </c>
      <c r="AB113" s="62">
        <f t="shared" si="12"/>
        <v>1364.3036100000002</v>
      </c>
      <c r="AC113" s="62"/>
    </row>
    <row r="114" spans="1:29" s="135" customFormat="1" ht="13" outlineLevel="1">
      <c r="A114" s="110"/>
      <c r="B114" s="665">
        <v>3201120095</v>
      </c>
      <c r="C114" s="574" t="s">
        <v>327</v>
      </c>
      <c r="D114" s="574">
        <v>0</v>
      </c>
      <c r="E114" s="574">
        <v>0</v>
      </c>
      <c r="F114" s="574">
        <v>0</v>
      </c>
      <c r="G114" s="574">
        <v>0</v>
      </c>
      <c r="H114" s="574">
        <v>0</v>
      </c>
      <c r="I114" s="574">
        <v>0</v>
      </c>
      <c r="J114" s="574">
        <v>0</v>
      </c>
      <c r="K114" s="574">
        <v>92.683189999999982</v>
      </c>
      <c r="L114" s="574">
        <v>5.0646599999999999</v>
      </c>
      <c r="M114" s="62">
        <f t="shared" si="5"/>
        <v>97.747849999999985</v>
      </c>
      <c r="N114" s="69">
        <v>606</v>
      </c>
      <c r="O114" s="150" t="s">
        <v>286</v>
      </c>
      <c r="P114" s="69"/>
      <c r="Q114" s="62">
        <f t="shared" si="11"/>
        <v>91.954539999999994</v>
      </c>
      <c r="R114" s="62"/>
      <c r="T114" s="667">
        <v>1622.3651900000002</v>
      </c>
      <c r="U114" s="667">
        <v>527.38566000000003</v>
      </c>
      <c r="V114" s="667">
        <v>1308.39393</v>
      </c>
      <c r="W114" s="131">
        <f t="shared" si="2"/>
        <v>3458.1447800000005</v>
      </c>
      <c r="X114" s="150" t="s">
        <v>286</v>
      </c>
      <c r="Z114" s="62">
        <f t="shared" si="1"/>
        <v>3555.8926300000007</v>
      </c>
      <c r="AB114" s="62">
        <f t="shared" si="12"/>
        <v>3545.1472100000005</v>
      </c>
      <c r="AC114" s="62"/>
    </row>
    <row r="115" spans="1:29" s="135" customFormat="1" ht="13" outlineLevel="1">
      <c r="A115" s="110"/>
      <c r="B115" s="665">
        <v>3201120130</v>
      </c>
      <c r="C115" s="574" t="s">
        <v>124</v>
      </c>
      <c r="D115" s="574">
        <v>0</v>
      </c>
      <c r="E115" s="574">
        <v>192</v>
      </c>
      <c r="F115" s="574">
        <v>96</v>
      </c>
      <c r="G115" s="574">
        <v>96</v>
      </c>
      <c r="H115" s="574">
        <v>96</v>
      </c>
      <c r="I115" s="574">
        <v>96</v>
      </c>
      <c r="J115" s="574">
        <v>96</v>
      </c>
      <c r="K115" s="574">
        <v>96</v>
      </c>
      <c r="L115" s="574">
        <v>96</v>
      </c>
      <c r="M115" s="62">
        <f t="shared" si="5"/>
        <v>864</v>
      </c>
      <c r="N115" s="69">
        <v>606</v>
      </c>
      <c r="O115" s="150" t="s">
        <v>286</v>
      </c>
      <c r="P115" s="69"/>
      <c r="Q115" s="62"/>
      <c r="R115" s="62"/>
      <c r="T115" s="667">
        <v>221.75425000000001</v>
      </c>
      <c r="U115" s="667">
        <v>96</v>
      </c>
      <c r="V115" s="667">
        <v>221.75425000000001</v>
      </c>
      <c r="W115" s="131">
        <f t="shared" si="2"/>
        <v>539.50850000000003</v>
      </c>
      <c r="X115" s="150" t="s">
        <v>286</v>
      </c>
      <c r="Z115" s="62">
        <f t="shared" si="1"/>
        <v>1403.5084999999999</v>
      </c>
      <c r="AB115" s="62"/>
      <c r="AC115" s="62"/>
    </row>
    <row r="116" spans="1:29" s="135" customFormat="1" ht="13" outlineLevel="1">
      <c r="A116" s="110"/>
      <c r="B116" s="665">
        <v>3201120140</v>
      </c>
      <c r="C116" s="574" t="s">
        <v>125</v>
      </c>
      <c r="D116" s="574">
        <v>1952.03775</v>
      </c>
      <c r="E116" s="574">
        <v>1962.0482</v>
      </c>
      <c r="F116" s="574">
        <v>1946.0314799999999</v>
      </c>
      <c r="G116" s="574">
        <v>2002.09</v>
      </c>
      <c r="H116" s="574">
        <v>2002.09</v>
      </c>
      <c r="I116" s="574">
        <v>2002.09</v>
      </c>
      <c r="J116" s="574">
        <v>3548.91</v>
      </c>
      <c r="K116" s="574">
        <v>2736.643</v>
      </c>
      <c r="L116" s="574">
        <v>2775.5</v>
      </c>
      <c r="M116" s="62">
        <f t="shared" si="5"/>
        <v>20927.440429999999</v>
      </c>
      <c r="N116" s="69">
        <v>606</v>
      </c>
      <c r="O116" s="150" t="s">
        <v>286</v>
      </c>
      <c r="P116" s="69"/>
      <c r="Q116" s="62"/>
      <c r="R116" s="62"/>
      <c r="T116" s="667">
        <v>2775.5</v>
      </c>
      <c r="U116" s="667">
        <v>2686.6840000000002</v>
      </c>
      <c r="V116" s="667">
        <v>2769.9490000000001</v>
      </c>
      <c r="W116" s="131">
        <f t="shared" si="2"/>
        <v>8232.1329999999998</v>
      </c>
      <c r="X116" s="150" t="s">
        <v>286</v>
      </c>
      <c r="Z116" s="62">
        <f t="shared" si="1"/>
        <v>29159.573429999997</v>
      </c>
      <c r="AB116" s="62"/>
      <c r="AC116" s="62"/>
    </row>
    <row r="117" spans="1:29" s="135" customFormat="1" ht="13" outlineLevel="1">
      <c r="A117" s="110"/>
      <c r="B117" s="665">
        <v>3201120200</v>
      </c>
      <c r="C117" s="574" t="s">
        <v>126</v>
      </c>
      <c r="D117" s="574">
        <v>9247.3869400000003</v>
      </c>
      <c r="E117" s="574">
        <v>11008.058730000001</v>
      </c>
      <c r="F117" s="574">
        <v>11761.532730000001</v>
      </c>
      <c r="G117" s="574">
        <v>9623.5870599999998</v>
      </c>
      <c r="H117" s="574">
        <v>9544.3049800000008</v>
      </c>
      <c r="I117" s="574">
        <v>8868.6147400000009</v>
      </c>
      <c r="J117" s="574">
        <v>9711.7675799999997</v>
      </c>
      <c r="K117" s="574">
        <v>14021.27288</v>
      </c>
      <c r="L117" s="574">
        <v>4412.2960599999997</v>
      </c>
      <c r="M117" s="62">
        <f t="shared" si="5"/>
        <v>88198.8217</v>
      </c>
      <c r="N117" s="69">
        <v>999</v>
      </c>
      <c r="O117" s="150" t="s">
        <v>289</v>
      </c>
      <c r="P117" s="69"/>
      <c r="Q117" s="62"/>
      <c r="R117" s="62"/>
      <c r="T117" s="667">
        <v>10924.24473</v>
      </c>
      <c r="U117" s="667">
        <v>9757.0249199999998</v>
      </c>
      <c r="V117" s="667">
        <v>8704.4266400000015</v>
      </c>
      <c r="W117" s="131">
        <f t="shared" si="2"/>
        <v>29385.696290000004</v>
      </c>
      <c r="X117" s="150" t="s">
        <v>289</v>
      </c>
      <c r="Z117" s="62">
        <f t="shared" si="1"/>
        <v>117584.51799000001</v>
      </c>
      <c r="AB117" s="62"/>
      <c r="AC117" s="62"/>
    </row>
    <row r="118" spans="1:29" s="135" customFormat="1" ht="13" outlineLevel="1">
      <c r="A118" s="110"/>
      <c r="B118" s="665">
        <v>3201120265</v>
      </c>
      <c r="C118" s="574" t="s">
        <v>127</v>
      </c>
      <c r="D118" s="574">
        <v>230.43221</v>
      </c>
      <c r="E118" s="574">
        <v>241.31310999999999</v>
      </c>
      <c r="F118" s="574">
        <v>217.43395999999998</v>
      </c>
      <c r="G118" s="574">
        <v>387.33393000000001</v>
      </c>
      <c r="H118" s="574">
        <v>387.33393000000001</v>
      </c>
      <c r="I118" s="574">
        <v>380.37103000000002</v>
      </c>
      <c r="J118" s="574">
        <v>424.49871000000002</v>
      </c>
      <c r="K118" s="574">
        <v>424.49871000000002</v>
      </c>
      <c r="L118" s="574">
        <v>222.94826</v>
      </c>
      <c r="M118" s="62">
        <f t="shared" si="5"/>
        <v>2916.1638499999999</v>
      </c>
      <c r="N118" s="69">
        <v>606</v>
      </c>
      <c r="O118" s="187" t="s">
        <v>286</v>
      </c>
      <c r="P118" s="69"/>
      <c r="Q118" s="62">
        <f>VLOOKUP(B118,$B$373:$M$430,12,0)</f>
        <v>2.60554</v>
      </c>
      <c r="R118" s="62"/>
      <c r="T118" s="667">
        <v>330.51959000000005</v>
      </c>
      <c r="U118" s="667">
        <v>329.98273</v>
      </c>
      <c r="V118" s="667">
        <v>1065.3093700000002</v>
      </c>
      <c r="W118" s="131">
        <f t="shared" si="2"/>
        <v>1725.8116900000002</v>
      </c>
      <c r="X118" s="187" t="s">
        <v>286</v>
      </c>
      <c r="Z118" s="62">
        <f t="shared" si="1"/>
        <v>4641.9755400000004</v>
      </c>
      <c r="AB118" s="62">
        <f>VLOOKUP(B118,$B$373:$R$430,17,0)</f>
        <v>2.60554</v>
      </c>
      <c r="AC118" s="62"/>
    </row>
    <row r="119" spans="1:29" s="135" customFormat="1" ht="13" outlineLevel="1">
      <c r="A119" s="110"/>
      <c r="B119" s="665">
        <v>3201120270</v>
      </c>
      <c r="C119" s="574" t="s">
        <v>128</v>
      </c>
      <c r="D119" s="574">
        <v>10.698469999999999</v>
      </c>
      <c r="E119" s="574">
        <v>9.0321500000000015</v>
      </c>
      <c r="F119" s="574">
        <v>29.17577</v>
      </c>
      <c r="G119" s="574">
        <v>15.012420000000001</v>
      </c>
      <c r="H119" s="574">
        <v>8.7606099999999998</v>
      </c>
      <c r="I119" s="574">
        <v>26.23724</v>
      </c>
      <c r="J119" s="574">
        <v>18.402819999999998</v>
      </c>
      <c r="K119" s="574">
        <v>7.7180600000000004</v>
      </c>
      <c r="L119" s="574">
        <v>6.3245500000000012</v>
      </c>
      <c r="M119" s="62">
        <f t="shared" ref="M119:M154" si="13">SUM(D119:L119)</f>
        <v>131.36208999999999</v>
      </c>
      <c r="N119" s="69">
        <v>606</v>
      </c>
      <c r="O119" s="160" t="s">
        <v>286</v>
      </c>
      <c r="P119" s="69"/>
      <c r="Q119" s="62">
        <f>VLOOKUP(B119,$B$373:$M$430,12,0)</f>
        <v>7.3652999999999995</v>
      </c>
      <c r="R119" s="62">
        <f>VLOOKUP(B119,$B$437:$E$452,3,0)</f>
        <v>18.687889999999999</v>
      </c>
      <c r="T119" s="667">
        <v>5.3294300000000003</v>
      </c>
      <c r="U119" s="667">
        <v>5.7853800000000009</v>
      </c>
      <c r="V119" s="667">
        <v>8.8588400000000007</v>
      </c>
      <c r="W119" s="131">
        <f t="shared" si="2"/>
        <v>19.973650000000003</v>
      </c>
      <c r="X119" s="160" t="s">
        <v>286</v>
      </c>
      <c r="Z119" s="62">
        <f t="shared" si="1"/>
        <v>151.33573999999999</v>
      </c>
      <c r="AB119" s="62">
        <f>VLOOKUP(B119,$B$373:$R$430,17,0)</f>
        <v>8.8863399999999988</v>
      </c>
      <c r="AC119" s="62">
        <f>VLOOKUP($B119,$B$437:$E$452,4,0)</f>
        <v>19.404209999999999</v>
      </c>
    </row>
    <row r="120" spans="1:29" s="135" customFormat="1" ht="13" outlineLevel="1">
      <c r="A120" s="110"/>
      <c r="B120" s="665">
        <v>3201120281</v>
      </c>
      <c r="C120" s="574" t="s">
        <v>129</v>
      </c>
      <c r="D120" s="574">
        <v>60.536619999999992</v>
      </c>
      <c r="E120" s="574">
        <v>60.536619999999992</v>
      </c>
      <c r="F120" s="574">
        <v>60.536679999999997</v>
      </c>
      <c r="G120" s="574">
        <v>60.536529999999999</v>
      </c>
      <c r="H120" s="574">
        <v>60.536559999999994</v>
      </c>
      <c r="I120" s="574">
        <v>57.22777</v>
      </c>
      <c r="J120" s="574">
        <v>57.231639999999999</v>
      </c>
      <c r="K120" s="574">
        <v>57.231649999999995</v>
      </c>
      <c r="L120" s="574">
        <v>57.23189</v>
      </c>
      <c r="M120" s="62">
        <f t="shared" si="13"/>
        <v>531.60595999999998</v>
      </c>
      <c r="N120" s="69">
        <v>606</v>
      </c>
      <c r="O120" s="160" t="s">
        <v>286</v>
      </c>
      <c r="P120" s="69"/>
      <c r="Q120" s="62"/>
      <c r="R120" s="62"/>
      <c r="T120" s="667">
        <v>57.232009999999995</v>
      </c>
      <c r="U120" s="667">
        <v>57.232079999999996</v>
      </c>
      <c r="V120" s="667">
        <v>53.431820000000002</v>
      </c>
      <c r="W120" s="131">
        <f t="shared" si="2"/>
        <v>167.89591000000001</v>
      </c>
      <c r="X120" s="160" t="s">
        <v>286</v>
      </c>
      <c r="Z120" s="62">
        <f t="shared" si="1"/>
        <v>699.50187000000005</v>
      </c>
      <c r="AB120" s="62"/>
      <c r="AC120" s="62"/>
    </row>
    <row r="121" spans="1:29" s="135" customFormat="1" ht="13" outlineLevel="1">
      <c r="A121" s="110"/>
      <c r="B121" s="665">
        <v>3201120282</v>
      </c>
      <c r="C121" s="574" t="s">
        <v>130</v>
      </c>
      <c r="D121" s="574">
        <v>162.43764000000002</v>
      </c>
      <c r="E121" s="574">
        <v>165.80654000000001</v>
      </c>
      <c r="F121" s="574">
        <v>159.61179999999999</v>
      </c>
      <c r="G121" s="574">
        <v>158.74726000000001</v>
      </c>
      <c r="H121" s="574">
        <v>159.23894000000001</v>
      </c>
      <c r="I121" s="574">
        <v>158.67845</v>
      </c>
      <c r="J121" s="574">
        <v>158.39365000000001</v>
      </c>
      <c r="K121" s="574">
        <v>161.24785999999997</v>
      </c>
      <c r="L121" s="574">
        <v>158.67626999999999</v>
      </c>
      <c r="M121" s="62">
        <f t="shared" si="13"/>
        <v>1442.8384100000001</v>
      </c>
      <c r="N121" s="69">
        <v>606</v>
      </c>
      <c r="O121" s="160" t="s">
        <v>286</v>
      </c>
      <c r="P121" s="69"/>
      <c r="Q121" s="62">
        <f>VLOOKUP(B121,$B$373:$M$430,12,0)</f>
        <v>289.53017999999997</v>
      </c>
      <c r="R121" s="62"/>
      <c r="T121" s="667">
        <v>160.57934</v>
      </c>
      <c r="U121" s="667">
        <v>171.82646</v>
      </c>
      <c r="V121" s="667">
        <v>162.48133000000001</v>
      </c>
      <c r="W121" s="131">
        <f t="shared" si="2"/>
        <v>494.88713000000001</v>
      </c>
      <c r="X121" s="160" t="s">
        <v>286</v>
      </c>
      <c r="Z121" s="62">
        <f t="shared" si="1"/>
        <v>1937.7255400000001</v>
      </c>
      <c r="AB121" s="62">
        <f>VLOOKUP(B121,$B$373:$R$430,17,0)</f>
        <v>390.04001999999997</v>
      </c>
      <c r="AC121" s="62"/>
    </row>
    <row r="122" spans="1:29" s="135" customFormat="1" ht="13" outlineLevel="1">
      <c r="A122" s="110"/>
      <c r="B122" s="665">
        <v>3201120292</v>
      </c>
      <c r="C122" s="574" t="s">
        <v>131</v>
      </c>
      <c r="D122" s="574">
        <v>913.64360999999997</v>
      </c>
      <c r="E122" s="574">
        <v>2612.3077699999999</v>
      </c>
      <c r="F122" s="574">
        <v>3338.2292900000002</v>
      </c>
      <c r="G122" s="574">
        <v>3480.1296999999995</v>
      </c>
      <c r="H122" s="574">
        <v>3266.8103200000005</v>
      </c>
      <c r="I122" s="574">
        <v>3501.6979200000001</v>
      </c>
      <c r="J122" s="574">
        <v>2128.15445</v>
      </c>
      <c r="K122" s="574">
        <v>3330.7440799999999</v>
      </c>
      <c r="L122" s="574">
        <v>1084.50047</v>
      </c>
      <c r="M122" s="62">
        <f t="shared" si="13"/>
        <v>23656.217609999996</v>
      </c>
      <c r="N122" s="69">
        <v>606</v>
      </c>
      <c r="O122" s="160" t="s">
        <v>286</v>
      </c>
      <c r="P122" s="69"/>
      <c r="Q122" s="62">
        <f>VLOOKUP(B122,$B$373:$M$430,12,0)</f>
        <v>23308.657959999997</v>
      </c>
      <c r="R122" s="62"/>
      <c r="T122" s="667">
        <v>1287.68307</v>
      </c>
      <c r="U122" s="667">
        <v>1084.4021699999998</v>
      </c>
      <c r="V122" s="667">
        <v>3525.9610999999995</v>
      </c>
      <c r="W122" s="131">
        <f t="shared" si="2"/>
        <v>5898.046339999999</v>
      </c>
      <c r="X122" s="160" t="s">
        <v>286</v>
      </c>
      <c r="Z122" s="62">
        <f t="shared" si="1"/>
        <v>29554.263949999993</v>
      </c>
      <c r="AB122" s="62">
        <f>VLOOKUP(B122,$B$373:$R$430,17,0)</f>
        <v>28788.569199999998</v>
      </c>
      <c r="AC122" s="62"/>
    </row>
    <row r="123" spans="1:29" s="135" customFormat="1" ht="13" outlineLevel="1">
      <c r="A123" s="110"/>
      <c r="B123" s="665">
        <v>3201120300</v>
      </c>
      <c r="C123" s="574" t="s">
        <v>133</v>
      </c>
      <c r="D123" s="574">
        <v>289.36879999999996</v>
      </c>
      <c r="E123" s="574">
        <v>304.08202</v>
      </c>
      <c r="F123" s="574">
        <v>320.45509000000004</v>
      </c>
      <c r="G123" s="574">
        <v>336.54834999999997</v>
      </c>
      <c r="H123" s="574">
        <v>350.39758</v>
      </c>
      <c r="I123" s="574">
        <v>193.33957999999998</v>
      </c>
      <c r="J123" s="574">
        <v>253.05725000000001</v>
      </c>
      <c r="K123" s="574">
        <v>156.22255999999999</v>
      </c>
      <c r="L123" s="574">
        <v>269.81078000000002</v>
      </c>
      <c r="M123" s="62">
        <f t="shared" si="13"/>
        <v>2473.2820099999999</v>
      </c>
      <c r="N123" s="69">
        <v>606</v>
      </c>
      <c r="O123" s="160" t="s">
        <v>286</v>
      </c>
      <c r="P123" s="69"/>
      <c r="Q123" s="62"/>
      <c r="R123" s="62"/>
      <c r="T123" s="667">
        <v>302.60847999999999</v>
      </c>
      <c r="U123" s="667">
        <v>533.27940000000001</v>
      </c>
      <c r="V123" s="667">
        <v>219.61548000000002</v>
      </c>
      <c r="W123" s="131">
        <f t="shared" si="2"/>
        <v>1055.5033599999999</v>
      </c>
      <c r="X123" s="160" t="s">
        <v>286</v>
      </c>
      <c r="Z123" s="62">
        <f t="shared" si="1"/>
        <v>3528.7853699999996</v>
      </c>
      <c r="AB123" s="62"/>
      <c r="AC123" s="62"/>
    </row>
    <row r="124" spans="1:29" s="135" customFormat="1" ht="13" outlineLevel="1">
      <c r="A124" s="110"/>
      <c r="B124" s="665">
        <v>3201120330</v>
      </c>
      <c r="C124" s="574" t="s">
        <v>134</v>
      </c>
      <c r="D124" s="574">
        <v>284.66269999999997</v>
      </c>
      <c r="E124" s="574">
        <v>1168.75152</v>
      </c>
      <c r="F124" s="574">
        <v>924.72593000000006</v>
      </c>
      <c r="G124" s="574">
        <v>1079.2882400000001</v>
      </c>
      <c r="H124" s="574">
        <v>938.76697000000001</v>
      </c>
      <c r="I124" s="574">
        <v>1042.8620800000001</v>
      </c>
      <c r="J124" s="574">
        <v>1035.2731699999999</v>
      </c>
      <c r="K124" s="574">
        <v>221.60410000000002</v>
      </c>
      <c r="L124" s="574">
        <v>1669.67353</v>
      </c>
      <c r="M124" s="62">
        <f t="shared" si="13"/>
        <v>8365.6082399999996</v>
      </c>
      <c r="N124" s="69">
        <v>606</v>
      </c>
      <c r="O124" s="160" t="s">
        <v>286</v>
      </c>
      <c r="P124" s="69"/>
      <c r="Q124" s="62">
        <f>VLOOKUP(B124,$B$373:$M$430,12,0)</f>
        <v>1784.51775</v>
      </c>
      <c r="R124" s="62"/>
      <c r="T124" s="667">
        <v>932.02425000000005</v>
      </c>
      <c r="U124" s="667">
        <v>492.78245999999996</v>
      </c>
      <c r="V124" s="667">
        <v>1096.279</v>
      </c>
      <c r="W124" s="131">
        <f t="shared" si="2"/>
        <v>2521.0857100000003</v>
      </c>
      <c r="X124" s="160" t="s">
        <v>286</v>
      </c>
      <c r="Z124" s="62">
        <f t="shared" ref="Z124:Z172" si="14">W124+M124</f>
        <v>10886.693950000001</v>
      </c>
      <c r="AB124" s="62">
        <f>VLOOKUP(B124,$B$373:$R$430,17,0)</f>
        <v>2425.5579200000002</v>
      </c>
      <c r="AC124" s="62"/>
    </row>
    <row r="125" spans="1:29" s="135" customFormat="1" ht="13" outlineLevel="1">
      <c r="A125" s="110"/>
      <c r="B125" s="665">
        <v>3201120340</v>
      </c>
      <c r="C125" s="574" t="s">
        <v>135</v>
      </c>
      <c r="D125" s="574">
        <v>2.494E-2</v>
      </c>
      <c r="E125" s="574">
        <v>2.666E-2</v>
      </c>
      <c r="F125" s="574">
        <v>2.7039999999999998E-2</v>
      </c>
      <c r="G125" s="574">
        <v>42.756740000000001</v>
      </c>
      <c r="H125" s="574">
        <v>6.1396799999999994</v>
      </c>
      <c r="I125" s="574">
        <v>4.8822900000000002</v>
      </c>
      <c r="J125" s="574">
        <v>86.973830000000007</v>
      </c>
      <c r="K125" s="574">
        <v>132.94595000000001</v>
      </c>
      <c r="L125" s="574">
        <v>147.7441</v>
      </c>
      <c r="M125" s="62">
        <f t="shared" si="13"/>
        <v>421.52123000000006</v>
      </c>
      <c r="N125" s="69">
        <v>606</v>
      </c>
      <c r="O125" s="160" t="s">
        <v>286</v>
      </c>
      <c r="P125" s="69"/>
      <c r="Q125" s="62">
        <f>VLOOKUP(B125,$B$373:$M$430,12,0)</f>
        <v>26.128679999999999</v>
      </c>
      <c r="R125" s="62"/>
      <c r="T125" s="667">
        <v>56.568829999999998</v>
      </c>
      <c r="U125" s="667">
        <v>85.591899999999995</v>
      </c>
      <c r="V125" s="667">
        <v>2.8219999999999999E-2</v>
      </c>
      <c r="W125" s="131">
        <f t="shared" ref="W125:W173" si="15">SUM(T125:V125)</f>
        <v>142.18895000000001</v>
      </c>
      <c r="X125" s="160" t="s">
        <v>286</v>
      </c>
      <c r="Z125" s="62">
        <f t="shared" si="14"/>
        <v>563.71018000000004</v>
      </c>
      <c r="AB125" s="62">
        <f>VLOOKUP(B125,$B$373:$R$430,17,0)</f>
        <v>51.856549999999999</v>
      </c>
      <c r="AC125" s="62"/>
    </row>
    <row r="126" spans="1:29" s="58" customFormat="1" ht="13">
      <c r="A126" s="109"/>
      <c r="B126" s="666"/>
      <c r="C126" s="577" t="s">
        <v>137</v>
      </c>
      <c r="D126" s="577">
        <f t="shared" ref="D126:M126" si="16">SUM(D105:D125)</f>
        <v>27052.04034</v>
      </c>
      <c r="E126" s="577">
        <f t="shared" si="16"/>
        <v>34346.355440000007</v>
      </c>
      <c r="F126" s="577">
        <f t="shared" si="16"/>
        <v>34555.161740000003</v>
      </c>
      <c r="G126" s="577">
        <f t="shared" si="16"/>
        <v>34515.481739999996</v>
      </c>
      <c r="H126" s="577">
        <f t="shared" si="16"/>
        <v>31561.278740000002</v>
      </c>
      <c r="I126" s="577">
        <f t="shared" si="16"/>
        <v>49725.274740000001</v>
      </c>
      <c r="J126" s="577">
        <f t="shared" si="16"/>
        <v>51308.882420000009</v>
      </c>
      <c r="K126" s="577">
        <f t="shared" si="16"/>
        <v>41118.85972</v>
      </c>
      <c r="L126" s="577">
        <f t="shared" si="16"/>
        <v>30248.774710000002</v>
      </c>
      <c r="M126" s="577">
        <f t="shared" si="16"/>
        <v>334432.10959000007</v>
      </c>
      <c r="N126" s="69"/>
      <c r="O126" s="160"/>
      <c r="P126" s="69"/>
      <c r="Q126" s="62"/>
      <c r="R126" s="62"/>
      <c r="T126" s="668">
        <f>SUM(T105:T125)</f>
        <v>39025.656880000002</v>
      </c>
      <c r="U126" s="668">
        <f>SUM(U105:U125)</f>
        <v>45936.860910000003</v>
      </c>
      <c r="V126" s="668">
        <f>SUM(V105:V125)</f>
        <v>60153.109219999998</v>
      </c>
      <c r="W126" s="59">
        <f t="shared" si="15"/>
        <v>145115.62701</v>
      </c>
      <c r="X126" s="160"/>
      <c r="Z126" s="198">
        <f t="shared" si="14"/>
        <v>479547.73660000006</v>
      </c>
      <c r="AB126" s="62"/>
      <c r="AC126" s="62"/>
    </row>
    <row r="127" spans="1:29" s="135" customFormat="1" ht="13" outlineLevel="1">
      <c r="A127" s="110"/>
      <c r="B127" s="665">
        <v>3202010050</v>
      </c>
      <c r="C127" s="574" t="s">
        <v>138</v>
      </c>
      <c r="D127" s="574">
        <v>129073.10631</v>
      </c>
      <c r="E127" s="574">
        <v>106248.59530000002</v>
      </c>
      <c r="F127" s="574">
        <v>109764.55707</v>
      </c>
      <c r="G127" s="574">
        <v>104350.06821000001</v>
      </c>
      <c r="H127" s="574">
        <v>141166.22921000002</v>
      </c>
      <c r="I127" s="574">
        <v>129372.11096999999</v>
      </c>
      <c r="J127" s="574">
        <v>116824.31946000001</v>
      </c>
      <c r="K127" s="574">
        <v>118053.46618999999</v>
      </c>
      <c r="L127" s="574">
        <v>123781.20290999999</v>
      </c>
      <c r="M127" s="62">
        <f t="shared" si="13"/>
        <v>1078633.6556299999</v>
      </c>
      <c r="N127" s="69">
        <v>301</v>
      </c>
      <c r="O127" s="160" t="s">
        <v>410</v>
      </c>
      <c r="P127" s="69"/>
      <c r="Q127" s="62">
        <f>VLOOKUP(B127,$B$373:$M$430,12,0)</f>
        <v>90263.673259999996</v>
      </c>
      <c r="R127" s="62"/>
      <c r="T127" s="667">
        <v>128502.50340999999</v>
      </c>
      <c r="U127" s="667">
        <v>124260.25628999999</v>
      </c>
      <c r="V127" s="667">
        <v>127614.34643000001</v>
      </c>
      <c r="W127" s="131">
        <f t="shared" si="15"/>
        <v>380377.10612999997</v>
      </c>
      <c r="X127" s="160" t="s">
        <v>410</v>
      </c>
      <c r="Z127" s="62">
        <f t="shared" si="14"/>
        <v>1459010.7617599999</v>
      </c>
      <c r="AB127" s="62">
        <f>VLOOKUP(B127,$B$373:$R$430,17,0)</f>
        <v>120287.39434</v>
      </c>
      <c r="AC127" s="62"/>
    </row>
    <row r="128" spans="1:29" s="135" customFormat="1" ht="13" outlineLevel="1">
      <c r="A128" s="110"/>
      <c r="B128" s="665">
        <v>3202010150</v>
      </c>
      <c r="C128" s="574" t="s">
        <v>139</v>
      </c>
      <c r="D128" s="574">
        <v>16646.644640000002</v>
      </c>
      <c r="E128" s="574">
        <v>13730.25705</v>
      </c>
      <c r="F128" s="574">
        <v>13921.17352</v>
      </c>
      <c r="G128" s="574">
        <v>13731.5641</v>
      </c>
      <c r="H128" s="574">
        <v>17973.901959999999</v>
      </c>
      <c r="I128" s="574">
        <v>16321.348880000001</v>
      </c>
      <c r="J128" s="574">
        <v>15046.628209999999</v>
      </c>
      <c r="K128" s="574">
        <v>15280.123079999999</v>
      </c>
      <c r="L128" s="574">
        <v>15904.138150000001</v>
      </c>
      <c r="M128" s="62">
        <f t="shared" si="13"/>
        <v>138555.77959000002</v>
      </c>
      <c r="N128" s="69">
        <v>301</v>
      </c>
      <c r="O128" s="160" t="s">
        <v>410</v>
      </c>
      <c r="P128" s="69"/>
      <c r="Q128" s="62">
        <f>VLOOKUP(B128,$B$373:$M$430,12,0)</f>
        <v>13510.869160000002</v>
      </c>
      <c r="R128" s="62"/>
      <c r="T128" s="667">
        <v>12066.211529999999</v>
      </c>
      <c r="U128" s="667">
        <v>15934.64898</v>
      </c>
      <c r="V128" s="667">
        <v>6592.1553899999999</v>
      </c>
      <c r="W128" s="131">
        <f t="shared" si="15"/>
        <v>34593.015899999999</v>
      </c>
      <c r="X128" s="160" t="s">
        <v>410</v>
      </c>
      <c r="Z128" s="62">
        <f t="shared" si="14"/>
        <v>173148.79549000002</v>
      </c>
      <c r="AB128" s="62">
        <f>VLOOKUP(B128,$B$373:$R$430,17,0)</f>
        <v>14467.231050000002</v>
      </c>
      <c r="AC128" s="62"/>
    </row>
    <row r="129" spans="1:29" s="135" customFormat="1" ht="13" outlineLevel="1">
      <c r="A129" s="110"/>
      <c r="B129" s="665">
        <v>3202020060</v>
      </c>
      <c r="C129" s="574" t="s">
        <v>140</v>
      </c>
      <c r="D129" s="574">
        <v>1384.0782300000001</v>
      </c>
      <c r="E129" s="574">
        <v>1472.2395499999998</v>
      </c>
      <c r="F129" s="574">
        <v>1552.3649800000001</v>
      </c>
      <c r="G129" s="574">
        <v>1621.5092400000001</v>
      </c>
      <c r="H129" s="574">
        <v>1566.7654299999999</v>
      </c>
      <c r="I129" s="574">
        <v>1491.9585099999999</v>
      </c>
      <c r="J129" s="574">
        <v>1820.2825399999999</v>
      </c>
      <c r="K129" s="574">
        <v>1980.0122799999999</v>
      </c>
      <c r="L129" s="574">
        <v>1758.9485899999997</v>
      </c>
      <c r="M129" s="62">
        <f t="shared" si="13"/>
        <v>14648.159350000002</v>
      </c>
      <c r="N129" s="69">
        <v>301</v>
      </c>
      <c r="O129" s="187" t="s">
        <v>410</v>
      </c>
      <c r="P129" s="69"/>
      <c r="Q129" s="62">
        <f>VLOOKUP(B129,$B$373:$M$430,12,0)</f>
        <v>2447.3219399999998</v>
      </c>
      <c r="R129" s="62"/>
      <c r="T129" s="667">
        <v>2091.71756</v>
      </c>
      <c r="U129" s="667">
        <v>1862.9175699999998</v>
      </c>
      <c r="V129" s="667">
        <v>1902.0688300000002</v>
      </c>
      <c r="W129" s="131">
        <f t="shared" si="15"/>
        <v>5856.7039599999998</v>
      </c>
      <c r="X129" s="187" t="s">
        <v>410</v>
      </c>
      <c r="Z129" s="62">
        <f t="shared" si="14"/>
        <v>20504.863310000001</v>
      </c>
      <c r="AB129" s="62">
        <f>VLOOKUP(B129,$B$373:$R$430,17,0)</f>
        <v>3373.8866099999996</v>
      </c>
      <c r="AC129" s="62"/>
    </row>
    <row r="130" spans="1:29" s="135" customFormat="1" ht="13" outlineLevel="1">
      <c r="A130" s="110"/>
      <c r="B130" s="665">
        <v>3202030010</v>
      </c>
      <c r="C130" s="574" t="s">
        <v>141</v>
      </c>
      <c r="D130" s="574">
        <v>244.07580000000002</v>
      </c>
      <c r="E130" s="574">
        <v>90.773470000000003</v>
      </c>
      <c r="F130" s="574">
        <v>20.809639999999998</v>
      </c>
      <c r="G130" s="574">
        <v>231.17887000000002</v>
      </c>
      <c r="H130" s="574">
        <v>7.1455500000000001</v>
      </c>
      <c r="I130" s="574">
        <v>57.12567</v>
      </c>
      <c r="J130" s="574">
        <v>268.43088</v>
      </c>
      <c r="K130" s="574">
        <v>23.955459999999999</v>
      </c>
      <c r="L130" s="574">
        <v>33.596080000000001</v>
      </c>
      <c r="M130" s="62">
        <f t="shared" si="13"/>
        <v>977.09142000000008</v>
      </c>
      <c r="N130" s="69">
        <v>301</v>
      </c>
      <c r="O130" s="150" t="s">
        <v>410</v>
      </c>
      <c r="P130" s="69"/>
      <c r="Q130" s="62">
        <f>VLOOKUP(B130,$B$373:$M$430,12,0)</f>
        <v>41.028170000000003</v>
      </c>
      <c r="R130" s="62"/>
      <c r="T130" s="667">
        <v>266.58184999999997</v>
      </c>
      <c r="U130" s="667">
        <v>28.078409999999998</v>
      </c>
      <c r="V130" s="667">
        <v>27.279720000000001</v>
      </c>
      <c r="W130" s="131">
        <f t="shared" si="15"/>
        <v>321.93997999999999</v>
      </c>
      <c r="X130" s="150" t="s">
        <v>410</v>
      </c>
      <c r="Z130" s="62">
        <f t="shared" si="14"/>
        <v>1299.0314000000001</v>
      </c>
      <c r="AB130" s="62">
        <f>VLOOKUP(B130,$B$373:$R$430,17,0)</f>
        <v>53.989570000000001</v>
      </c>
      <c r="AC130" s="62"/>
    </row>
    <row r="131" spans="1:29" s="135" customFormat="1" ht="13" outlineLevel="1">
      <c r="A131" s="110"/>
      <c r="B131" s="665">
        <v>3202030170</v>
      </c>
      <c r="C131" s="574" t="s">
        <v>142</v>
      </c>
      <c r="D131" s="574">
        <v>272.81592000000001</v>
      </c>
      <c r="E131" s="574">
        <v>479.22122999999999</v>
      </c>
      <c r="F131" s="574">
        <v>67.583889999999997</v>
      </c>
      <c r="G131" s="574">
        <v>1347.1705200000001</v>
      </c>
      <c r="H131" s="574">
        <v>529.15598999999997</v>
      </c>
      <c r="I131" s="574">
        <v>1154.7299800000003</v>
      </c>
      <c r="J131" s="574">
        <v>1243.0278700000001</v>
      </c>
      <c r="K131" s="574">
        <v>1831.6838099999998</v>
      </c>
      <c r="L131" s="574">
        <v>381.96775999999994</v>
      </c>
      <c r="M131" s="62">
        <f t="shared" si="13"/>
        <v>7307.3569699999989</v>
      </c>
      <c r="N131" s="69">
        <v>301</v>
      </c>
      <c r="O131" s="150" t="s">
        <v>410</v>
      </c>
      <c r="P131" s="69"/>
      <c r="Q131" s="62">
        <f>VLOOKUP(B131,$B$373:$M$430,12,0)</f>
        <v>410.78339</v>
      </c>
      <c r="R131" s="62"/>
      <c r="T131" s="667">
        <v>1957.6365699999999</v>
      </c>
      <c r="U131" s="667">
        <v>390.88615000000004</v>
      </c>
      <c r="V131" s="667">
        <v>648.83262999999999</v>
      </c>
      <c r="W131" s="131">
        <f t="shared" si="15"/>
        <v>2997.3553499999998</v>
      </c>
      <c r="X131" s="150" t="s">
        <v>410</v>
      </c>
      <c r="Z131" s="62">
        <f t="shared" si="14"/>
        <v>10304.712319999999</v>
      </c>
      <c r="AB131" s="62">
        <f>VLOOKUP(B131,$B$373:$R$430,17,0)</f>
        <v>410.78339</v>
      </c>
      <c r="AC131" s="62"/>
    </row>
    <row r="132" spans="1:29" s="135" customFormat="1" ht="13" outlineLevel="1">
      <c r="A132" s="110"/>
      <c r="B132" s="665">
        <v>3202030180</v>
      </c>
      <c r="C132" s="574" t="s">
        <v>143</v>
      </c>
      <c r="D132" s="574">
        <v>0</v>
      </c>
      <c r="E132" s="574">
        <v>50.375589999999995</v>
      </c>
      <c r="F132" s="574">
        <v>0</v>
      </c>
      <c r="G132" s="574">
        <v>68.155210000000011</v>
      </c>
      <c r="H132" s="574">
        <v>53.338860000000004</v>
      </c>
      <c r="I132" s="574">
        <v>0</v>
      </c>
      <c r="J132" s="574">
        <v>185.69507999999999</v>
      </c>
      <c r="K132" s="574">
        <v>0</v>
      </c>
      <c r="L132" s="574">
        <v>26.611919999999998</v>
      </c>
      <c r="M132" s="62">
        <f t="shared" si="13"/>
        <v>384.17666000000003</v>
      </c>
      <c r="N132" s="69">
        <v>301</v>
      </c>
      <c r="O132" s="150" t="s">
        <v>410</v>
      </c>
      <c r="P132" s="69"/>
      <c r="Q132" s="62"/>
      <c r="R132" s="62"/>
      <c r="T132" s="667">
        <v>0</v>
      </c>
      <c r="U132" s="667">
        <v>0</v>
      </c>
      <c r="V132" s="667">
        <v>0</v>
      </c>
      <c r="W132" s="131">
        <f t="shared" si="15"/>
        <v>0</v>
      </c>
      <c r="X132" s="150" t="s">
        <v>410</v>
      </c>
      <c r="Z132" s="62">
        <f t="shared" si="14"/>
        <v>384.17666000000003</v>
      </c>
      <c r="AB132" s="62"/>
      <c r="AC132" s="62"/>
    </row>
    <row r="133" spans="1:29" s="135" customFormat="1" ht="13" outlineLevel="1">
      <c r="A133" s="110"/>
      <c r="B133" s="665">
        <v>3205040099</v>
      </c>
      <c r="C133" s="574" t="s">
        <v>144</v>
      </c>
      <c r="D133" s="574">
        <v>310.65974</v>
      </c>
      <c r="E133" s="574">
        <v>326.61937999999998</v>
      </c>
      <c r="F133" s="574">
        <v>321.09307000000001</v>
      </c>
      <c r="G133" s="574">
        <v>363.09421999999995</v>
      </c>
      <c r="H133" s="574">
        <v>322.56978000000004</v>
      </c>
      <c r="I133" s="574">
        <v>341.48725000000002</v>
      </c>
      <c r="J133" s="574">
        <v>481.55359000000004</v>
      </c>
      <c r="K133" s="574">
        <v>382.01384999999999</v>
      </c>
      <c r="L133" s="574">
        <v>343.83427</v>
      </c>
      <c r="M133" s="62">
        <f t="shared" si="13"/>
        <v>3192.9251499999996</v>
      </c>
      <c r="N133" s="69">
        <v>301</v>
      </c>
      <c r="O133" s="150" t="s">
        <v>410</v>
      </c>
      <c r="P133" s="69"/>
      <c r="Q133" s="62">
        <f>VLOOKUP(B133,$B$373:$M$430,12,0)</f>
        <v>661.52990999999997</v>
      </c>
      <c r="R133" s="62"/>
      <c r="T133" s="667">
        <v>564.49080000000004</v>
      </c>
      <c r="U133" s="667">
        <v>455.46052999999995</v>
      </c>
      <c r="V133" s="667">
        <v>492.74690000000004</v>
      </c>
      <c r="W133" s="131">
        <f t="shared" si="15"/>
        <v>1512.69823</v>
      </c>
      <c r="X133" s="150" t="s">
        <v>410</v>
      </c>
      <c r="Z133" s="62">
        <f t="shared" si="14"/>
        <v>4705.6233799999991</v>
      </c>
      <c r="AB133" s="62">
        <f>VLOOKUP(B133,$B$373:$R$430,17,0)</f>
        <v>943.54556000000002</v>
      </c>
      <c r="AC133" s="62"/>
    </row>
    <row r="134" spans="1:29" s="135" customFormat="1" ht="13" outlineLevel="1">
      <c r="A134" s="110"/>
      <c r="B134" s="665">
        <v>3205040100</v>
      </c>
      <c r="C134" s="574" t="s">
        <v>145</v>
      </c>
      <c r="D134" s="574">
        <v>376.65798000000001</v>
      </c>
      <c r="E134" s="574">
        <v>769.9090799999999</v>
      </c>
      <c r="F134" s="574">
        <v>1232.4765199999999</v>
      </c>
      <c r="G134" s="574">
        <v>1092.4907499999999</v>
      </c>
      <c r="H134" s="574">
        <v>836.2109099999999</v>
      </c>
      <c r="I134" s="574">
        <v>692.35791999999992</v>
      </c>
      <c r="J134" s="574">
        <v>762.94592999999998</v>
      </c>
      <c r="K134" s="574">
        <v>880.78534000000002</v>
      </c>
      <c r="L134" s="574">
        <v>798.33456999999999</v>
      </c>
      <c r="M134" s="62">
        <f t="shared" si="13"/>
        <v>7442.168999999999</v>
      </c>
      <c r="N134" s="69">
        <v>301</v>
      </c>
      <c r="O134" s="150" t="s">
        <v>410</v>
      </c>
      <c r="P134" s="69"/>
      <c r="Q134" s="62">
        <f>VLOOKUP(B134,$B$373:$M$430,12,0)</f>
        <v>592.65025000000003</v>
      </c>
      <c r="R134" s="62"/>
      <c r="T134" s="667">
        <v>1112.8653300000001</v>
      </c>
      <c r="U134" s="667">
        <v>1285.3387</v>
      </c>
      <c r="V134" s="667">
        <v>1390.90392</v>
      </c>
      <c r="W134" s="131">
        <f t="shared" si="15"/>
        <v>3789.1079499999996</v>
      </c>
      <c r="X134" s="150" t="s">
        <v>410</v>
      </c>
      <c r="Z134" s="62">
        <f t="shared" si="14"/>
        <v>11231.276949999999</v>
      </c>
      <c r="AB134" s="62">
        <f>VLOOKUP(B134,$B$373:$R$430,17,0)</f>
        <v>769.58288000000005</v>
      </c>
      <c r="AC134" s="62"/>
    </row>
    <row r="135" spans="1:29" s="135" customFormat="1" ht="13" outlineLevel="1">
      <c r="A135" s="110"/>
      <c r="B135" s="665">
        <v>3206010029</v>
      </c>
      <c r="C135" s="574" t="s">
        <v>670</v>
      </c>
      <c r="D135" s="574">
        <v>0</v>
      </c>
      <c r="E135" s="574">
        <v>0</v>
      </c>
      <c r="F135" s="574">
        <v>0</v>
      </c>
      <c r="G135" s="574">
        <v>0</v>
      </c>
      <c r="H135" s="574">
        <v>0</v>
      </c>
      <c r="I135" s="574">
        <v>0</v>
      </c>
      <c r="J135" s="574">
        <v>0</v>
      </c>
      <c r="K135" s="574">
        <v>0</v>
      </c>
      <c r="L135" s="574">
        <v>0</v>
      </c>
      <c r="M135" s="62">
        <f t="shared" si="13"/>
        <v>0</v>
      </c>
      <c r="N135" s="69"/>
      <c r="O135" s="150"/>
      <c r="P135" s="69"/>
      <c r="Q135" s="62"/>
      <c r="R135" s="62"/>
      <c r="T135" s="667">
        <v>0</v>
      </c>
      <c r="U135" s="667">
        <v>0</v>
      </c>
      <c r="V135" s="667">
        <v>1</v>
      </c>
      <c r="W135" s="131">
        <f t="shared" si="15"/>
        <v>1</v>
      </c>
      <c r="X135" s="150"/>
      <c r="Z135" s="62">
        <f t="shared" si="14"/>
        <v>1</v>
      </c>
      <c r="AB135" s="62"/>
      <c r="AC135" s="62"/>
    </row>
    <row r="136" spans="1:29" s="135" customFormat="1" ht="13" outlineLevel="1">
      <c r="A136" s="110"/>
      <c r="B136" s="665">
        <v>3206010170</v>
      </c>
      <c r="C136" s="574" t="s">
        <v>146</v>
      </c>
      <c r="D136" s="574">
        <v>38.509309999999999</v>
      </c>
      <c r="E136" s="574">
        <v>46.144840000000002</v>
      </c>
      <c r="F136" s="574">
        <v>47.930880000000002</v>
      </c>
      <c r="G136" s="574">
        <v>48.522600000000004</v>
      </c>
      <c r="H136" s="574">
        <v>70.994259999999997</v>
      </c>
      <c r="I136" s="574">
        <v>44.535899999999998</v>
      </c>
      <c r="J136" s="574">
        <v>56.56324</v>
      </c>
      <c r="K136" s="574">
        <v>62.194569999999999</v>
      </c>
      <c r="L136" s="574">
        <v>55.072859999999999</v>
      </c>
      <c r="M136" s="62">
        <f t="shared" si="13"/>
        <v>470.46845999999999</v>
      </c>
      <c r="N136" s="69">
        <v>301</v>
      </c>
      <c r="O136" s="150" t="s">
        <v>410</v>
      </c>
      <c r="P136" s="69"/>
      <c r="Q136" s="62">
        <f>VLOOKUP(B136,$B$373:$M$430,12,0)</f>
        <v>170.33288000000002</v>
      </c>
      <c r="R136" s="62"/>
      <c r="T136" s="667">
        <v>63.376149999999996</v>
      </c>
      <c r="U136" s="667">
        <v>58.346680000000006</v>
      </c>
      <c r="V136" s="667">
        <v>60.362050000000004</v>
      </c>
      <c r="W136" s="131">
        <f t="shared" si="15"/>
        <v>182.08488</v>
      </c>
      <c r="X136" s="150" t="s">
        <v>410</v>
      </c>
      <c r="Z136" s="62">
        <f t="shared" si="14"/>
        <v>652.55333999999993</v>
      </c>
      <c r="AB136" s="62">
        <f>VLOOKUP(B136,$B$373:$R$430,17,0)</f>
        <v>254.03907000000004</v>
      </c>
      <c r="AC136" s="62"/>
    </row>
    <row r="137" spans="1:29" s="135" customFormat="1" ht="13" outlineLevel="1">
      <c r="A137" s="110"/>
      <c r="B137" s="665">
        <v>3212010005</v>
      </c>
      <c r="C137" s="574" t="s">
        <v>328</v>
      </c>
      <c r="D137" s="574">
        <v>2078.4430000000002</v>
      </c>
      <c r="E137" s="574">
        <v>2078.4430000000002</v>
      </c>
      <c r="F137" s="574">
        <v>2078.4430000000002</v>
      </c>
      <c r="G137" s="574">
        <v>2078.4430000000002</v>
      </c>
      <c r="H137" s="574">
        <v>2078.4430000000002</v>
      </c>
      <c r="I137" s="574">
        <v>2078.4430000000002</v>
      </c>
      <c r="J137" s="574">
        <v>2316.5619999999999</v>
      </c>
      <c r="K137" s="574">
        <v>2316.5619999999999</v>
      </c>
      <c r="L137" s="574">
        <v>2316.5619999999999</v>
      </c>
      <c r="M137" s="62">
        <f t="shared" si="13"/>
        <v>19420.343999999997</v>
      </c>
      <c r="N137" s="69">
        <v>301</v>
      </c>
      <c r="O137" s="150" t="s">
        <v>410</v>
      </c>
      <c r="P137" s="69"/>
      <c r="Q137" s="62"/>
      <c r="R137" s="62"/>
      <c r="T137" s="667">
        <v>2316.5619999999999</v>
      </c>
      <c r="U137" s="667">
        <v>2316.5619999999999</v>
      </c>
      <c r="V137" s="667">
        <v>4259.3702000000003</v>
      </c>
      <c r="W137" s="131">
        <f t="shared" si="15"/>
        <v>8892.494200000001</v>
      </c>
      <c r="X137" s="150" t="s">
        <v>410</v>
      </c>
      <c r="Z137" s="62">
        <f t="shared" si="14"/>
        <v>28312.838199999998</v>
      </c>
      <c r="AB137" s="62"/>
      <c r="AC137" s="62"/>
    </row>
    <row r="138" spans="1:29" s="58" customFormat="1" ht="13">
      <c r="A138" s="109"/>
      <c r="B138" s="666"/>
      <c r="C138" s="577" t="s">
        <v>147</v>
      </c>
      <c r="D138" s="577">
        <f>SUM(D127:D137)</f>
        <v>150424.99093</v>
      </c>
      <c r="E138" s="577">
        <f t="shared" ref="E138:M138" si="17">SUM(E127:E137)</f>
        <v>125292.57849</v>
      </c>
      <c r="F138" s="577">
        <f t="shared" si="17"/>
        <v>129006.43256999999</v>
      </c>
      <c r="G138" s="577">
        <f t="shared" si="17"/>
        <v>124932.19672000001</v>
      </c>
      <c r="H138" s="577">
        <f t="shared" si="17"/>
        <v>164604.75494999997</v>
      </c>
      <c r="I138" s="577">
        <f t="shared" si="17"/>
        <v>151554.09808</v>
      </c>
      <c r="J138" s="577">
        <f t="shared" si="17"/>
        <v>139006.00879999998</v>
      </c>
      <c r="K138" s="577">
        <f t="shared" si="17"/>
        <v>140810.79657999997</v>
      </c>
      <c r="L138" s="577">
        <f t="shared" si="17"/>
        <v>145400.26910999996</v>
      </c>
      <c r="M138" s="577">
        <f t="shared" si="17"/>
        <v>1271032.1262300001</v>
      </c>
      <c r="N138" s="69"/>
      <c r="O138" s="150"/>
      <c r="P138" s="69"/>
      <c r="Q138" s="62"/>
      <c r="R138" s="62"/>
      <c r="T138" s="668">
        <f>SUM(T127:T137)</f>
        <v>148941.94519999996</v>
      </c>
      <c r="U138" s="668">
        <f>SUM(U127:U137)</f>
        <v>146592.49530999997</v>
      </c>
      <c r="V138" s="668">
        <f>SUM(V127:V137)</f>
        <v>142989.06607</v>
      </c>
      <c r="W138" s="59">
        <f t="shared" si="15"/>
        <v>438523.50657999993</v>
      </c>
      <c r="X138" s="150"/>
      <c r="Z138" s="198">
        <f t="shared" si="14"/>
        <v>1709555.6328099999</v>
      </c>
      <c r="AB138" s="62"/>
      <c r="AC138" s="62"/>
    </row>
    <row r="139" spans="1:29" s="135" customFormat="1" ht="13" outlineLevel="1">
      <c r="A139" s="110"/>
      <c r="B139" s="665">
        <v>3203000015</v>
      </c>
      <c r="C139" s="574" t="s">
        <v>148</v>
      </c>
      <c r="D139" s="574">
        <v>45016.567009999999</v>
      </c>
      <c r="E139" s="574">
        <v>37379.700429999997</v>
      </c>
      <c r="F139" s="574">
        <v>38471.799060000005</v>
      </c>
      <c r="G139" s="574">
        <v>36953.60742</v>
      </c>
      <c r="H139" s="574">
        <v>44768.945239999994</v>
      </c>
      <c r="I139" s="574">
        <v>43090.588929999998</v>
      </c>
      <c r="J139" s="574">
        <v>38613.863360000003</v>
      </c>
      <c r="K139" s="574">
        <v>38255.140570000003</v>
      </c>
      <c r="L139" s="574">
        <v>38350.381660000006</v>
      </c>
      <c r="M139" s="62">
        <f t="shared" si="13"/>
        <v>360900.59367999999</v>
      </c>
      <c r="N139" s="69">
        <v>301</v>
      </c>
      <c r="O139" s="150" t="s">
        <v>410</v>
      </c>
      <c r="P139" s="69"/>
      <c r="Q139" s="62">
        <f>VLOOKUP(B139,$B$373:$M$430,12,0)</f>
        <v>33078.625999999997</v>
      </c>
      <c r="R139" s="62"/>
      <c r="T139" s="667">
        <v>37748.124260000004</v>
      </c>
      <c r="U139" s="667">
        <v>36417.62414</v>
      </c>
      <c r="V139" s="667">
        <v>34234.18838</v>
      </c>
      <c r="W139" s="131">
        <f t="shared" si="15"/>
        <v>108399.93678000002</v>
      </c>
      <c r="X139" s="150" t="s">
        <v>410</v>
      </c>
      <c r="Z139" s="62">
        <f t="shared" si="14"/>
        <v>469300.53046000004</v>
      </c>
      <c r="AB139" s="62">
        <f>VLOOKUP(B139,$B$373:$R$430,17,0)</f>
        <v>43250.081129999999</v>
      </c>
      <c r="AC139" s="62"/>
    </row>
    <row r="140" spans="1:29" s="135" customFormat="1" ht="13" outlineLevel="1">
      <c r="A140" s="110"/>
      <c r="B140" s="665">
        <v>3203000016</v>
      </c>
      <c r="C140" s="574" t="s">
        <v>149</v>
      </c>
      <c r="D140" s="574">
        <v>10.616200000000001</v>
      </c>
      <c r="E140" s="574">
        <v>33.83475</v>
      </c>
      <c r="F140" s="574">
        <v>1.4079200000000001</v>
      </c>
      <c r="G140" s="574">
        <v>61.275550000000003</v>
      </c>
      <c r="H140" s="574">
        <v>39.680889999999998</v>
      </c>
      <c r="I140" s="574">
        <v>77.213070000000002</v>
      </c>
      <c r="J140" s="574">
        <v>93.218360000000004</v>
      </c>
      <c r="K140" s="574">
        <v>180.33270999999999</v>
      </c>
      <c r="L140" s="574">
        <v>2.1739999999999999E-2</v>
      </c>
      <c r="M140" s="62">
        <f t="shared" si="13"/>
        <v>497.60119000000009</v>
      </c>
      <c r="N140" s="69">
        <v>301</v>
      </c>
      <c r="O140" s="150" t="s">
        <v>410</v>
      </c>
      <c r="P140" s="69"/>
      <c r="Q140" s="62">
        <f>VLOOKUP(B140,$B$373:$M$430,12,0)</f>
        <v>39.680889999999998</v>
      </c>
      <c r="R140" s="62"/>
      <c r="T140" s="667">
        <v>146.79295000000002</v>
      </c>
      <c r="U140" s="667">
        <v>8.9173200000000001</v>
      </c>
      <c r="V140" s="667">
        <v>0</v>
      </c>
      <c r="W140" s="131">
        <f t="shared" si="15"/>
        <v>155.71027000000001</v>
      </c>
      <c r="X140" s="150" t="s">
        <v>410</v>
      </c>
      <c r="Z140" s="62">
        <f t="shared" si="14"/>
        <v>653.31146000000012</v>
      </c>
      <c r="AB140" s="62">
        <f>VLOOKUP(B140,$B$373:$R$430,17,0)</f>
        <v>39.680889999999998</v>
      </c>
      <c r="AC140" s="62"/>
    </row>
    <row r="141" spans="1:29" s="135" customFormat="1" ht="13" outlineLevel="1">
      <c r="A141" s="110"/>
      <c r="B141" s="665">
        <v>3203000125</v>
      </c>
      <c r="C141" s="574" t="s">
        <v>150</v>
      </c>
      <c r="D141" s="574">
        <v>2487.5446299999999</v>
      </c>
      <c r="E141" s="574">
        <v>2054.6609200000003</v>
      </c>
      <c r="F141" s="574">
        <v>2123.1583700000001</v>
      </c>
      <c r="G141" s="574">
        <v>2036.29115</v>
      </c>
      <c r="H141" s="574">
        <v>2722.8181500000001</v>
      </c>
      <c r="I141" s="574">
        <v>2488.7109799999998</v>
      </c>
      <c r="J141" s="574">
        <v>2273.4044299999996</v>
      </c>
      <c r="K141" s="574">
        <v>745.58200999999997</v>
      </c>
      <c r="L141" s="574">
        <v>2237.8861499999998</v>
      </c>
      <c r="M141" s="62">
        <f t="shared" si="13"/>
        <v>19170.056789999995</v>
      </c>
      <c r="N141" s="69">
        <v>301</v>
      </c>
      <c r="O141" s="150" t="s">
        <v>410</v>
      </c>
      <c r="P141" s="69"/>
      <c r="Q141" s="62">
        <f>VLOOKUP(B141,$B$373:$M$430,12,0)</f>
        <v>1775.7743799999998</v>
      </c>
      <c r="R141" s="62"/>
      <c r="T141" s="667">
        <v>2328.1558</v>
      </c>
      <c r="U141" s="667">
        <v>2246.09672</v>
      </c>
      <c r="V141" s="667">
        <v>2329.6824799999999</v>
      </c>
      <c r="W141" s="131">
        <f t="shared" si="15"/>
        <v>6903.9349999999995</v>
      </c>
      <c r="X141" s="150" t="s">
        <v>410</v>
      </c>
      <c r="Z141" s="62">
        <f t="shared" si="14"/>
        <v>26073.991789999993</v>
      </c>
      <c r="AB141" s="62">
        <f>VLOOKUP(B141,$B$373:$R$430,17,0)</f>
        <v>2366.5321799999997</v>
      </c>
      <c r="AC141" s="62"/>
    </row>
    <row r="142" spans="1:29" s="135" customFormat="1" ht="13" outlineLevel="1">
      <c r="A142" s="110"/>
      <c r="B142" s="665">
        <v>3212010006</v>
      </c>
      <c r="C142" s="574" t="s">
        <v>329</v>
      </c>
      <c r="D142" s="574">
        <v>606.69000000000005</v>
      </c>
      <c r="E142" s="574">
        <v>606.69000000000005</v>
      </c>
      <c r="F142" s="574">
        <v>606.69000000000005</v>
      </c>
      <c r="G142" s="574">
        <v>606.69000000000005</v>
      </c>
      <c r="H142" s="574">
        <v>606.69000000000005</v>
      </c>
      <c r="I142" s="574">
        <v>606.69000000000005</v>
      </c>
      <c r="J142" s="574">
        <v>699.65129999999999</v>
      </c>
      <c r="K142" s="574">
        <v>699.65129999999999</v>
      </c>
      <c r="L142" s="574">
        <v>699.65129999999999</v>
      </c>
      <c r="M142" s="62">
        <f t="shared" si="13"/>
        <v>5739.0938999999998</v>
      </c>
      <c r="N142" s="69">
        <v>301</v>
      </c>
      <c r="O142" s="150" t="s">
        <v>410</v>
      </c>
      <c r="P142" s="69"/>
      <c r="Q142" s="62"/>
      <c r="R142" s="62"/>
      <c r="T142" s="667">
        <v>699.65129999999999</v>
      </c>
      <c r="U142" s="667">
        <v>699.65129999999999</v>
      </c>
      <c r="V142" s="667">
        <v>1276.9966299999999</v>
      </c>
      <c r="W142" s="131">
        <f t="shared" si="15"/>
        <v>2676.2992299999996</v>
      </c>
      <c r="X142" s="150" t="s">
        <v>410</v>
      </c>
      <c r="Z142" s="62">
        <f t="shared" si="14"/>
        <v>8415.3931300000004</v>
      </c>
      <c r="AB142" s="62"/>
      <c r="AC142" s="62"/>
    </row>
    <row r="143" spans="1:29" s="58" customFormat="1" ht="13">
      <c r="A143" s="109"/>
      <c r="B143" s="666"/>
      <c r="C143" s="577" t="s">
        <v>151</v>
      </c>
      <c r="D143" s="577">
        <f>SUM(D139:D142)</f>
        <v>48121.417839999995</v>
      </c>
      <c r="E143" s="577">
        <f t="shared" ref="E143:M143" si="18">SUM(E139:E142)</f>
        <v>40074.886100000003</v>
      </c>
      <c r="F143" s="577">
        <f t="shared" si="18"/>
        <v>41203.055350000002</v>
      </c>
      <c r="G143" s="577">
        <f t="shared" si="18"/>
        <v>39657.864119999998</v>
      </c>
      <c r="H143" s="577">
        <f t="shared" si="18"/>
        <v>48138.134279999998</v>
      </c>
      <c r="I143" s="577">
        <f t="shared" si="18"/>
        <v>46263.202980000002</v>
      </c>
      <c r="J143" s="577">
        <f t="shared" si="18"/>
        <v>41680.137450000002</v>
      </c>
      <c r="K143" s="577">
        <f t="shared" si="18"/>
        <v>39880.706590000002</v>
      </c>
      <c r="L143" s="577">
        <f t="shared" si="18"/>
        <v>41287.940849999999</v>
      </c>
      <c r="M143" s="577">
        <f t="shared" si="18"/>
        <v>386307.34555999999</v>
      </c>
      <c r="N143" s="69"/>
      <c r="O143" s="150"/>
      <c r="P143" s="69"/>
      <c r="Q143" s="62"/>
      <c r="R143" s="62"/>
      <c r="T143" s="668">
        <f>SUM(T139:T142)</f>
        <v>40922.724310000005</v>
      </c>
      <c r="U143" s="668">
        <f t="shared" ref="U143:V143" si="19">SUM(U139:U142)</f>
        <v>39372.289479999999</v>
      </c>
      <c r="V143" s="668">
        <f t="shared" si="19"/>
        <v>37840.867490000004</v>
      </c>
      <c r="W143" s="59">
        <f t="shared" si="15"/>
        <v>118135.88128</v>
      </c>
      <c r="X143" s="150"/>
      <c r="Z143" s="198">
        <f t="shared" si="14"/>
        <v>504443.22684000002</v>
      </c>
      <c r="AB143" s="62"/>
      <c r="AC143" s="62"/>
    </row>
    <row r="144" spans="1:29" s="135" customFormat="1" ht="13" outlineLevel="1">
      <c r="A144" s="110"/>
      <c r="B144" s="665">
        <v>3204000010</v>
      </c>
      <c r="C144" s="574" t="s">
        <v>152</v>
      </c>
      <c r="D144" s="574">
        <v>2376.9830699999998</v>
      </c>
      <c r="E144" s="574">
        <v>2448.1643899999999</v>
      </c>
      <c r="F144" s="574">
        <v>2380.4559299999996</v>
      </c>
      <c r="G144" s="574">
        <v>2402.3118799999997</v>
      </c>
      <c r="H144" s="574">
        <v>2449.0852999999997</v>
      </c>
      <c r="I144" s="574">
        <v>2318.32258</v>
      </c>
      <c r="J144" s="574">
        <v>2383.7352900000001</v>
      </c>
      <c r="K144" s="574">
        <v>2395.2395000000001</v>
      </c>
      <c r="L144" s="574">
        <v>2401.1974599999999</v>
      </c>
      <c r="M144" s="62">
        <f t="shared" si="13"/>
        <v>21555.4954</v>
      </c>
      <c r="N144" s="69">
        <v>401</v>
      </c>
      <c r="O144" s="150" t="s">
        <v>416</v>
      </c>
      <c r="P144" s="69"/>
      <c r="Q144" s="62">
        <f>VLOOKUP(B144,$B$373:$M$430,12,0)</f>
        <v>2173.6669400000001</v>
      </c>
      <c r="R144" s="62"/>
      <c r="T144" s="667">
        <v>2388.0470099999998</v>
      </c>
      <c r="U144" s="667">
        <v>2162.7434399999997</v>
      </c>
      <c r="V144" s="667">
        <v>-3088.9555599999999</v>
      </c>
      <c r="W144" s="131">
        <f t="shared" si="15"/>
        <v>1461.8348899999996</v>
      </c>
      <c r="X144" s="150" t="s">
        <v>416</v>
      </c>
      <c r="Z144" s="62">
        <f t="shared" si="14"/>
        <v>23017.330289999998</v>
      </c>
      <c r="AB144" s="62">
        <f>VLOOKUP(B144,$B$373:$R$430,17,0)</f>
        <v>2945.1173800000001</v>
      </c>
      <c r="AC144" s="62"/>
    </row>
    <row r="145" spans="1:29" s="135" customFormat="1" ht="13" outlineLevel="1">
      <c r="A145" s="110"/>
      <c r="B145" s="665">
        <v>3204000020</v>
      </c>
      <c r="C145" s="574" t="s">
        <v>153</v>
      </c>
      <c r="D145" s="574">
        <v>6560.4023399999996</v>
      </c>
      <c r="E145" s="574">
        <v>6643.2910999999995</v>
      </c>
      <c r="F145" s="574">
        <v>6598.750109999999</v>
      </c>
      <c r="G145" s="574">
        <v>7675.382529999999</v>
      </c>
      <c r="H145" s="574">
        <v>7793.3300400000007</v>
      </c>
      <c r="I145" s="574">
        <v>7789.3677300000008</v>
      </c>
      <c r="J145" s="574">
        <v>8087.8451599999999</v>
      </c>
      <c r="K145" s="574">
        <v>8309.2002300000004</v>
      </c>
      <c r="L145" s="574">
        <v>8535.3219200000003</v>
      </c>
      <c r="M145" s="62">
        <f t="shared" si="13"/>
        <v>67992.891159999999</v>
      </c>
      <c r="N145" s="69">
        <v>401</v>
      </c>
      <c r="O145" s="150" t="s">
        <v>416</v>
      </c>
      <c r="P145" s="69"/>
      <c r="Q145" s="62">
        <f>VLOOKUP(B145,$B$373:$M$430,12,0)</f>
        <v>2879.0151799999999</v>
      </c>
      <c r="R145" s="62"/>
      <c r="T145" s="667">
        <v>8381.6294500000004</v>
      </c>
      <c r="U145" s="667">
        <v>7726.5745099999995</v>
      </c>
      <c r="V145" s="667">
        <v>9318.2548700000007</v>
      </c>
      <c r="W145" s="131">
        <f t="shared" si="15"/>
        <v>25426.45883</v>
      </c>
      <c r="X145" s="150" t="s">
        <v>416</v>
      </c>
      <c r="Z145" s="62">
        <f t="shared" si="14"/>
        <v>93419.349990000002</v>
      </c>
      <c r="AB145" s="62">
        <f>VLOOKUP(B145,$B$373:$R$430,17,0)</f>
        <v>3962.64392</v>
      </c>
      <c r="AC145" s="62"/>
    </row>
    <row r="146" spans="1:29" s="135" customFormat="1" ht="13" outlineLevel="1">
      <c r="A146" s="110"/>
      <c r="B146" s="665">
        <v>3204000090</v>
      </c>
      <c r="C146" s="574" t="s">
        <v>154</v>
      </c>
      <c r="D146" s="574">
        <v>108.31646000000001</v>
      </c>
      <c r="E146" s="574">
        <v>115.28934000000001</v>
      </c>
      <c r="F146" s="574">
        <v>112.65881</v>
      </c>
      <c r="G146" s="574">
        <v>109.19564</v>
      </c>
      <c r="H146" s="574">
        <v>110.5788</v>
      </c>
      <c r="I146" s="574">
        <v>109.57659999999998</v>
      </c>
      <c r="J146" s="574">
        <v>108.62205</v>
      </c>
      <c r="K146" s="574">
        <v>116.58049</v>
      </c>
      <c r="L146" s="574">
        <v>110.33963</v>
      </c>
      <c r="M146" s="62">
        <f t="shared" si="13"/>
        <v>1001.1578199999999</v>
      </c>
      <c r="N146" s="69">
        <v>401</v>
      </c>
      <c r="O146" s="150" t="s">
        <v>416</v>
      </c>
      <c r="P146" s="69"/>
      <c r="Q146" s="62">
        <f>VLOOKUP(B146,$B$373:$M$430,12,0)</f>
        <v>708.72847999999999</v>
      </c>
      <c r="R146" s="62"/>
      <c r="T146" s="667">
        <v>116.83996</v>
      </c>
      <c r="U146" s="667">
        <v>113.86434999999999</v>
      </c>
      <c r="V146" s="667">
        <v>120.56981999999999</v>
      </c>
      <c r="W146" s="131">
        <f t="shared" si="15"/>
        <v>351.27413000000001</v>
      </c>
      <c r="X146" s="150" t="s">
        <v>416</v>
      </c>
      <c r="Z146" s="62">
        <f t="shared" si="14"/>
        <v>1352.4319499999999</v>
      </c>
      <c r="AB146" s="62">
        <f>VLOOKUP(B146,$B$373:$R$430,17,0)</f>
        <v>964.97713999999996</v>
      </c>
      <c r="AC146" s="62"/>
    </row>
    <row r="147" spans="1:29" s="135" customFormat="1" ht="13" outlineLevel="1">
      <c r="A147" s="110"/>
      <c r="B147" s="665">
        <v>3204000100</v>
      </c>
      <c r="C147" s="574" t="s">
        <v>155</v>
      </c>
      <c r="D147" s="574">
        <v>7.0220000000000002</v>
      </c>
      <c r="E147" s="574">
        <v>7.0220000000000002</v>
      </c>
      <c r="F147" s="574">
        <v>7.0119999999999996</v>
      </c>
      <c r="G147" s="574">
        <v>7.0279999999999996</v>
      </c>
      <c r="H147" s="574">
        <v>7.0940000000000003</v>
      </c>
      <c r="I147" s="574">
        <v>7.15</v>
      </c>
      <c r="J147" s="574">
        <v>7.15</v>
      </c>
      <c r="K147" s="574">
        <v>7456.9319999999998</v>
      </c>
      <c r="L147" s="574">
        <v>7456.9489999999996</v>
      </c>
      <c r="M147" s="62">
        <f t="shared" si="13"/>
        <v>14963.359</v>
      </c>
      <c r="N147" s="69">
        <v>401</v>
      </c>
      <c r="O147" s="150" t="s">
        <v>416</v>
      </c>
      <c r="P147" s="69"/>
      <c r="Q147" s="62"/>
      <c r="R147" s="62"/>
      <c r="T147" s="667">
        <v>7456.9489999999996</v>
      </c>
      <c r="U147" s="667">
        <v>7456.9780000000001</v>
      </c>
      <c r="V147" s="667">
        <v>7853.4110000000001</v>
      </c>
      <c r="W147" s="131">
        <f t="shared" si="15"/>
        <v>22767.338</v>
      </c>
      <c r="X147" s="150" t="s">
        <v>416</v>
      </c>
      <c r="Z147" s="62">
        <f t="shared" si="14"/>
        <v>37730.697</v>
      </c>
      <c r="AB147" s="62"/>
      <c r="AC147" s="62"/>
    </row>
    <row r="148" spans="1:29" s="135" customFormat="1" ht="13" outlineLevel="1">
      <c r="A148" s="110"/>
      <c r="B148" s="665">
        <v>3204000110</v>
      </c>
      <c r="C148" s="574" t="s">
        <v>156</v>
      </c>
      <c r="D148" s="574">
        <v>1270.3449599999999</v>
      </c>
      <c r="E148" s="574">
        <v>1338.05348</v>
      </c>
      <c r="F148" s="574">
        <v>1377.6902500000001</v>
      </c>
      <c r="G148" s="574">
        <v>1384.3877399999999</v>
      </c>
      <c r="H148" s="574">
        <v>1407.46135</v>
      </c>
      <c r="I148" s="574">
        <v>1421.1891799999999</v>
      </c>
      <c r="J148" s="574">
        <v>1370.79359</v>
      </c>
      <c r="K148" s="574">
        <v>1470.0887299999999</v>
      </c>
      <c r="L148" s="574">
        <v>1452.0582400000001</v>
      </c>
      <c r="M148" s="62">
        <f t="shared" si="13"/>
        <v>12492.067519999999</v>
      </c>
      <c r="N148" s="69">
        <v>401</v>
      </c>
      <c r="O148" s="150" t="s">
        <v>416</v>
      </c>
      <c r="P148" s="69"/>
      <c r="Q148" s="62"/>
      <c r="R148" s="62"/>
      <c r="T148" s="667">
        <v>1418.71056</v>
      </c>
      <c r="U148" s="667">
        <v>614.21127000000001</v>
      </c>
      <c r="V148" s="667">
        <v>1845.2611199999999</v>
      </c>
      <c r="W148" s="131">
        <f t="shared" si="15"/>
        <v>3878.1829499999999</v>
      </c>
      <c r="X148" s="150" t="s">
        <v>416</v>
      </c>
      <c r="Z148" s="62">
        <f t="shared" si="14"/>
        <v>16370.250469999999</v>
      </c>
      <c r="AB148" s="62"/>
      <c r="AC148" s="62"/>
    </row>
    <row r="149" spans="1:29" s="135" customFormat="1" ht="13" outlineLevel="1">
      <c r="A149" s="110"/>
      <c r="B149" s="665">
        <v>3204000130</v>
      </c>
      <c r="C149" s="574" t="s">
        <v>157</v>
      </c>
      <c r="D149" s="574">
        <v>21.33727</v>
      </c>
      <c r="E149" s="574">
        <v>23.3903</v>
      </c>
      <c r="F149" s="574">
        <v>22.723020000000002</v>
      </c>
      <c r="G149" s="574">
        <v>22.017240000000001</v>
      </c>
      <c r="H149" s="574">
        <v>22.39254</v>
      </c>
      <c r="I149" s="574">
        <v>45.745379999999997</v>
      </c>
      <c r="J149" s="574">
        <v>39.641750000000002</v>
      </c>
      <c r="K149" s="574">
        <v>93.747119999999995</v>
      </c>
      <c r="L149" s="574">
        <v>39.908290000000001</v>
      </c>
      <c r="M149" s="62">
        <f t="shared" si="13"/>
        <v>330.90291000000002</v>
      </c>
      <c r="N149" s="69">
        <v>401</v>
      </c>
      <c r="O149" s="150" t="s">
        <v>416</v>
      </c>
      <c r="P149" s="69"/>
      <c r="Q149" s="62">
        <f>VLOOKUP(B149,$B$373:$M$430,12,0)</f>
        <v>330.90291000000002</v>
      </c>
      <c r="R149" s="62"/>
      <c r="T149" s="667">
        <v>60.748769999999993</v>
      </c>
      <c r="U149" s="667">
        <v>119.54709</v>
      </c>
      <c r="V149" s="667">
        <v>160.17814999999999</v>
      </c>
      <c r="W149" s="131">
        <f t="shared" si="15"/>
        <v>340.47401000000002</v>
      </c>
      <c r="X149" s="150" t="s">
        <v>416</v>
      </c>
      <c r="Z149" s="62">
        <f t="shared" si="14"/>
        <v>671.37692000000004</v>
      </c>
      <c r="AB149" s="62">
        <f>VLOOKUP(B149,$B$373:$R$430,17,0)</f>
        <v>671.37692000000004</v>
      </c>
      <c r="AC149" s="62"/>
    </row>
    <row r="150" spans="1:29" s="135" customFormat="1" ht="13" outlineLevel="1">
      <c r="A150" s="110"/>
      <c r="B150" s="665">
        <v>3204000160</v>
      </c>
      <c r="C150" s="574" t="s">
        <v>671</v>
      </c>
      <c r="D150" s="574">
        <v>0</v>
      </c>
      <c r="E150" s="574">
        <v>0</v>
      </c>
      <c r="F150" s="574">
        <v>0</v>
      </c>
      <c r="G150" s="574">
        <v>0</v>
      </c>
      <c r="H150" s="574">
        <v>0</v>
      </c>
      <c r="I150" s="574">
        <v>0</v>
      </c>
      <c r="J150" s="574">
        <v>0</v>
      </c>
      <c r="K150" s="574">
        <v>0</v>
      </c>
      <c r="L150" s="574">
        <v>0</v>
      </c>
      <c r="M150" s="62">
        <f t="shared" si="13"/>
        <v>0</v>
      </c>
      <c r="N150" s="69"/>
      <c r="O150" s="150"/>
      <c r="P150" s="69"/>
      <c r="Q150" s="62"/>
      <c r="R150" s="62"/>
      <c r="T150" s="667">
        <v>0</v>
      </c>
      <c r="U150" s="667">
        <v>0</v>
      </c>
      <c r="V150" s="667">
        <v>2480.0713700000001</v>
      </c>
      <c r="W150" s="131">
        <f t="shared" si="15"/>
        <v>2480.0713700000001</v>
      </c>
      <c r="X150" s="150"/>
      <c r="Z150" s="62">
        <f t="shared" si="14"/>
        <v>2480.0713700000001</v>
      </c>
      <c r="AB150" s="62"/>
      <c r="AC150" s="62"/>
    </row>
    <row r="151" spans="1:29" s="58" customFormat="1" ht="13">
      <c r="A151" s="109"/>
      <c r="B151" s="666"/>
      <c r="C151" s="577" t="s">
        <v>158</v>
      </c>
      <c r="D151" s="577">
        <f>SUM(D144:D150)</f>
        <v>10344.4061</v>
      </c>
      <c r="E151" s="577">
        <f t="shared" ref="E151:M151" si="20">SUM(E144:E150)</f>
        <v>10575.21061</v>
      </c>
      <c r="F151" s="577">
        <f t="shared" si="20"/>
        <v>10499.29012</v>
      </c>
      <c r="G151" s="577">
        <f t="shared" si="20"/>
        <v>11600.323029999998</v>
      </c>
      <c r="H151" s="577">
        <f t="shared" si="20"/>
        <v>11789.942029999998</v>
      </c>
      <c r="I151" s="577">
        <f t="shared" si="20"/>
        <v>11691.351470000001</v>
      </c>
      <c r="J151" s="577">
        <f t="shared" si="20"/>
        <v>11997.787839999999</v>
      </c>
      <c r="K151" s="577">
        <f t="shared" si="20"/>
        <v>19841.788069999999</v>
      </c>
      <c r="L151" s="577">
        <f t="shared" si="20"/>
        <v>19995.774539999999</v>
      </c>
      <c r="M151" s="577">
        <f t="shared" si="20"/>
        <v>118335.87380999999</v>
      </c>
      <c r="N151" s="69"/>
      <c r="O151" s="150"/>
      <c r="P151" s="69"/>
      <c r="Q151" s="62"/>
      <c r="R151" s="62"/>
      <c r="T151" s="668">
        <f>SUM(T144:T150)</f>
        <v>19822.924749999998</v>
      </c>
      <c r="U151" s="668">
        <f t="shared" ref="U151:V151" si="21">SUM(U144:U150)</f>
        <v>18193.918659999999</v>
      </c>
      <c r="V151" s="668">
        <f t="shared" si="21"/>
        <v>18688.79077</v>
      </c>
      <c r="W151" s="59">
        <f t="shared" si="15"/>
        <v>56705.634180000001</v>
      </c>
      <c r="X151" s="150"/>
      <c r="Z151" s="198">
        <f t="shared" si="14"/>
        <v>175041.50798999998</v>
      </c>
      <c r="AB151" s="62"/>
      <c r="AC151" s="62"/>
    </row>
    <row r="152" spans="1:29" s="135" customFormat="1" ht="13" outlineLevel="1">
      <c r="A152" s="110"/>
      <c r="B152" s="665">
        <v>3205030130</v>
      </c>
      <c r="C152" s="574" t="s">
        <v>159</v>
      </c>
      <c r="D152" s="574">
        <v>16.016869999999997</v>
      </c>
      <c r="E152" s="574">
        <v>16.844940000000001</v>
      </c>
      <c r="F152" s="574">
        <v>15.90288</v>
      </c>
      <c r="G152" s="574">
        <v>13.635279999999998</v>
      </c>
      <c r="H152" s="574">
        <v>14.92235</v>
      </c>
      <c r="I152" s="574">
        <v>14.76398</v>
      </c>
      <c r="J152" s="574">
        <v>17.38653</v>
      </c>
      <c r="K152" s="574">
        <v>17.756130000000002</v>
      </c>
      <c r="L152" s="574">
        <v>17.173080000000002</v>
      </c>
      <c r="M152" s="62">
        <f t="shared" si="13"/>
        <v>144.40204</v>
      </c>
      <c r="N152" s="69">
        <v>301</v>
      </c>
      <c r="O152" s="150" t="s">
        <v>410</v>
      </c>
      <c r="P152" s="69"/>
      <c r="Q152" s="62">
        <f>VLOOKUP(B152,$B$373:$M$430,12,0)</f>
        <v>54.631789999999995</v>
      </c>
      <c r="R152" s="62"/>
      <c r="T152" s="667">
        <v>17.68985</v>
      </c>
      <c r="U152" s="667">
        <v>17.540389999999999</v>
      </c>
      <c r="V152" s="667">
        <v>17.500689999999999</v>
      </c>
      <c r="W152" s="131">
        <f t="shared" si="15"/>
        <v>52.730929999999994</v>
      </c>
      <c r="X152" s="150" t="s">
        <v>410</v>
      </c>
      <c r="Z152" s="62">
        <f t="shared" si="14"/>
        <v>197.13297</v>
      </c>
      <c r="AB152" s="62">
        <f>VLOOKUP(B152,$B$373:$R$430,17,0)</f>
        <v>73.98366</v>
      </c>
      <c r="AC152" s="62"/>
    </row>
    <row r="153" spans="1:29" s="58" customFormat="1" ht="13">
      <c r="A153" s="109"/>
      <c r="B153" s="666"/>
      <c r="C153" s="577" t="s">
        <v>160</v>
      </c>
      <c r="D153" s="577">
        <f>D152</f>
        <v>16.016869999999997</v>
      </c>
      <c r="E153" s="577">
        <f t="shared" ref="E153:M153" si="22">E152</f>
        <v>16.844940000000001</v>
      </c>
      <c r="F153" s="577">
        <f t="shared" si="22"/>
        <v>15.90288</v>
      </c>
      <c r="G153" s="577">
        <f t="shared" si="22"/>
        <v>13.635279999999998</v>
      </c>
      <c r="H153" s="577">
        <f t="shared" si="22"/>
        <v>14.92235</v>
      </c>
      <c r="I153" s="577">
        <f t="shared" si="22"/>
        <v>14.76398</v>
      </c>
      <c r="J153" s="577">
        <f t="shared" si="22"/>
        <v>17.38653</v>
      </c>
      <c r="K153" s="577">
        <f t="shared" si="22"/>
        <v>17.756130000000002</v>
      </c>
      <c r="L153" s="577">
        <f t="shared" si="22"/>
        <v>17.173080000000002</v>
      </c>
      <c r="M153" s="577">
        <f t="shared" si="22"/>
        <v>144.40204</v>
      </c>
      <c r="N153" s="69"/>
      <c r="O153" s="150"/>
      <c r="P153" s="69"/>
      <c r="Q153" s="62"/>
      <c r="R153" s="62"/>
      <c r="T153" s="668">
        <f>T152</f>
        <v>17.68985</v>
      </c>
      <c r="U153" s="668">
        <f t="shared" ref="U153:V153" si="23">U152</f>
        <v>17.540389999999999</v>
      </c>
      <c r="V153" s="668">
        <f t="shared" si="23"/>
        <v>17.500689999999999</v>
      </c>
      <c r="W153" s="59">
        <f t="shared" si="15"/>
        <v>52.730929999999994</v>
      </c>
      <c r="X153" s="150"/>
      <c r="Z153" s="198">
        <f t="shared" si="14"/>
        <v>197.13297</v>
      </c>
      <c r="AB153" s="62"/>
      <c r="AC153" s="62"/>
    </row>
    <row r="154" spans="1:29" s="135" customFormat="1" ht="13" outlineLevel="1">
      <c r="A154" s="110"/>
      <c r="B154" s="665">
        <v>3304000014</v>
      </c>
      <c r="C154" s="574" t="s">
        <v>161</v>
      </c>
      <c r="D154" s="574">
        <v>97.461250000000007</v>
      </c>
      <c r="E154" s="574">
        <v>88.029509999999988</v>
      </c>
      <c r="F154" s="574">
        <v>97.461250000000007</v>
      </c>
      <c r="G154" s="574">
        <v>94.317340000000002</v>
      </c>
      <c r="H154" s="574">
        <v>97.461250000000007</v>
      </c>
      <c r="I154" s="574">
        <v>94.317340000000002</v>
      </c>
      <c r="J154" s="574">
        <v>97.461250000000007</v>
      </c>
      <c r="K154" s="574">
        <v>97.461250000000007</v>
      </c>
      <c r="L154" s="574">
        <v>94.317320000000009</v>
      </c>
      <c r="M154" s="62">
        <f t="shared" si="13"/>
        <v>858.28776000000005</v>
      </c>
      <c r="N154" s="69">
        <v>999</v>
      </c>
      <c r="O154" s="150" t="s">
        <v>289</v>
      </c>
      <c r="P154" s="69"/>
      <c r="Q154" s="62"/>
      <c r="R154" s="62"/>
      <c r="T154" s="667">
        <v>39.619419999999998</v>
      </c>
      <c r="U154" s="667">
        <v>38.341370000000005</v>
      </c>
      <c r="V154" s="667">
        <v>39.619419999999998</v>
      </c>
      <c r="W154" s="131">
        <f t="shared" si="15"/>
        <v>117.58020999999999</v>
      </c>
      <c r="X154" s="150" t="s">
        <v>289</v>
      </c>
      <c r="Z154" s="62">
        <f t="shared" si="14"/>
        <v>975.86797000000001</v>
      </c>
      <c r="AB154" s="62"/>
      <c r="AC154" s="62"/>
    </row>
    <row r="155" spans="1:29" s="135" customFormat="1" ht="13" outlineLevel="1">
      <c r="A155" s="110"/>
      <c r="B155" s="665">
        <v>3304000015</v>
      </c>
      <c r="C155" s="574" t="s">
        <v>162</v>
      </c>
      <c r="D155" s="574">
        <v>39.928419999999996</v>
      </c>
      <c r="E155" s="574">
        <v>37.791789999999999</v>
      </c>
      <c r="F155" s="574">
        <v>39.959489999999995</v>
      </c>
      <c r="G155" s="574">
        <v>38.966699999999996</v>
      </c>
      <c r="H155" s="574">
        <v>37.456789999999998</v>
      </c>
      <c r="I155" s="574">
        <v>37.826740000000008</v>
      </c>
      <c r="J155" s="574">
        <v>40.931239999999995</v>
      </c>
      <c r="K155" s="574">
        <v>40.967359999999999</v>
      </c>
      <c r="L155" s="574">
        <v>42.282719999999998</v>
      </c>
      <c r="M155" s="62">
        <f t="shared" ref="M155:M212" si="24">SUM(D155:L155)</f>
        <v>356.11124999999993</v>
      </c>
      <c r="N155" s="69">
        <v>606</v>
      </c>
      <c r="O155" s="150" t="s">
        <v>286</v>
      </c>
      <c r="P155" s="69"/>
      <c r="Q155" s="62">
        <f>VLOOKUP(B155,$B$373:$M$430,12,0)</f>
        <v>6.6027299999999993</v>
      </c>
      <c r="R155" s="62">
        <f>VLOOKUP(B155,$B$437:$E$452,3,0)</f>
        <v>58.913139999999999</v>
      </c>
      <c r="T155" s="667">
        <v>44.698749999999997</v>
      </c>
      <c r="U155" s="667">
        <v>41.31926</v>
      </c>
      <c r="V155" s="667">
        <v>40.016829999999999</v>
      </c>
      <c r="W155" s="131">
        <f t="shared" si="15"/>
        <v>126.03484</v>
      </c>
      <c r="X155" s="150" t="s">
        <v>286</v>
      </c>
      <c r="Z155" s="62">
        <f t="shared" si="14"/>
        <v>482.14608999999996</v>
      </c>
      <c r="AB155" s="62">
        <f>VLOOKUP(B155,$B$373:$R$430,17,0)</f>
        <v>9.1029599999999995</v>
      </c>
      <c r="AC155" s="62">
        <f>VLOOKUP($B155,$B$437:$E$452,4,0)</f>
        <v>80.251179999999991</v>
      </c>
    </row>
    <row r="156" spans="1:29" s="135" customFormat="1" ht="13" outlineLevel="1">
      <c r="A156" s="110"/>
      <c r="B156" s="665">
        <v>3304000018</v>
      </c>
      <c r="C156" s="574" t="s">
        <v>163</v>
      </c>
      <c r="D156" s="574">
        <v>101.94757</v>
      </c>
      <c r="E156" s="574">
        <v>92.404879999999991</v>
      </c>
      <c r="F156" s="574">
        <v>102.33357000000001</v>
      </c>
      <c r="G156" s="574">
        <v>99.511819999999986</v>
      </c>
      <c r="H156" s="574">
        <v>102.74182</v>
      </c>
      <c r="I156" s="574">
        <v>96.822549999999993</v>
      </c>
      <c r="J156" s="574">
        <v>205.55347</v>
      </c>
      <c r="K156" s="574">
        <v>212.74347</v>
      </c>
      <c r="L156" s="574">
        <v>210.80295999999998</v>
      </c>
      <c r="M156" s="62">
        <f t="shared" si="24"/>
        <v>1224.86211</v>
      </c>
      <c r="N156" s="69">
        <v>606</v>
      </c>
      <c r="O156" s="150" t="s">
        <v>286</v>
      </c>
      <c r="P156" s="69"/>
      <c r="Q156" s="62">
        <f>VLOOKUP(B156,$B$373:$M$430,12,0)</f>
        <v>8.4266099999999984</v>
      </c>
      <c r="R156" s="62"/>
      <c r="T156" s="667">
        <v>209.61469</v>
      </c>
      <c r="U156" s="667">
        <v>103.44783</v>
      </c>
      <c r="V156" s="667">
        <v>238.87519</v>
      </c>
      <c r="W156" s="131">
        <f t="shared" si="15"/>
        <v>551.93771000000004</v>
      </c>
      <c r="X156" s="150" t="s">
        <v>286</v>
      </c>
      <c r="Z156" s="62">
        <f t="shared" si="14"/>
        <v>1776.7998200000002</v>
      </c>
      <c r="AB156" s="62">
        <f>VLOOKUP(B156,$B$373:$R$430,17,0)</f>
        <v>9.4313899999999986</v>
      </c>
      <c r="AC156" s="62"/>
    </row>
    <row r="157" spans="1:29" s="135" customFormat="1" ht="13" outlineLevel="1">
      <c r="A157" s="110"/>
      <c r="B157" s="665">
        <v>3304000019</v>
      </c>
      <c r="C157" s="574" t="s">
        <v>164</v>
      </c>
      <c r="D157" s="574">
        <v>3.5277999999999996</v>
      </c>
      <c r="E157" s="574">
        <v>1.48238</v>
      </c>
      <c r="F157" s="574">
        <v>2.8998400000000002</v>
      </c>
      <c r="G157" s="574">
        <v>4.56473</v>
      </c>
      <c r="H157" s="574">
        <v>3.0763400000000001</v>
      </c>
      <c r="I157" s="574">
        <v>3.1181400000000004</v>
      </c>
      <c r="J157" s="574">
        <v>7.3178099999999997</v>
      </c>
      <c r="K157" s="574">
        <v>6.1959699999999991</v>
      </c>
      <c r="L157" s="574">
        <v>5.8380000000000001</v>
      </c>
      <c r="M157" s="62">
        <f t="shared" si="24"/>
        <v>38.021009999999997</v>
      </c>
      <c r="N157" s="69">
        <v>606</v>
      </c>
      <c r="O157" s="150" t="s">
        <v>286</v>
      </c>
      <c r="P157" s="69"/>
      <c r="Q157" s="62">
        <f>VLOOKUP(B157,$B$373:$M$430,12,0)</f>
        <v>16.485800000000001</v>
      </c>
      <c r="R157" s="62"/>
      <c r="T157" s="667">
        <v>6.1709300000000002</v>
      </c>
      <c r="U157" s="667">
        <v>5.9379699999999991</v>
      </c>
      <c r="V157" s="667">
        <v>0.21262000000000081</v>
      </c>
      <c r="W157" s="131">
        <f t="shared" si="15"/>
        <v>12.32152</v>
      </c>
      <c r="X157" s="150" t="s">
        <v>286</v>
      </c>
      <c r="Z157" s="62">
        <f t="shared" si="14"/>
        <v>50.342529999999996</v>
      </c>
      <c r="AB157" s="62">
        <f>VLOOKUP(B157,$B$373:$R$430,17,0)</f>
        <v>22.592390000000002</v>
      </c>
      <c r="AC157" s="62"/>
    </row>
    <row r="158" spans="1:29" s="135" customFormat="1" ht="13" outlineLevel="1">
      <c r="A158" s="110"/>
      <c r="B158" s="665">
        <v>3304000020</v>
      </c>
      <c r="C158" s="574" t="s">
        <v>165</v>
      </c>
      <c r="D158" s="574">
        <v>0</v>
      </c>
      <c r="E158" s="574">
        <v>0</v>
      </c>
      <c r="F158" s="574">
        <v>0</v>
      </c>
      <c r="G158" s="574">
        <v>971.91976</v>
      </c>
      <c r="H158" s="574">
        <v>251.07926999999998</v>
      </c>
      <c r="I158" s="574">
        <v>242.97994</v>
      </c>
      <c r="J158" s="574">
        <v>2174.4739799999998</v>
      </c>
      <c r="K158" s="574">
        <v>533.77791999999999</v>
      </c>
      <c r="L158" s="574">
        <v>589.34271000000001</v>
      </c>
      <c r="M158" s="62">
        <f t="shared" si="24"/>
        <v>4763.5735799999993</v>
      </c>
      <c r="N158" s="69">
        <v>301</v>
      </c>
      <c r="O158" s="187" t="s">
        <v>286</v>
      </c>
      <c r="P158" s="69"/>
      <c r="Q158" s="62"/>
      <c r="R158" s="62"/>
      <c r="T158" s="667">
        <v>586.39440000000002</v>
      </c>
      <c r="U158" s="667">
        <v>567.47844999999995</v>
      </c>
      <c r="V158" s="667">
        <v>586.39437999999996</v>
      </c>
      <c r="W158" s="131">
        <f t="shared" si="15"/>
        <v>1740.2672299999999</v>
      </c>
      <c r="X158" s="187" t="s">
        <v>286</v>
      </c>
      <c r="Z158" s="62">
        <f t="shared" si="14"/>
        <v>6503.8408099999997</v>
      </c>
      <c r="AB158" s="62"/>
      <c r="AC158" s="62"/>
    </row>
    <row r="159" spans="1:29" s="135" customFormat="1" ht="13" outlineLevel="1">
      <c r="A159" s="110"/>
      <c r="B159" s="665">
        <v>3304000022</v>
      </c>
      <c r="C159" s="574" t="s">
        <v>166</v>
      </c>
      <c r="D159" s="574">
        <v>2403.7312400000001</v>
      </c>
      <c r="E159" s="574">
        <v>2484.7457799999997</v>
      </c>
      <c r="F159" s="574">
        <v>2808.36042</v>
      </c>
      <c r="G159" s="574">
        <v>2544.9301</v>
      </c>
      <c r="H159" s="574">
        <v>2692.3156400000003</v>
      </c>
      <c r="I159" s="574">
        <v>2647.2747100000001</v>
      </c>
      <c r="J159" s="574">
        <v>2429.0702299999998</v>
      </c>
      <c r="K159" s="574">
        <v>5385.15535</v>
      </c>
      <c r="L159" s="574">
        <v>5159.4974400000001</v>
      </c>
      <c r="M159" s="62">
        <f t="shared" si="24"/>
        <v>28555.080910000001</v>
      </c>
      <c r="N159" s="69">
        <v>606</v>
      </c>
      <c r="O159" s="150" t="s">
        <v>286</v>
      </c>
      <c r="P159" s="69"/>
      <c r="Q159" s="62"/>
      <c r="R159" s="62"/>
      <c r="T159" s="667">
        <v>5202.6394800000007</v>
      </c>
      <c r="U159" s="667">
        <v>1873.9088299999996</v>
      </c>
      <c r="V159" s="667">
        <v>5318.2853099999993</v>
      </c>
      <c r="W159" s="131">
        <f t="shared" si="15"/>
        <v>12394.833619999999</v>
      </c>
      <c r="X159" s="150" t="s">
        <v>286</v>
      </c>
      <c r="Z159" s="62">
        <f t="shared" si="14"/>
        <v>40949.914530000002</v>
      </c>
      <c r="AB159" s="62"/>
      <c r="AC159" s="62"/>
    </row>
    <row r="160" spans="1:29" s="58" customFormat="1" ht="13">
      <c r="A160" s="109"/>
      <c r="B160" s="666"/>
      <c r="C160" s="577" t="s">
        <v>167</v>
      </c>
      <c r="D160" s="577">
        <f>SUM(D154:D159)</f>
        <v>2646.5962800000002</v>
      </c>
      <c r="E160" s="577">
        <f t="shared" ref="E160:L160" si="25">SUM(E154:E159)</f>
        <v>2704.4543399999998</v>
      </c>
      <c r="F160" s="577">
        <f t="shared" si="25"/>
        <v>3051.0145699999998</v>
      </c>
      <c r="G160" s="577">
        <f t="shared" si="25"/>
        <v>3754.21045</v>
      </c>
      <c r="H160" s="577">
        <f t="shared" si="25"/>
        <v>3184.1311100000003</v>
      </c>
      <c r="I160" s="577">
        <f t="shared" si="25"/>
        <v>3122.3394200000002</v>
      </c>
      <c r="J160" s="577">
        <f t="shared" si="25"/>
        <v>4954.8079799999996</v>
      </c>
      <c r="K160" s="577">
        <f t="shared" si="25"/>
        <v>6276.3013200000005</v>
      </c>
      <c r="L160" s="577">
        <f t="shared" si="25"/>
        <v>6102.08115</v>
      </c>
      <c r="M160" s="577">
        <f>SUM(M154:M159)</f>
        <v>35795.93662</v>
      </c>
      <c r="N160" s="69"/>
      <c r="O160" s="150"/>
      <c r="P160" s="69"/>
      <c r="Q160" s="62"/>
      <c r="R160" s="62"/>
      <c r="T160" s="668">
        <f>SUM(T154:T159)</f>
        <v>6089.137670000001</v>
      </c>
      <c r="U160" s="668">
        <f t="shared" ref="U160:V160" si="26">SUM(U154:U159)</f>
        <v>2630.4337099999993</v>
      </c>
      <c r="V160" s="668">
        <f t="shared" si="26"/>
        <v>6223.4037499999995</v>
      </c>
      <c r="W160" s="59">
        <f t="shared" si="15"/>
        <v>14942.975130000001</v>
      </c>
      <c r="X160" s="150"/>
      <c r="Z160" s="198">
        <f t="shared" si="14"/>
        <v>50738.911749999999</v>
      </c>
      <c r="AB160" s="62"/>
      <c r="AC160" s="62"/>
    </row>
    <row r="161" spans="1:29" s="135" customFormat="1" ht="13" outlineLevel="1">
      <c r="A161" s="110"/>
      <c r="B161" s="665">
        <v>3205010010</v>
      </c>
      <c r="C161" s="574" t="s">
        <v>168</v>
      </c>
      <c r="D161" s="574">
        <v>16536.163240000002</v>
      </c>
      <c r="E161" s="574">
        <v>-1703.9549299999999</v>
      </c>
      <c r="F161" s="574">
        <v>177846.80060999998</v>
      </c>
      <c r="G161" s="574">
        <v>23634.75318</v>
      </c>
      <c r="H161" s="574">
        <v>2558.01062</v>
      </c>
      <c r="I161" s="574">
        <v>7058.3343199999999</v>
      </c>
      <c r="J161" s="574">
        <v>171186.18359</v>
      </c>
      <c r="K161" s="574">
        <v>30276.094670000002</v>
      </c>
      <c r="L161" s="574">
        <v>76578.369170000005</v>
      </c>
      <c r="M161" s="62">
        <f t="shared" si="24"/>
        <v>503970.75446999999</v>
      </c>
      <c r="N161" s="69">
        <v>606</v>
      </c>
      <c r="O161" s="150" t="s">
        <v>286</v>
      </c>
      <c r="P161" s="69"/>
      <c r="Q161" s="62"/>
      <c r="R161" s="62"/>
      <c r="T161" s="667">
        <v>3348.6618199999998</v>
      </c>
      <c r="U161" s="667">
        <v>122450.71442</v>
      </c>
      <c r="V161" s="667">
        <v>62931.05204000001</v>
      </c>
      <c r="W161" s="131">
        <f t="shared" si="15"/>
        <v>188730.42827999999</v>
      </c>
      <c r="X161" s="150" t="s">
        <v>286</v>
      </c>
      <c r="Z161" s="62">
        <f t="shared" si="14"/>
        <v>692701.18274999992</v>
      </c>
      <c r="AB161" s="62"/>
      <c r="AC161" s="62"/>
    </row>
    <row r="162" spans="1:29" s="135" customFormat="1" ht="13" outlineLevel="1">
      <c r="A162" s="110"/>
      <c r="B162" s="665">
        <v>3205010012</v>
      </c>
      <c r="C162" s="574" t="s">
        <v>169</v>
      </c>
      <c r="D162" s="574">
        <v>3009.5</v>
      </c>
      <c r="E162" s="574">
        <v>3009.5</v>
      </c>
      <c r="F162" s="574">
        <v>3197.0786400000002</v>
      </c>
      <c r="G162" s="574">
        <v>3169.5</v>
      </c>
      <c r="H162" s="574">
        <v>3009.5</v>
      </c>
      <c r="I162" s="574">
        <v>3044.5</v>
      </c>
      <c r="J162" s="574">
        <v>3459.5</v>
      </c>
      <c r="K162" s="574">
        <v>3159.5</v>
      </c>
      <c r="L162" s="574">
        <v>3009.5</v>
      </c>
      <c r="M162" s="62">
        <f t="shared" si="24"/>
        <v>28068.07864</v>
      </c>
      <c r="N162" s="69">
        <v>606</v>
      </c>
      <c r="O162" s="150" t="s">
        <v>286</v>
      </c>
      <c r="P162" s="69"/>
      <c r="Q162" s="62"/>
      <c r="R162" s="62"/>
      <c r="T162" s="667">
        <v>3159.5</v>
      </c>
      <c r="U162" s="667">
        <v>3210.34746</v>
      </c>
      <c r="V162" s="667">
        <v>2909.5</v>
      </c>
      <c r="W162" s="131">
        <f t="shared" si="15"/>
        <v>9279.3474600000009</v>
      </c>
      <c r="X162" s="150" t="s">
        <v>286</v>
      </c>
      <c r="Z162" s="62">
        <f t="shared" si="14"/>
        <v>37347.426099999997</v>
      </c>
      <c r="AB162" s="62"/>
      <c r="AC162" s="62"/>
    </row>
    <row r="163" spans="1:29" s="135" customFormat="1" ht="13" outlineLevel="1">
      <c r="A163" s="110"/>
      <c r="B163" s="665">
        <v>3205010020</v>
      </c>
      <c r="C163" s="574" t="s">
        <v>170</v>
      </c>
      <c r="D163" s="574">
        <v>0</v>
      </c>
      <c r="E163" s="574">
        <v>0</v>
      </c>
      <c r="F163" s="574">
        <v>852.92499999999995</v>
      </c>
      <c r="G163" s="574">
        <v>0</v>
      </c>
      <c r="H163" s="574">
        <v>1397.54928</v>
      </c>
      <c r="I163" s="574">
        <v>52137.77</v>
      </c>
      <c r="J163" s="574">
        <v>1032.23693</v>
      </c>
      <c r="K163" s="574">
        <v>0</v>
      </c>
      <c r="L163" s="574">
        <v>0</v>
      </c>
      <c r="M163" s="62">
        <f t="shared" si="24"/>
        <v>55420.481209999998</v>
      </c>
      <c r="N163" s="69">
        <v>606</v>
      </c>
      <c r="O163" s="187" t="s">
        <v>286</v>
      </c>
      <c r="P163" s="69"/>
      <c r="Q163" s="62"/>
      <c r="R163" s="62"/>
      <c r="T163" s="667">
        <v>0</v>
      </c>
      <c r="U163" s="667">
        <v>0</v>
      </c>
      <c r="V163" s="667">
        <v>1455.893</v>
      </c>
      <c r="W163" s="131">
        <f t="shared" si="15"/>
        <v>1455.893</v>
      </c>
      <c r="X163" s="187" t="s">
        <v>286</v>
      </c>
      <c r="Z163" s="62">
        <f t="shared" si="14"/>
        <v>56876.374209999994</v>
      </c>
      <c r="AB163" s="62"/>
      <c r="AC163" s="62"/>
    </row>
    <row r="164" spans="1:29" s="135" customFormat="1" ht="13" outlineLevel="1">
      <c r="A164" s="110"/>
      <c r="B164" s="665">
        <v>3205010030</v>
      </c>
      <c r="C164" s="574" t="s">
        <v>171</v>
      </c>
      <c r="D164" s="574">
        <v>31.299580000000002</v>
      </c>
      <c r="E164" s="574">
        <v>209.70397</v>
      </c>
      <c r="F164" s="574">
        <v>62.631169999999997</v>
      </c>
      <c r="G164" s="574">
        <v>0</v>
      </c>
      <c r="H164" s="574">
        <v>835.15</v>
      </c>
      <c r="I164" s="574">
        <v>0</v>
      </c>
      <c r="J164" s="574">
        <v>112.46560000000001</v>
      </c>
      <c r="K164" s="574">
        <v>135.05339000000001</v>
      </c>
      <c r="L164" s="574">
        <v>0</v>
      </c>
      <c r="M164" s="62">
        <f t="shared" si="24"/>
        <v>1386.3037100000001</v>
      </c>
      <c r="N164" s="69">
        <v>606</v>
      </c>
      <c r="O164" s="150" t="s">
        <v>286</v>
      </c>
      <c r="P164" s="69"/>
      <c r="Q164" s="62"/>
      <c r="R164" s="62"/>
      <c r="T164" s="667">
        <v>318.62806</v>
      </c>
      <c r="U164" s="667">
        <v>20.082999999999998</v>
      </c>
      <c r="V164" s="667">
        <v>41.70364</v>
      </c>
      <c r="W164" s="131">
        <f t="shared" si="15"/>
        <v>380.41469999999998</v>
      </c>
      <c r="X164" s="150" t="s">
        <v>286</v>
      </c>
      <c r="Z164" s="62">
        <f t="shared" si="14"/>
        <v>1766.7184100000002</v>
      </c>
      <c r="AB164" s="62"/>
      <c r="AC164" s="62"/>
    </row>
    <row r="165" spans="1:29" s="135" customFormat="1" ht="13" outlineLevel="1">
      <c r="A165" s="110"/>
      <c r="B165" s="665">
        <v>3205010040</v>
      </c>
      <c r="C165" s="574" t="s">
        <v>330</v>
      </c>
      <c r="D165" s="574">
        <v>0</v>
      </c>
      <c r="E165" s="574">
        <v>0</v>
      </c>
      <c r="F165" s="574">
        <v>0</v>
      </c>
      <c r="G165" s="574">
        <v>0</v>
      </c>
      <c r="H165" s="574">
        <v>0</v>
      </c>
      <c r="I165" s="574">
        <v>0</v>
      </c>
      <c r="J165" s="574">
        <v>0</v>
      </c>
      <c r="K165" s="574">
        <v>576.27118999999993</v>
      </c>
      <c r="L165" s="574">
        <v>0</v>
      </c>
      <c r="M165" s="62">
        <f t="shared" si="24"/>
        <v>576.27118999999993</v>
      </c>
      <c r="N165" s="69">
        <v>606</v>
      </c>
      <c r="O165" s="150" t="s">
        <v>286</v>
      </c>
      <c r="P165" s="69"/>
      <c r="Q165" s="62"/>
      <c r="R165" s="62"/>
      <c r="T165" s="667">
        <v>0</v>
      </c>
      <c r="U165" s="667">
        <v>0</v>
      </c>
      <c r="V165" s="667">
        <v>0</v>
      </c>
      <c r="W165" s="131">
        <f t="shared" si="15"/>
        <v>0</v>
      </c>
      <c r="X165" s="150" t="s">
        <v>286</v>
      </c>
      <c r="Z165" s="62">
        <f t="shared" si="14"/>
        <v>576.27118999999993</v>
      </c>
      <c r="AB165" s="62"/>
      <c r="AC165" s="62"/>
    </row>
    <row r="166" spans="1:29" s="135" customFormat="1" ht="13" outlineLevel="1">
      <c r="A166" s="110"/>
      <c r="B166" s="665">
        <v>3205010050</v>
      </c>
      <c r="C166" s="574" t="s">
        <v>172</v>
      </c>
      <c r="D166" s="574">
        <v>0</v>
      </c>
      <c r="E166" s="574">
        <v>0</v>
      </c>
      <c r="F166" s="574">
        <v>0</v>
      </c>
      <c r="G166" s="574">
        <v>0</v>
      </c>
      <c r="H166" s="574">
        <v>0</v>
      </c>
      <c r="I166" s="574">
        <v>0</v>
      </c>
      <c r="J166" s="574">
        <v>135.04</v>
      </c>
      <c r="K166" s="574">
        <v>0</v>
      </c>
      <c r="L166" s="574">
        <v>76.56</v>
      </c>
      <c r="M166" s="62">
        <f t="shared" si="24"/>
        <v>211.6</v>
      </c>
      <c r="N166" s="69">
        <v>606</v>
      </c>
      <c r="O166" s="150" t="s">
        <v>286</v>
      </c>
      <c r="P166" s="69"/>
      <c r="Q166" s="62"/>
      <c r="R166" s="62"/>
      <c r="T166" s="667">
        <v>22.45</v>
      </c>
      <c r="U166" s="667">
        <v>0</v>
      </c>
      <c r="V166" s="667">
        <v>18.5</v>
      </c>
      <c r="W166" s="131">
        <f t="shared" si="15"/>
        <v>40.950000000000003</v>
      </c>
      <c r="X166" s="150" t="s">
        <v>286</v>
      </c>
      <c r="Z166" s="62">
        <f t="shared" si="14"/>
        <v>252.55</v>
      </c>
      <c r="AB166" s="62"/>
      <c r="AC166" s="62"/>
    </row>
    <row r="167" spans="1:29" s="135" customFormat="1" ht="13" outlineLevel="1">
      <c r="A167" s="110"/>
      <c r="B167" s="665">
        <v>3205010051</v>
      </c>
      <c r="C167" s="574" t="s">
        <v>173</v>
      </c>
      <c r="D167" s="574">
        <v>0</v>
      </c>
      <c r="E167" s="574">
        <v>0</v>
      </c>
      <c r="F167" s="574">
        <v>0</v>
      </c>
      <c r="G167" s="574">
        <v>0</v>
      </c>
      <c r="H167" s="574">
        <v>0</v>
      </c>
      <c r="I167" s="574">
        <v>0</v>
      </c>
      <c r="J167" s="574">
        <v>533.46</v>
      </c>
      <c r="K167" s="574">
        <v>0</v>
      </c>
      <c r="L167" s="574">
        <v>223.44</v>
      </c>
      <c r="M167" s="62">
        <f t="shared" si="24"/>
        <v>756.90000000000009</v>
      </c>
      <c r="N167" s="69">
        <v>606</v>
      </c>
      <c r="O167" s="150" t="s">
        <v>286</v>
      </c>
      <c r="P167" s="69"/>
      <c r="Q167" s="62"/>
      <c r="R167" s="62"/>
      <c r="T167" s="667">
        <v>77.55</v>
      </c>
      <c r="U167" s="667">
        <v>0</v>
      </c>
      <c r="V167" s="667">
        <v>0</v>
      </c>
      <c r="W167" s="131">
        <f t="shared" si="15"/>
        <v>77.55</v>
      </c>
      <c r="X167" s="150" t="s">
        <v>286</v>
      </c>
      <c r="Z167" s="62">
        <f t="shared" si="14"/>
        <v>834.45</v>
      </c>
      <c r="AB167" s="62"/>
      <c r="AC167" s="62"/>
    </row>
    <row r="168" spans="1:29" s="135" customFormat="1" ht="13" outlineLevel="1">
      <c r="A168" s="110"/>
      <c r="B168" s="665">
        <v>3205010060</v>
      </c>
      <c r="C168" s="574" t="s">
        <v>174</v>
      </c>
      <c r="D168" s="574">
        <v>198.0633</v>
      </c>
      <c r="E168" s="574">
        <v>2202.4043099999999</v>
      </c>
      <c r="F168" s="574">
        <v>2392.1450700000005</v>
      </c>
      <c r="G168" s="574">
        <v>4959.7044700000006</v>
      </c>
      <c r="H168" s="574">
        <v>3866.4389299999998</v>
      </c>
      <c r="I168" s="574">
        <v>3029.0413599999997</v>
      </c>
      <c r="J168" s="574">
        <v>7890.0103599999993</v>
      </c>
      <c r="K168" s="574">
        <v>2664.35871</v>
      </c>
      <c r="L168" s="574">
        <v>10306.58273</v>
      </c>
      <c r="M168" s="62">
        <f t="shared" si="24"/>
        <v>37508.749240000005</v>
      </c>
      <c r="N168" s="69">
        <v>606</v>
      </c>
      <c r="O168" s="150" t="s">
        <v>286</v>
      </c>
      <c r="P168" s="69"/>
      <c r="Q168" s="62"/>
      <c r="R168" s="62"/>
      <c r="T168" s="667">
        <v>5888.4002299999993</v>
      </c>
      <c r="U168" s="667">
        <v>6271.9734200000012</v>
      </c>
      <c r="V168" s="667">
        <v>4925.5239199999996</v>
      </c>
      <c r="W168" s="131">
        <f t="shared" si="15"/>
        <v>17085.897570000001</v>
      </c>
      <c r="X168" s="150" t="s">
        <v>286</v>
      </c>
      <c r="Z168" s="62">
        <f t="shared" si="14"/>
        <v>54594.646810000006</v>
      </c>
      <c r="AB168" s="62"/>
      <c r="AC168" s="62"/>
    </row>
    <row r="169" spans="1:29" s="135" customFormat="1" ht="13" outlineLevel="1">
      <c r="A169" s="110"/>
      <c r="B169" s="665">
        <v>3205010080</v>
      </c>
      <c r="C169" s="574" t="s">
        <v>176</v>
      </c>
      <c r="D169" s="574">
        <v>3761.4971299999997</v>
      </c>
      <c r="E169" s="574">
        <v>3637.5813800000001</v>
      </c>
      <c r="F169" s="574">
        <v>3617.7049099999995</v>
      </c>
      <c r="G169" s="574">
        <v>6899.6518900000001</v>
      </c>
      <c r="H169" s="574">
        <v>4612.9412499999999</v>
      </c>
      <c r="I169" s="574">
        <v>4589.4955899999995</v>
      </c>
      <c r="J169" s="574">
        <v>4782.0774199999996</v>
      </c>
      <c r="K169" s="574">
        <v>4614.9250499999998</v>
      </c>
      <c r="L169" s="574">
        <v>4961.1390000000001</v>
      </c>
      <c r="M169" s="62">
        <f t="shared" si="24"/>
        <v>41477.013619999998</v>
      </c>
      <c r="N169" s="69">
        <v>606</v>
      </c>
      <c r="O169" s="150" t="s">
        <v>286</v>
      </c>
      <c r="P169" s="69"/>
      <c r="Q169" s="62">
        <f>VLOOKUP(B169,$B$373:$M$430,12,0)</f>
        <v>546.04496000000006</v>
      </c>
      <c r="R169" s="62"/>
      <c r="T169" s="667">
        <v>5948.6017599999996</v>
      </c>
      <c r="U169" s="667">
        <v>5713.4444999999996</v>
      </c>
      <c r="V169" s="667">
        <v>5674.2743900000005</v>
      </c>
      <c r="W169" s="131">
        <f t="shared" si="15"/>
        <v>17336.320650000001</v>
      </c>
      <c r="X169" s="150" t="s">
        <v>286</v>
      </c>
      <c r="Z169" s="62">
        <f t="shared" si="14"/>
        <v>58813.334269999999</v>
      </c>
      <c r="AB169" s="62">
        <f>VLOOKUP(B169,$B$373:$R$430,17,0)</f>
        <v>824.59936000000005</v>
      </c>
      <c r="AC169" s="62"/>
    </row>
    <row r="170" spans="1:29" s="135" customFormat="1" ht="13" outlineLevel="1">
      <c r="A170" s="110"/>
      <c r="B170" s="665">
        <v>3205010081</v>
      </c>
      <c r="C170" s="574" t="s">
        <v>177</v>
      </c>
      <c r="D170" s="574">
        <v>2.1335199999999999</v>
      </c>
      <c r="E170" s="574">
        <v>0</v>
      </c>
      <c r="F170" s="574">
        <v>0.65666000000000002</v>
      </c>
      <c r="G170" s="574">
        <v>2.5126500000000003</v>
      </c>
      <c r="H170" s="574">
        <v>2.4374499999999997</v>
      </c>
      <c r="I170" s="574">
        <v>0</v>
      </c>
      <c r="J170" s="574">
        <v>0</v>
      </c>
      <c r="K170" s="574">
        <v>9.0859999999999996E-2</v>
      </c>
      <c r="L170" s="574">
        <v>0.26626</v>
      </c>
      <c r="M170" s="62">
        <f t="shared" si="24"/>
        <v>8.0974000000000004</v>
      </c>
      <c r="N170" s="69">
        <v>606</v>
      </c>
      <c r="O170" s="187" t="s">
        <v>286</v>
      </c>
      <c r="P170" s="69"/>
      <c r="Q170" s="62">
        <f>VLOOKUP(B170,$B$373:$M$430,12,0)</f>
        <v>1.56132</v>
      </c>
      <c r="R170" s="62"/>
      <c r="T170" s="667">
        <v>2.0374299999999996</v>
      </c>
      <c r="U170" s="667">
        <v>6.8000000000000005E-4</v>
      </c>
      <c r="V170" s="667">
        <v>2.2418899999999997</v>
      </c>
      <c r="W170" s="131">
        <f t="shared" si="15"/>
        <v>4.2799999999999994</v>
      </c>
      <c r="X170" s="187" t="s">
        <v>286</v>
      </c>
      <c r="Z170" s="62">
        <f t="shared" si="14"/>
        <v>12.3774</v>
      </c>
      <c r="AB170" s="62">
        <f>VLOOKUP(B170,$B$373:$R$430,17,0)</f>
        <v>3.2031099999999997</v>
      </c>
      <c r="AC170" s="62"/>
    </row>
    <row r="171" spans="1:29" s="135" customFormat="1" ht="13" outlineLevel="1">
      <c r="A171" s="110"/>
      <c r="B171" s="665">
        <v>3205010110</v>
      </c>
      <c r="C171" s="574" t="s">
        <v>178</v>
      </c>
      <c r="D171" s="574">
        <v>66.475999999999999</v>
      </c>
      <c r="E171" s="574">
        <v>70.285089999999997</v>
      </c>
      <c r="F171" s="574">
        <v>69.971800000000002</v>
      </c>
      <c r="G171" s="574">
        <v>70.335309999999993</v>
      </c>
      <c r="H171" s="574">
        <v>71.588680000000011</v>
      </c>
      <c r="I171" s="574">
        <v>72.439460000000011</v>
      </c>
      <c r="J171" s="574">
        <v>69.809190000000001</v>
      </c>
      <c r="K171" s="574">
        <v>72.613979999999998</v>
      </c>
      <c r="L171" s="574">
        <v>140.10261</v>
      </c>
      <c r="M171" s="62">
        <f t="shared" si="24"/>
        <v>703.62212</v>
      </c>
      <c r="N171" s="69">
        <v>606</v>
      </c>
      <c r="O171" s="187" t="s">
        <v>286</v>
      </c>
      <c r="P171" s="69"/>
      <c r="Q171" s="62"/>
      <c r="R171" s="62"/>
      <c r="T171" s="667">
        <v>3.9026000000000001</v>
      </c>
      <c r="U171" s="667">
        <v>26.201419999999999</v>
      </c>
      <c r="V171" s="667">
        <v>75.872889999999998</v>
      </c>
      <c r="W171" s="131">
        <f t="shared" si="15"/>
        <v>105.97691</v>
      </c>
      <c r="X171" s="187" t="s">
        <v>286</v>
      </c>
      <c r="Z171" s="62">
        <f t="shared" si="14"/>
        <v>809.59902999999997</v>
      </c>
      <c r="AB171" s="62"/>
      <c r="AC171" s="62"/>
    </row>
    <row r="172" spans="1:29" s="135" customFormat="1" ht="13" outlineLevel="1">
      <c r="A172" s="110"/>
      <c r="B172" s="665">
        <v>3205010120</v>
      </c>
      <c r="C172" s="574" t="s">
        <v>179</v>
      </c>
      <c r="D172" s="574">
        <v>16.249100000000002</v>
      </c>
      <c r="E172" s="574">
        <v>30.012199999999996</v>
      </c>
      <c r="F172" s="574">
        <v>23.084970000000002</v>
      </c>
      <c r="G172" s="574">
        <v>23.137129999999999</v>
      </c>
      <c r="H172" s="574">
        <v>23.20532</v>
      </c>
      <c r="I172" s="574">
        <v>16.220939999999999</v>
      </c>
      <c r="J172" s="574">
        <v>30.535379999999996</v>
      </c>
      <c r="K172" s="574">
        <v>24.187450000000002</v>
      </c>
      <c r="L172" s="574">
        <v>24.004099999999998</v>
      </c>
      <c r="M172" s="62">
        <f t="shared" si="24"/>
        <v>210.63659000000001</v>
      </c>
      <c r="N172" s="69">
        <v>606</v>
      </c>
      <c r="O172" s="187" t="s">
        <v>286</v>
      </c>
      <c r="P172" s="69"/>
      <c r="Q172" s="62">
        <f>VLOOKUP(B172,$B$373:$M$430,12,0)</f>
        <v>17.987030000000001</v>
      </c>
      <c r="R172" s="62">
        <f>VLOOKUP(B172,$B$437:$E$452,3,0)</f>
        <v>6.5740500000000006</v>
      </c>
      <c r="T172" s="667">
        <v>23.94342</v>
      </c>
      <c r="U172" s="667">
        <v>20.81305</v>
      </c>
      <c r="V172" s="667">
        <v>24.167200000000001</v>
      </c>
      <c r="W172" s="131">
        <f t="shared" si="15"/>
        <v>68.923670000000001</v>
      </c>
      <c r="X172" s="187" t="s">
        <v>286</v>
      </c>
      <c r="Z172" s="62">
        <f t="shared" si="14"/>
        <v>279.56026000000003</v>
      </c>
      <c r="AB172" s="62">
        <f>VLOOKUP(B172,$B$373:$R$430,17,0)</f>
        <v>24.448390000000003</v>
      </c>
      <c r="AC172" s="62">
        <f>VLOOKUP($B172,$B$437:$E$452,4,0)</f>
        <v>8.7489599999999985</v>
      </c>
    </row>
    <row r="173" spans="1:29" s="135" customFormat="1" ht="13" outlineLevel="1">
      <c r="A173" s="110"/>
      <c r="B173" s="665">
        <v>3205010150</v>
      </c>
      <c r="C173" s="574" t="s">
        <v>180</v>
      </c>
      <c r="D173" s="574">
        <v>6685.1850000000004</v>
      </c>
      <c r="E173" s="574">
        <v>6685.1850000000004</v>
      </c>
      <c r="F173" s="574">
        <v>6685.1850000000004</v>
      </c>
      <c r="G173" s="574">
        <v>7029.2579999999998</v>
      </c>
      <c r="H173" s="574">
        <v>7029.2579999999998</v>
      </c>
      <c r="I173" s="574">
        <v>7029.2579999999998</v>
      </c>
      <c r="J173" s="574">
        <v>7029.2579999999998</v>
      </c>
      <c r="K173" s="574">
        <v>7029.2579999999998</v>
      </c>
      <c r="L173" s="574">
        <v>7029.2579999999998</v>
      </c>
      <c r="M173" s="62">
        <f t="shared" si="24"/>
        <v>62231.10300000001</v>
      </c>
      <c r="N173" s="69">
        <v>606</v>
      </c>
      <c r="O173" s="187" t="s">
        <v>286</v>
      </c>
      <c r="P173" s="69"/>
      <c r="Q173" s="62"/>
      <c r="R173" s="62">
        <f>VLOOKUP(B173,$B$437:$E$452,3,0)</f>
        <v>62348.058969999998</v>
      </c>
      <c r="T173" s="667">
        <v>7029.2579999999998</v>
      </c>
      <c r="U173" s="667">
        <v>7029.2579999999998</v>
      </c>
      <c r="V173" s="667">
        <v>7029.2579999999998</v>
      </c>
      <c r="W173" s="131">
        <f t="shared" si="15"/>
        <v>21087.773999999998</v>
      </c>
      <c r="X173" s="187" t="s">
        <v>286</v>
      </c>
      <c r="Z173" s="62">
        <f t="shared" ref="Z173:Z233" si="27">W173+M173</f>
        <v>83318.877000000008</v>
      </c>
      <c r="AB173" s="62"/>
      <c r="AC173" s="62">
        <f>VLOOKUP($B173,$B$437:$E$452,4,0)</f>
        <v>83318.876999999993</v>
      </c>
    </row>
    <row r="174" spans="1:29" s="135" customFormat="1" ht="13" outlineLevel="1">
      <c r="A174" s="110"/>
      <c r="B174" s="665">
        <v>3205010155</v>
      </c>
      <c r="C174" s="574" t="s">
        <v>181</v>
      </c>
      <c r="D174" s="574">
        <v>635.6962900000002</v>
      </c>
      <c r="E174" s="574">
        <v>1.2560199999999999</v>
      </c>
      <c r="F174" s="574">
        <v>55.877849999999995</v>
      </c>
      <c r="G174" s="574">
        <v>5.88246</v>
      </c>
      <c r="H174" s="574">
        <v>2807.2284399999999</v>
      </c>
      <c r="I174" s="574">
        <v>59.979529999999997</v>
      </c>
      <c r="J174" s="574">
        <v>87.094649999999987</v>
      </c>
      <c r="K174" s="574">
        <v>980.90125999999998</v>
      </c>
      <c r="L174" s="574">
        <v>187.16743</v>
      </c>
      <c r="M174" s="62">
        <f t="shared" si="24"/>
        <v>4821.0839300000007</v>
      </c>
      <c r="N174" s="69">
        <v>606</v>
      </c>
      <c r="O174" s="187" t="s">
        <v>286</v>
      </c>
      <c r="P174" s="69"/>
      <c r="Q174" s="62">
        <f>VLOOKUP(B174,$B$373:$M$430,12,0)</f>
        <v>2161.4591299999997</v>
      </c>
      <c r="R174" s="62"/>
      <c r="T174" s="667">
        <v>37.442989999999995</v>
      </c>
      <c r="U174" s="667">
        <v>121.18004000000001</v>
      </c>
      <c r="V174" s="667">
        <v>41.4</v>
      </c>
      <c r="W174" s="131">
        <f t="shared" ref="W174:W222" si="28">SUM(T174:V174)</f>
        <v>200.02303000000001</v>
      </c>
      <c r="X174" s="187" t="s">
        <v>286</v>
      </c>
      <c r="Z174" s="62">
        <f t="shared" si="27"/>
        <v>5021.106960000001</v>
      </c>
      <c r="AB174" s="62">
        <f>VLOOKUP(B174,$B$373:$R$430,17,0)</f>
        <v>2198.3867199999995</v>
      </c>
      <c r="AC174" s="62"/>
    </row>
    <row r="175" spans="1:29" s="135" customFormat="1" ht="13" outlineLevel="1">
      <c r="A175" s="110"/>
      <c r="B175" s="665">
        <v>3205010160</v>
      </c>
      <c r="C175" s="574" t="s">
        <v>182</v>
      </c>
      <c r="D175" s="574">
        <v>34090.226440000006</v>
      </c>
      <c r="E175" s="574">
        <v>33561.787320000003</v>
      </c>
      <c r="F175" s="574">
        <v>33568.172319999998</v>
      </c>
      <c r="G175" s="574">
        <v>33564.334390000004</v>
      </c>
      <c r="H175" s="574">
        <v>33568.923119999999</v>
      </c>
      <c r="I175" s="574">
        <v>33601.033769999995</v>
      </c>
      <c r="J175" s="574">
        <v>34565.25937</v>
      </c>
      <c r="K175" s="574">
        <v>36026.27702999999</v>
      </c>
      <c r="L175" s="574">
        <v>35218.598290000002</v>
      </c>
      <c r="M175" s="62">
        <f t="shared" si="24"/>
        <v>307764.61204999994</v>
      </c>
      <c r="N175" s="69">
        <v>606</v>
      </c>
      <c r="O175" s="187" t="s">
        <v>286</v>
      </c>
      <c r="P175" s="69"/>
      <c r="Q175" s="62"/>
      <c r="R175" s="62"/>
      <c r="T175" s="667">
        <v>34900.294320000001</v>
      </c>
      <c r="U175" s="667">
        <v>35464.980859999996</v>
      </c>
      <c r="V175" s="667">
        <v>35326.239089999995</v>
      </c>
      <c r="W175" s="131">
        <f t="shared" si="28"/>
        <v>105691.51426999999</v>
      </c>
      <c r="X175" s="187" t="s">
        <v>286</v>
      </c>
      <c r="Z175" s="62">
        <f t="shared" si="27"/>
        <v>413456.12631999992</v>
      </c>
      <c r="AB175" s="62"/>
      <c r="AC175" s="62"/>
    </row>
    <row r="176" spans="1:29" s="135" customFormat="1" ht="13" outlineLevel="1">
      <c r="A176" s="110"/>
      <c r="B176" s="665">
        <v>3205010170</v>
      </c>
      <c r="C176" s="574" t="s">
        <v>313</v>
      </c>
      <c r="D176" s="574">
        <v>0</v>
      </c>
      <c r="E176" s="574">
        <v>6</v>
      </c>
      <c r="F176" s="574">
        <v>3.75</v>
      </c>
      <c r="G176" s="574">
        <v>47.502890000000001</v>
      </c>
      <c r="H176" s="574">
        <v>0</v>
      </c>
      <c r="I176" s="574">
        <v>92.059320000000014</v>
      </c>
      <c r="J176" s="574">
        <v>0</v>
      </c>
      <c r="K176" s="574">
        <v>247.32085999999998</v>
      </c>
      <c r="L176" s="574">
        <v>66.015059999999991</v>
      </c>
      <c r="M176" s="62">
        <f t="shared" si="24"/>
        <v>462.64812999999998</v>
      </c>
      <c r="N176" s="69">
        <v>606</v>
      </c>
      <c r="O176" s="187" t="s">
        <v>286</v>
      </c>
      <c r="P176" s="69"/>
      <c r="Q176" s="62"/>
      <c r="R176" s="62"/>
      <c r="T176" s="667">
        <v>10</v>
      </c>
      <c r="U176" s="667">
        <v>0</v>
      </c>
      <c r="V176" s="667">
        <v>811.50460999999996</v>
      </c>
      <c r="W176" s="131">
        <f t="shared" si="28"/>
        <v>821.50460999999996</v>
      </c>
      <c r="X176" s="187" t="s">
        <v>286</v>
      </c>
      <c r="Z176" s="62">
        <f t="shared" si="27"/>
        <v>1284.15274</v>
      </c>
      <c r="AB176" s="62"/>
      <c r="AC176" s="62"/>
    </row>
    <row r="177" spans="1:29" s="135" customFormat="1" ht="13" outlineLevel="1">
      <c r="A177" s="110"/>
      <c r="B177" s="665">
        <v>3205010180</v>
      </c>
      <c r="C177" s="574" t="s">
        <v>183</v>
      </c>
      <c r="D177" s="574">
        <v>569.36563000000001</v>
      </c>
      <c r="E177" s="574">
        <v>46.466000000000001</v>
      </c>
      <c r="F177" s="574">
        <v>32.774999999999999</v>
      </c>
      <c r="G177" s="574">
        <v>441.8329</v>
      </c>
      <c r="H177" s="574">
        <v>0</v>
      </c>
      <c r="I177" s="574">
        <v>175.34864000000002</v>
      </c>
      <c r="J177" s="574">
        <v>252.17089000000001</v>
      </c>
      <c r="K177" s="574">
        <v>20.676689999999997</v>
      </c>
      <c r="L177" s="574">
        <v>205.14095999999998</v>
      </c>
      <c r="M177" s="62">
        <f t="shared" si="24"/>
        <v>1743.7767100000001</v>
      </c>
      <c r="N177" s="69">
        <v>606</v>
      </c>
      <c r="O177" s="187" t="s">
        <v>286</v>
      </c>
      <c r="P177" s="69"/>
      <c r="Q177" s="62"/>
      <c r="R177" s="62"/>
      <c r="T177" s="667">
        <v>82.864429999999999</v>
      </c>
      <c r="U177" s="667">
        <v>23.316689999999998</v>
      </c>
      <c r="V177" s="667">
        <v>336.63490000000002</v>
      </c>
      <c r="W177" s="131">
        <f t="shared" si="28"/>
        <v>442.81601999999998</v>
      </c>
      <c r="X177" s="187" t="s">
        <v>286</v>
      </c>
      <c r="Z177" s="62">
        <f t="shared" si="27"/>
        <v>2186.5927300000003</v>
      </c>
      <c r="AB177" s="62"/>
      <c r="AC177" s="62"/>
    </row>
    <row r="178" spans="1:29" s="135" customFormat="1" ht="13" outlineLevel="1">
      <c r="A178" s="110"/>
      <c r="B178" s="665">
        <v>3205010190</v>
      </c>
      <c r="C178" s="574" t="s">
        <v>184</v>
      </c>
      <c r="D178" s="574">
        <v>2012.23424</v>
      </c>
      <c r="E178" s="574">
        <v>2060.7834699999999</v>
      </c>
      <c r="F178" s="574">
        <v>2028.7980899999998</v>
      </c>
      <c r="G178" s="574">
        <v>2096.49449</v>
      </c>
      <c r="H178" s="574">
        <v>2107.9013799999998</v>
      </c>
      <c r="I178" s="574">
        <v>1897.4073100000001</v>
      </c>
      <c r="J178" s="574">
        <v>1775.9382499999999</v>
      </c>
      <c r="K178" s="574">
        <v>1475.0382</v>
      </c>
      <c r="L178" s="574">
        <v>1673.9760200000001</v>
      </c>
      <c r="M178" s="62">
        <f t="shared" si="24"/>
        <v>17128.571450000003</v>
      </c>
      <c r="N178" s="69">
        <v>606</v>
      </c>
      <c r="O178" s="187" t="s">
        <v>286</v>
      </c>
      <c r="P178" s="69"/>
      <c r="Q178" s="62">
        <f>VLOOKUP(B178,$B$373:$M$430,12,0)</f>
        <v>493.23054000000008</v>
      </c>
      <c r="R178" s="62"/>
      <c r="T178" s="667">
        <v>3256.3707300000001</v>
      </c>
      <c r="U178" s="667">
        <v>1846.31809</v>
      </c>
      <c r="V178" s="667">
        <v>2838.4241499999998</v>
      </c>
      <c r="W178" s="131">
        <f t="shared" si="28"/>
        <v>7941.1129700000001</v>
      </c>
      <c r="X178" s="187" t="s">
        <v>286</v>
      </c>
      <c r="Z178" s="62">
        <f t="shared" si="27"/>
        <v>25069.684420000005</v>
      </c>
      <c r="AB178" s="62">
        <f>VLOOKUP(B178,$B$373:$R$430,17,0)</f>
        <v>714.60076000000004</v>
      </c>
      <c r="AC178" s="62"/>
    </row>
    <row r="179" spans="1:29" s="135" customFormat="1" ht="13" outlineLevel="1">
      <c r="A179" s="110"/>
      <c r="B179" s="665">
        <v>3205010210</v>
      </c>
      <c r="C179" s="574" t="s">
        <v>186</v>
      </c>
      <c r="D179" s="574">
        <v>16.633310000000002</v>
      </c>
      <c r="E179" s="574">
        <v>17.515439999999998</v>
      </c>
      <c r="F179" s="574">
        <v>18.166970000000003</v>
      </c>
      <c r="G179" s="574">
        <v>19.058060000000001</v>
      </c>
      <c r="H179" s="574">
        <v>19.704979999999999</v>
      </c>
      <c r="I179" s="574">
        <v>12.006210000000001</v>
      </c>
      <c r="J179" s="574">
        <v>14.914010000000001</v>
      </c>
      <c r="K179" s="574">
        <v>9.9678500000000003</v>
      </c>
      <c r="L179" s="574">
        <v>17.569700000000001</v>
      </c>
      <c r="M179" s="62">
        <f t="shared" si="24"/>
        <v>145.53653</v>
      </c>
      <c r="N179" s="69">
        <v>606</v>
      </c>
      <c r="O179" s="150" t="s">
        <v>286</v>
      </c>
      <c r="P179" s="69"/>
      <c r="Q179" s="62"/>
      <c r="R179" s="62"/>
      <c r="T179" s="667">
        <v>19.21838</v>
      </c>
      <c r="U179" s="667">
        <v>31.203499999999998</v>
      </c>
      <c r="V179" s="667">
        <v>17.15728</v>
      </c>
      <c r="W179" s="131">
        <f t="shared" si="28"/>
        <v>67.579160000000002</v>
      </c>
      <c r="X179" s="150" t="s">
        <v>286</v>
      </c>
      <c r="Z179" s="62">
        <f t="shared" si="27"/>
        <v>213.11569</v>
      </c>
      <c r="AB179" s="62"/>
      <c r="AC179" s="62"/>
    </row>
    <row r="180" spans="1:29" s="135" customFormat="1" ht="13" outlineLevel="1">
      <c r="A180" s="110"/>
      <c r="B180" s="665">
        <v>3205010240</v>
      </c>
      <c r="C180" s="574" t="s">
        <v>188</v>
      </c>
      <c r="D180" s="574">
        <v>80050.211859999996</v>
      </c>
      <c r="E180" s="574">
        <v>80050.211859999996</v>
      </c>
      <c r="F180" s="574">
        <v>80050.211859999996</v>
      </c>
      <c r="G180" s="574">
        <v>80050.211859999996</v>
      </c>
      <c r="H180" s="574">
        <v>80050.211859999996</v>
      </c>
      <c r="I180" s="574">
        <v>80050.211859999996</v>
      </c>
      <c r="J180" s="574">
        <v>148650</v>
      </c>
      <c r="K180" s="574">
        <v>148650</v>
      </c>
      <c r="L180" s="574">
        <v>148650</v>
      </c>
      <c r="M180" s="62">
        <f t="shared" si="24"/>
        <v>926251.27116</v>
      </c>
      <c r="N180" s="69">
        <v>605</v>
      </c>
      <c r="O180" s="187" t="s">
        <v>286</v>
      </c>
      <c r="P180" s="69"/>
      <c r="Q180" s="62"/>
      <c r="R180" s="62"/>
      <c r="T180" s="667">
        <v>148650</v>
      </c>
      <c r="U180" s="667">
        <v>148650</v>
      </c>
      <c r="V180" s="667">
        <v>148650</v>
      </c>
      <c r="W180" s="131">
        <f t="shared" si="28"/>
        <v>445950</v>
      </c>
      <c r="X180" s="187" t="s">
        <v>286</v>
      </c>
      <c r="Z180" s="62">
        <f t="shared" si="27"/>
        <v>1372201.27116</v>
      </c>
      <c r="AB180" s="62"/>
      <c r="AC180" s="62"/>
    </row>
    <row r="181" spans="1:29" s="135" customFormat="1" ht="13" outlineLevel="1">
      <c r="A181" s="110"/>
      <c r="B181" s="665">
        <v>3205010250</v>
      </c>
      <c r="C181" s="574" t="s">
        <v>189</v>
      </c>
      <c r="D181" s="574">
        <v>0.93042999999999998</v>
      </c>
      <c r="E181" s="574">
        <v>217.08520000000001</v>
      </c>
      <c r="F181" s="574">
        <v>171.51016000000001</v>
      </c>
      <c r="G181" s="574">
        <v>309.24835999999999</v>
      </c>
      <c r="H181" s="574">
        <v>308.49238000000003</v>
      </c>
      <c r="I181" s="574">
        <v>368.99021999999997</v>
      </c>
      <c r="J181" s="574">
        <v>525.70963000000006</v>
      </c>
      <c r="K181" s="574">
        <v>294.24771999999996</v>
      </c>
      <c r="L181" s="574">
        <v>702.14349000000004</v>
      </c>
      <c r="M181" s="62">
        <f t="shared" si="24"/>
        <v>2898.3575900000001</v>
      </c>
      <c r="N181" s="69">
        <v>606</v>
      </c>
      <c r="O181" s="187" t="s">
        <v>286</v>
      </c>
      <c r="P181" s="69"/>
      <c r="Q181" s="62">
        <f>VLOOKUP(B181,$B$373:$M$430,12,0)</f>
        <v>125.32857000000001</v>
      </c>
      <c r="R181" s="62">
        <f>VLOOKUP(B181,$B$437:$E$452,3,0)</f>
        <v>0</v>
      </c>
      <c r="T181" s="667">
        <v>616.52130999999997</v>
      </c>
      <c r="U181" s="667">
        <v>403.82034000000004</v>
      </c>
      <c r="V181" s="667">
        <v>329.98306000000002</v>
      </c>
      <c r="W181" s="131">
        <f t="shared" si="28"/>
        <v>1350.3247100000001</v>
      </c>
      <c r="X181" s="187" t="s">
        <v>286</v>
      </c>
      <c r="Z181" s="62">
        <f t="shared" si="27"/>
        <v>4248.6823000000004</v>
      </c>
      <c r="AB181" s="62">
        <f>VLOOKUP(B181,$B$373:$R$430,17,0)</f>
        <v>192.64079000000001</v>
      </c>
      <c r="AC181" s="62">
        <f>VLOOKUP($B181,$B$437:$E$452,4,0)</f>
        <v>0</v>
      </c>
    </row>
    <row r="182" spans="1:29" s="135" customFormat="1" ht="13" outlineLevel="1">
      <c r="A182" s="110"/>
      <c r="B182" s="665">
        <v>3205010256</v>
      </c>
      <c r="C182" s="574" t="s">
        <v>190</v>
      </c>
      <c r="D182" s="574">
        <v>1609.5305499999999</v>
      </c>
      <c r="E182" s="574">
        <v>2165.5975800000001</v>
      </c>
      <c r="F182" s="574">
        <v>2078.5214700000001</v>
      </c>
      <c r="G182" s="574">
        <v>2832.8233999999998</v>
      </c>
      <c r="H182" s="574">
        <v>2053.0259900000001</v>
      </c>
      <c r="I182" s="574">
        <v>2638.3568999999998</v>
      </c>
      <c r="J182" s="574">
        <v>2507.6894700000003</v>
      </c>
      <c r="K182" s="574">
        <v>1548.58548</v>
      </c>
      <c r="L182" s="574">
        <v>1590.8312100000001</v>
      </c>
      <c r="M182" s="62">
        <f t="shared" si="24"/>
        <v>19024.962050000002</v>
      </c>
      <c r="N182" s="69">
        <v>606</v>
      </c>
      <c r="O182" s="187" t="s">
        <v>286</v>
      </c>
      <c r="P182" s="69"/>
      <c r="Q182" s="62"/>
      <c r="R182" s="62"/>
      <c r="T182" s="667">
        <v>2535.6261199999999</v>
      </c>
      <c r="U182" s="667">
        <v>2621.7493899999999</v>
      </c>
      <c r="V182" s="667">
        <v>2300.6878099999999</v>
      </c>
      <c r="W182" s="131">
        <f t="shared" si="28"/>
        <v>7458.0633199999993</v>
      </c>
      <c r="X182" s="187" t="s">
        <v>286</v>
      </c>
      <c r="Z182" s="62">
        <f t="shared" si="27"/>
        <v>26483.025370000003</v>
      </c>
      <c r="AB182" s="62"/>
      <c r="AC182" s="62"/>
    </row>
    <row r="183" spans="1:29" s="135" customFormat="1" ht="13" outlineLevel="1">
      <c r="A183" s="110"/>
      <c r="B183" s="665">
        <v>3205010258</v>
      </c>
      <c r="C183" s="574" t="s">
        <v>191</v>
      </c>
      <c r="D183" s="574">
        <v>76.260000000000005</v>
      </c>
      <c r="E183" s="574">
        <v>73.097999999999999</v>
      </c>
      <c r="F183" s="574">
        <v>65.751000000000005</v>
      </c>
      <c r="G183" s="574">
        <v>73.730999999999995</v>
      </c>
      <c r="H183" s="574">
        <v>81.933000000000007</v>
      </c>
      <c r="I183" s="574">
        <v>74.492999999999995</v>
      </c>
      <c r="J183" s="574">
        <v>82.305000000000007</v>
      </c>
      <c r="K183" s="574">
        <v>84.704999999999998</v>
      </c>
      <c r="L183" s="574">
        <v>73.004999999999995</v>
      </c>
      <c r="M183" s="62">
        <f t="shared" si="24"/>
        <v>685.28100000000006</v>
      </c>
      <c r="N183" s="69">
        <v>999</v>
      </c>
      <c r="O183" s="187" t="s">
        <v>289</v>
      </c>
      <c r="P183" s="69"/>
      <c r="Q183" s="62"/>
      <c r="R183" s="62"/>
      <c r="T183" s="667">
        <v>83.421000000000006</v>
      </c>
      <c r="U183" s="667">
        <v>84.350999999999999</v>
      </c>
      <c r="V183" s="667">
        <v>79.793999999999997</v>
      </c>
      <c r="W183" s="131">
        <f t="shared" si="28"/>
        <v>247.56599999999997</v>
      </c>
      <c r="X183" s="187" t="s">
        <v>289</v>
      </c>
      <c r="Z183" s="62">
        <f t="shared" si="27"/>
        <v>932.84699999999998</v>
      </c>
      <c r="AB183" s="62"/>
      <c r="AC183" s="62"/>
    </row>
    <row r="184" spans="1:29" s="135" customFormat="1" ht="13" outlineLevel="1">
      <c r="A184" s="110"/>
      <c r="B184" s="665">
        <v>3205010259</v>
      </c>
      <c r="C184" s="574" t="s">
        <v>192</v>
      </c>
      <c r="D184" s="574">
        <v>10707.57086</v>
      </c>
      <c r="E184" s="574">
        <v>25231.325710000001</v>
      </c>
      <c r="F184" s="574">
        <v>18529.209770000001</v>
      </c>
      <c r="G184" s="574">
        <v>18372.375199999999</v>
      </c>
      <c r="H184" s="574">
        <v>18719.367309999998</v>
      </c>
      <c r="I184" s="574">
        <v>19776.721100000002</v>
      </c>
      <c r="J184" s="574">
        <v>6905.1685399999997</v>
      </c>
      <c r="K184" s="574">
        <v>23511.961749999999</v>
      </c>
      <c r="L184" s="574">
        <v>15085.793280000002</v>
      </c>
      <c r="M184" s="62">
        <f t="shared" si="24"/>
        <v>156839.49352000002</v>
      </c>
      <c r="N184" s="69">
        <v>606</v>
      </c>
      <c r="O184" s="150" t="s">
        <v>286</v>
      </c>
      <c r="P184" s="69"/>
      <c r="Q184" s="62">
        <f>VLOOKUP(B184,$B$373:$M$430,12,0)</f>
        <v>7582.3928299999998</v>
      </c>
      <c r="R184" s="62"/>
      <c r="T184" s="667">
        <v>14977.771909999999</v>
      </c>
      <c r="U184" s="667">
        <v>6508.6562400000012</v>
      </c>
      <c r="V184" s="667">
        <v>14372.001410000001</v>
      </c>
      <c r="W184" s="131">
        <f t="shared" si="28"/>
        <v>35858.429560000004</v>
      </c>
      <c r="X184" s="150" t="s">
        <v>286</v>
      </c>
      <c r="Z184" s="62">
        <f t="shared" si="27"/>
        <v>192697.92308000004</v>
      </c>
      <c r="AB184" s="62">
        <f>VLOOKUP(B184,$B$373:$R$430,17,0)</f>
        <v>10306.16424</v>
      </c>
      <c r="AC184" s="62"/>
    </row>
    <row r="185" spans="1:29" s="135" customFormat="1" ht="13" outlineLevel="1">
      <c r="A185" s="110"/>
      <c r="B185" s="665">
        <v>3205010261</v>
      </c>
      <c r="C185" s="574" t="s">
        <v>193</v>
      </c>
      <c r="D185" s="574">
        <v>0</v>
      </c>
      <c r="E185" s="574">
        <v>13.917479999999999</v>
      </c>
      <c r="F185" s="574">
        <v>1.89</v>
      </c>
      <c r="G185" s="574">
        <v>3.55</v>
      </c>
      <c r="H185" s="574">
        <v>0</v>
      </c>
      <c r="I185" s="574">
        <v>0</v>
      </c>
      <c r="J185" s="574">
        <v>163.58467000000002</v>
      </c>
      <c r="K185" s="574">
        <v>0</v>
      </c>
      <c r="L185" s="574">
        <v>0</v>
      </c>
      <c r="M185" s="62">
        <f t="shared" si="24"/>
        <v>182.94215000000003</v>
      </c>
      <c r="N185" s="69">
        <v>606</v>
      </c>
      <c r="O185" s="150" t="s">
        <v>286</v>
      </c>
      <c r="P185" s="69"/>
      <c r="Q185" s="62"/>
      <c r="R185" s="62"/>
      <c r="T185" s="667">
        <v>13.6</v>
      </c>
      <c r="U185" s="667">
        <v>35.47</v>
      </c>
      <c r="V185" s="667">
        <v>2483.64</v>
      </c>
      <c r="W185" s="131">
        <f t="shared" si="28"/>
        <v>2532.71</v>
      </c>
      <c r="X185" s="150" t="s">
        <v>286</v>
      </c>
      <c r="Z185" s="62">
        <f t="shared" si="27"/>
        <v>2715.6521499999999</v>
      </c>
      <c r="AB185" s="62"/>
      <c r="AC185" s="62"/>
    </row>
    <row r="186" spans="1:29" s="135" customFormat="1" ht="13" outlineLevel="1">
      <c r="A186" s="110"/>
      <c r="B186" s="665">
        <v>3205010320</v>
      </c>
      <c r="C186" s="574" t="s">
        <v>331</v>
      </c>
      <c r="D186" s="574">
        <v>0</v>
      </c>
      <c r="E186" s="574">
        <v>0</v>
      </c>
      <c r="F186" s="574">
        <v>0</v>
      </c>
      <c r="G186" s="574">
        <v>0</v>
      </c>
      <c r="H186" s="574">
        <v>0</v>
      </c>
      <c r="I186" s="574">
        <v>0</v>
      </c>
      <c r="J186" s="574">
        <v>0</v>
      </c>
      <c r="K186" s="574">
        <v>33</v>
      </c>
      <c r="L186" s="574">
        <v>0</v>
      </c>
      <c r="M186" s="62">
        <f t="shared" si="24"/>
        <v>33</v>
      </c>
      <c r="N186" s="69">
        <v>606</v>
      </c>
      <c r="O186" s="187" t="s">
        <v>286</v>
      </c>
      <c r="P186" s="69"/>
      <c r="Q186" s="62"/>
      <c r="R186" s="62"/>
      <c r="T186" s="667">
        <v>60</v>
      </c>
      <c r="U186" s="667">
        <v>0</v>
      </c>
      <c r="V186" s="667">
        <v>0</v>
      </c>
      <c r="W186" s="131">
        <f t="shared" si="28"/>
        <v>60</v>
      </c>
      <c r="X186" s="187" t="s">
        <v>286</v>
      </c>
      <c r="Z186" s="62">
        <f t="shared" si="27"/>
        <v>93</v>
      </c>
      <c r="AB186" s="62"/>
      <c r="AC186" s="62"/>
    </row>
    <row r="187" spans="1:29" s="135" customFormat="1" ht="13" outlineLevel="1">
      <c r="A187" s="110"/>
      <c r="B187" s="665">
        <v>3205010900</v>
      </c>
      <c r="C187" s="574" t="s">
        <v>194</v>
      </c>
      <c r="D187" s="574">
        <v>296.00473999999997</v>
      </c>
      <c r="E187" s="574">
        <v>1426.5047400000001</v>
      </c>
      <c r="F187" s="574">
        <v>1532.4471199999998</v>
      </c>
      <c r="G187" s="574">
        <v>932.45649000000003</v>
      </c>
      <c r="H187" s="574">
        <v>987.48426000000006</v>
      </c>
      <c r="I187" s="574">
        <v>954.95758000000001</v>
      </c>
      <c r="J187" s="574">
        <v>806.37123999999994</v>
      </c>
      <c r="K187" s="574">
        <v>1135.4558999999999</v>
      </c>
      <c r="L187" s="574">
        <v>912.46448999999996</v>
      </c>
      <c r="M187" s="62">
        <f t="shared" si="24"/>
        <v>8984.1465599999992</v>
      </c>
      <c r="N187" s="69">
        <v>606</v>
      </c>
      <c r="O187" s="187" t="s">
        <v>286</v>
      </c>
      <c r="P187" s="69"/>
      <c r="Q187" s="62">
        <f>VLOOKUP(B187,$B$373:$M$430,12,0)</f>
        <v>2.45234</v>
      </c>
      <c r="R187" s="62"/>
      <c r="T187" s="667">
        <v>968.61207999999999</v>
      </c>
      <c r="U187" s="667">
        <v>754.99527</v>
      </c>
      <c r="V187" s="667">
        <v>1193.90642</v>
      </c>
      <c r="W187" s="131">
        <f t="shared" si="28"/>
        <v>2917.51377</v>
      </c>
      <c r="X187" s="187" t="s">
        <v>286</v>
      </c>
      <c r="Z187" s="62">
        <f t="shared" si="27"/>
        <v>11901.660329999999</v>
      </c>
      <c r="AB187" s="62">
        <f>VLOOKUP(B187,$B$373:$R$430,17,0)</f>
        <v>4.8788200000000002</v>
      </c>
      <c r="AC187" s="62"/>
    </row>
    <row r="188" spans="1:29" s="58" customFormat="1" ht="13" outlineLevel="1">
      <c r="A188" s="109"/>
      <c r="B188" s="665">
        <v>3205010903</v>
      </c>
      <c r="C188" s="574" t="s">
        <v>196</v>
      </c>
      <c r="D188" s="574">
        <v>1414.6608899999999</v>
      </c>
      <c r="E188" s="574">
        <v>2279.5312899999999</v>
      </c>
      <c r="F188" s="574">
        <v>1550.7405700000002</v>
      </c>
      <c r="G188" s="574">
        <v>2623.2710099999999</v>
      </c>
      <c r="H188" s="574">
        <v>2556.05456</v>
      </c>
      <c r="I188" s="574">
        <v>1584.1998100000001</v>
      </c>
      <c r="J188" s="574">
        <v>2724.0195299999996</v>
      </c>
      <c r="K188" s="574">
        <v>2500.4060800000002</v>
      </c>
      <c r="L188" s="574">
        <v>2541.54592</v>
      </c>
      <c r="M188" s="62">
        <f t="shared" si="24"/>
        <v>19774.429660000002</v>
      </c>
      <c r="N188" s="69">
        <v>999</v>
      </c>
      <c r="O188" s="150" t="s">
        <v>289</v>
      </c>
      <c r="P188" s="69"/>
      <c r="Q188" s="62"/>
      <c r="R188" s="62"/>
      <c r="T188" s="667">
        <v>2613.87291</v>
      </c>
      <c r="U188" s="667">
        <v>3500.6769399999998</v>
      </c>
      <c r="V188" s="667">
        <v>7900.2058899999993</v>
      </c>
      <c r="W188" s="131">
        <f t="shared" si="28"/>
        <v>14014.755739999999</v>
      </c>
      <c r="X188" s="150" t="s">
        <v>289</v>
      </c>
      <c r="Z188" s="62">
        <f t="shared" si="27"/>
        <v>33789.185400000002</v>
      </c>
      <c r="AB188" s="62"/>
      <c r="AC188" s="62"/>
    </row>
    <row r="189" spans="1:29" s="135" customFormat="1" ht="13" outlineLevel="1">
      <c r="A189" s="110"/>
      <c r="B189" s="665">
        <v>3205010904</v>
      </c>
      <c r="C189" s="574" t="s">
        <v>197</v>
      </c>
      <c r="D189" s="574">
        <v>5.6953999999999994</v>
      </c>
      <c r="E189" s="574">
        <v>5.6953999999999994</v>
      </c>
      <c r="F189" s="574">
        <v>5.6953999999999994</v>
      </c>
      <c r="G189" s="574">
        <v>5.6953999999999994</v>
      </c>
      <c r="H189" s="574">
        <v>5.6953999999999994</v>
      </c>
      <c r="I189" s="574">
        <v>5.6953999999999994</v>
      </c>
      <c r="J189" s="574">
        <v>5.6953999999999994</v>
      </c>
      <c r="K189" s="574">
        <v>5.6953999999999994</v>
      </c>
      <c r="L189" s="574">
        <v>5.6953999999999994</v>
      </c>
      <c r="M189" s="62">
        <f t="shared" si="24"/>
        <v>51.258599999999994</v>
      </c>
      <c r="N189" s="69">
        <v>606</v>
      </c>
      <c r="O189" s="150" t="s">
        <v>286</v>
      </c>
      <c r="P189" s="69"/>
      <c r="Q189" s="62"/>
      <c r="R189" s="62"/>
      <c r="T189" s="667">
        <v>5.6953999999999994</v>
      </c>
      <c r="U189" s="667">
        <v>5.6953999999999994</v>
      </c>
      <c r="V189" s="667">
        <v>5.6953999999999994</v>
      </c>
      <c r="W189" s="131">
        <f t="shared" si="28"/>
        <v>17.086199999999998</v>
      </c>
      <c r="X189" s="150" t="s">
        <v>286</v>
      </c>
      <c r="Z189" s="62">
        <f t="shared" si="27"/>
        <v>68.344799999999992</v>
      </c>
      <c r="AB189" s="62"/>
      <c r="AC189" s="62"/>
    </row>
    <row r="190" spans="1:29" s="135" customFormat="1" ht="13" outlineLevel="1">
      <c r="A190" s="110"/>
      <c r="B190" s="665">
        <v>3205010910</v>
      </c>
      <c r="C190" s="574" t="s">
        <v>198</v>
      </c>
      <c r="D190" s="574">
        <v>592.9</v>
      </c>
      <c r="E190" s="574">
        <v>1642.2</v>
      </c>
      <c r="F190" s="574">
        <v>2002.98855</v>
      </c>
      <c r="G190" s="574">
        <v>2174.6898799999999</v>
      </c>
      <c r="H190" s="574">
        <v>1752.23261</v>
      </c>
      <c r="I190" s="574">
        <v>2008.1418600000002</v>
      </c>
      <c r="J190" s="574">
        <v>1417.4782499999999</v>
      </c>
      <c r="K190" s="574">
        <v>3319.9601200000002</v>
      </c>
      <c r="L190" s="574">
        <v>3873.6642700000002</v>
      </c>
      <c r="M190" s="62">
        <f t="shared" si="24"/>
        <v>18784.255540000002</v>
      </c>
      <c r="N190" s="69">
        <v>606</v>
      </c>
      <c r="O190" s="150" t="s">
        <v>286</v>
      </c>
      <c r="P190" s="69"/>
      <c r="Q190" s="62"/>
      <c r="R190" s="62"/>
      <c r="T190" s="667">
        <v>3508.2008599999999</v>
      </c>
      <c r="U190" s="667">
        <v>4736.87266</v>
      </c>
      <c r="V190" s="667">
        <v>8572.8220000000001</v>
      </c>
      <c r="W190" s="131">
        <f t="shared" si="28"/>
        <v>16817.895519999998</v>
      </c>
      <c r="X190" s="150" t="s">
        <v>286</v>
      </c>
      <c r="Z190" s="62">
        <f t="shared" si="27"/>
        <v>35602.151060000004</v>
      </c>
      <c r="AB190" s="62"/>
      <c r="AC190" s="62"/>
    </row>
    <row r="191" spans="1:29" s="135" customFormat="1" ht="13" outlineLevel="1">
      <c r="A191" s="110"/>
      <c r="B191" s="665">
        <v>3205011070</v>
      </c>
      <c r="C191" s="574" t="s">
        <v>199</v>
      </c>
      <c r="D191" s="574">
        <v>11242.73273</v>
      </c>
      <c r="E191" s="574">
        <v>11242.73273</v>
      </c>
      <c r="F191" s="574">
        <v>11242.73273</v>
      </c>
      <c r="G191" s="574">
        <v>11242.73273</v>
      </c>
      <c r="H191" s="574">
        <v>11242.73273</v>
      </c>
      <c r="I191" s="574">
        <v>11242.73273</v>
      </c>
      <c r="J191" s="574">
        <v>15309.68432</v>
      </c>
      <c r="K191" s="574">
        <v>15296.499029999999</v>
      </c>
      <c r="L191" s="574">
        <v>15296.499029999999</v>
      </c>
      <c r="M191" s="62">
        <f t="shared" si="24"/>
        <v>113359.07876</v>
      </c>
      <c r="N191" s="69">
        <v>606</v>
      </c>
      <c r="O191" s="150" t="s">
        <v>286</v>
      </c>
      <c r="P191" s="69"/>
      <c r="Q191" s="62"/>
      <c r="R191" s="62"/>
      <c r="T191" s="667">
        <v>14784.204</v>
      </c>
      <c r="U191" s="667">
        <v>14784.204</v>
      </c>
      <c r="V191" s="667">
        <v>14784.204</v>
      </c>
      <c r="W191" s="131">
        <f t="shared" si="28"/>
        <v>44352.612000000001</v>
      </c>
      <c r="X191" s="150" t="s">
        <v>286</v>
      </c>
      <c r="Z191" s="62">
        <f t="shared" si="27"/>
        <v>157711.69076</v>
      </c>
      <c r="AB191" s="62"/>
      <c r="AC191" s="62"/>
    </row>
    <row r="192" spans="1:29" s="135" customFormat="1" ht="13" outlineLevel="1">
      <c r="A192" s="110"/>
      <c r="B192" s="665">
        <v>3205020251</v>
      </c>
      <c r="C192" s="574" t="s">
        <v>332</v>
      </c>
      <c r="D192" s="574">
        <v>0</v>
      </c>
      <c r="E192" s="574">
        <v>0</v>
      </c>
      <c r="F192" s="574">
        <v>0</v>
      </c>
      <c r="G192" s="574">
        <v>0</v>
      </c>
      <c r="H192" s="574">
        <v>0</v>
      </c>
      <c r="I192" s="574">
        <v>0</v>
      </c>
      <c r="J192" s="574">
        <v>0</v>
      </c>
      <c r="K192" s="574">
        <v>131.38559000000001</v>
      </c>
      <c r="L192" s="574">
        <v>173.12774999999999</v>
      </c>
      <c r="M192" s="62">
        <f t="shared" si="24"/>
        <v>304.51333999999997</v>
      </c>
      <c r="N192" s="69">
        <v>606</v>
      </c>
      <c r="O192" s="150" t="s">
        <v>286</v>
      </c>
      <c r="P192" s="69"/>
      <c r="Q192" s="62"/>
      <c r="R192" s="62"/>
      <c r="T192" s="667">
        <v>322.38938999999999</v>
      </c>
      <c r="U192" s="667">
        <v>68.114000000000004</v>
      </c>
      <c r="V192" s="667">
        <v>154.14778000000001</v>
      </c>
      <c r="W192" s="131">
        <f t="shared" si="28"/>
        <v>544.65116999999998</v>
      </c>
      <c r="X192" s="150" t="s">
        <v>286</v>
      </c>
      <c r="Z192" s="62">
        <f t="shared" si="27"/>
        <v>849.16450999999995</v>
      </c>
      <c r="AB192" s="62"/>
      <c r="AC192" s="62"/>
    </row>
    <row r="193" spans="1:29" s="135" customFormat="1" ht="13" outlineLevel="1">
      <c r="A193" s="110"/>
      <c r="B193" s="665">
        <v>3205020252</v>
      </c>
      <c r="C193" s="574" t="s">
        <v>333</v>
      </c>
      <c r="D193" s="574">
        <v>0</v>
      </c>
      <c r="E193" s="574">
        <v>0</v>
      </c>
      <c r="F193" s="574">
        <v>0</v>
      </c>
      <c r="G193" s="574">
        <v>0</v>
      </c>
      <c r="H193" s="574">
        <v>0</v>
      </c>
      <c r="I193" s="574">
        <v>0</v>
      </c>
      <c r="J193" s="574">
        <v>0</v>
      </c>
      <c r="K193" s="574">
        <v>94.842309999999998</v>
      </c>
      <c r="L193" s="574">
        <v>270</v>
      </c>
      <c r="M193" s="62">
        <f t="shared" si="24"/>
        <v>364.84231</v>
      </c>
      <c r="N193" s="69">
        <v>606</v>
      </c>
      <c r="O193" s="150" t="s">
        <v>286</v>
      </c>
      <c r="P193" s="69"/>
      <c r="Q193" s="62"/>
      <c r="R193" s="62"/>
      <c r="T193" s="667">
        <v>471.80599999999998</v>
      </c>
      <c r="U193" s="667">
        <v>0</v>
      </c>
      <c r="V193" s="667">
        <v>18.559279999999998</v>
      </c>
      <c r="W193" s="131">
        <f t="shared" si="28"/>
        <v>490.36527999999998</v>
      </c>
      <c r="X193" s="150" t="s">
        <v>286</v>
      </c>
      <c r="Z193" s="62">
        <f t="shared" si="27"/>
        <v>855.20758999999998</v>
      </c>
      <c r="AB193" s="62"/>
      <c r="AC193" s="62"/>
    </row>
    <row r="194" spans="1:29" s="135" customFormat="1" ht="13" outlineLevel="1">
      <c r="A194" s="110"/>
      <c r="B194" s="665">
        <v>3205020254</v>
      </c>
      <c r="C194" s="574" t="s">
        <v>334</v>
      </c>
      <c r="D194" s="574">
        <v>0</v>
      </c>
      <c r="E194" s="574">
        <v>0</v>
      </c>
      <c r="F194" s="574">
        <v>0</v>
      </c>
      <c r="G194" s="574">
        <v>0</v>
      </c>
      <c r="H194" s="574">
        <v>0</v>
      </c>
      <c r="I194" s="574">
        <v>0</v>
      </c>
      <c r="J194" s="574">
        <v>32.235590000000002</v>
      </c>
      <c r="K194" s="574">
        <v>83.621440000000007</v>
      </c>
      <c r="L194" s="574">
        <v>125.22655</v>
      </c>
      <c r="M194" s="62">
        <f t="shared" si="24"/>
        <v>241.08358000000001</v>
      </c>
      <c r="N194" s="69">
        <v>606</v>
      </c>
      <c r="O194" s="150" t="s">
        <v>286</v>
      </c>
      <c r="P194" s="69"/>
      <c r="Q194" s="62"/>
      <c r="R194" s="62"/>
      <c r="T194" s="667">
        <v>153.02142999999998</v>
      </c>
      <c r="U194" s="667">
        <v>151.44631000000001</v>
      </c>
      <c r="V194" s="667">
        <v>362.27706000000001</v>
      </c>
      <c r="W194" s="131">
        <f t="shared" si="28"/>
        <v>666.74479999999994</v>
      </c>
      <c r="X194" s="150" t="s">
        <v>286</v>
      </c>
      <c r="Z194" s="62">
        <f t="shared" si="27"/>
        <v>907.82837999999992</v>
      </c>
      <c r="AB194" s="62"/>
      <c r="AC194" s="62"/>
    </row>
    <row r="195" spans="1:29" s="135" customFormat="1" ht="13" outlineLevel="1">
      <c r="A195" s="110"/>
      <c r="B195" s="665">
        <v>3205020255</v>
      </c>
      <c r="C195" s="574" t="s">
        <v>672</v>
      </c>
      <c r="D195" s="574">
        <v>0</v>
      </c>
      <c r="E195" s="574">
        <v>0</v>
      </c>
      <c r="F195" s="574">
        <v>0</v>
      </c>
      <c r="G195" s="574">
        <v>0</v>
      </c>
      <c r="H195" s="574">
        <v>0</v>
      </c>
      <c r="I195" s="574">
        <v>0</v>
      </c>
      <c r="J195" s="574">
        <v>0</v>
      </c>
      <c r="K195" s="574">
        <v>0</v>
      </c>
      <c r="L195" s="574">
        <v>0</v>
      </c>
      <c r="M195" s="62">
        <f t="shared" si="24"/>
        <v>0</v>
      </c>
      <c r="N195" s="69"/>
      <c r="O195" s="187"/>
      <c r="P195" s="69"/>
      <c r="Q195" s="62"/>
      <c r="R195" s="62"/>
      <c r="T195" s="667">
        <v>63.55932</v>
      </c>
      <c r="U195" s="667">
        <v>338.98304999999999</v>
      </c>
      <c r="V195" s="667">
        <v>-402.54237000000001</v>
      </c>
      <c r="W195" s="131">
        <f t="shared" si="28"/>
        <v>0</v>
      </c>
      <c r="X195" s="187"/>
      <c r="Z195" s="62">
        <f t="shared" si="27"/>
        <v>0</v>
      </c>
      <c r="AB195" s="62"/>
      <c r="AC195" s="62"/>
    </row>
    <row r="196" spans="1:29" s="135" customFormat="1" ht="13" outlineLevel="1">
      <c r="A196" s="110"/>
      <c r="B196" s="665">
        <v>3205040010</v>
      </c>
      <c r="C196" s="574" t="s">
        <v>200</v>
      </c>
      <c r="D196" s="574">
        <v>569</v>
      </c>
      <c r="E196" s="574">
        <v>496.36371000000003</v>
      </c>
      <c r="F196" s="574">
        <v>293.61</v>
      </c>
      <c r="G196" s="574">
        <v>713.54899999999998</v>
      </c>
      <c r="H196" s="574">
        <v>372.16899999999998</v>
      </c>
      <c r="I196" s="574">
        <v>566.15</v>
      </c>
      <c r="J196" s="574">
        <v>570.71299999999997</v>
      </c>
      <c r="K196" s="574">
        <v>913.81</v>
      </c>
      <c r="L196" s="574">
        <v>969.68</v>
      </c>
      <c r="M196" s="62">
        <f t="shared" si="24"/>
        <v>5465.0447100000001</v>
      </c>
      <c r="N196" s="69">
        <v>301</v>
      </c>
      <c r="O196" s="150" t="s">
        <v>286</v>
      </c>
      <c r="P196" s="69"/>
      <c r="Q196" s="62"/>
      <c r="R196" s="62"/>
      <c r="T196" s="667">
        <v>684.096</v>
      </c>
      <c r="U196" s="667">
        <v>588.35799999999995</v>
      </c>
      <c r="V196" s="667">
        <v>1099.3320000000001</v>
      </c>
      <c r="W196" s="131">
        <f t="shared" si="28"/>
        <v>2371.7860000000001</v>
      </c>
      <c r="X196" s="150" t="s">
        <v>286</v>
      </c>
      <c r="Z196" s="62">
        <f t="shared" si="27"/>
        <v>7836.8307100000002</v>
      </c>
      <c r="AB196" s="62"/>
      <c r="AC196" s="62"/>
    </row>
    <row r="197" spans="1:29" s="135" customFormat="1" ht="13" outlineLevel="1">
      <c r="A197" s="110"/>
      <c r="B197" s="665">
        <v>3205040110</v>
      </c>
      <c r="C197" s="574" t="s">
        <v>201</v>
      </c>
      <c r="D197" s="574">
        <v>19.05904</v>
      </c>
      <c r="E197" s="574">
        <v>1.8</v>
      </c>
      <c r="F197" s="574">
        <v>83.84684</v>
      </c>
      <c r="G197" s="574">
        <v>13.995809999999999</v>
      </c>
      <c r="H197" s="574">
        <v>142.73631</v>
      </c>
      <c r="I197" s="574">
        <v>-6.1747899999999998</v>
      </c>
      <c r="J197" s="574">
        <v>24.64509</v>
      </c>
      <c r="K197" s="574">
        <v>1.5186500000000001</v>
      </c>
      <c r="L197" s="574">
        <v>73.02758</v>
      </c>
      <c r="M197" s="62">
        <f t="shared" si="24"/>
        <v>354.45452999999998</v>
      </c>
      <c r="N197" s="69">
        <v>999</v>
      </c>
      <c r="O197" s="187" t="s">
        <v>289</v>
      </c>
      <c r="P197" s="69"/>
      <c r="Q197" s="62"/>
      <c r="R197" s="62"/>
      <c r="T197" s="667">
        <v>143.76793000000001</v>
      </c>
      <c r="U197" s="667">
        <v>294.79543000000001</v>
      </c>
      <c r="V197" s="667">
        <v>97.770960000000002</v>
      </c>
      <c r="W197" s="131">
        <f t="shared" si="28"/>
        <v>536.33431999999993</v>
      </c>
      <c r="X197" s="187" t="s">
        <v>289</v>
      </c>
      <c r="Z197" s="62">
        <f t="shared" si="27"/>
        <v>890.78884999999991</v>
      </c>
      <c r="AB197" s="62"/>
      <c r="AC197" s="62"/>
    </row>
    <row r="198" spans="1:29" s="135" customFormat="1" ht="13" outlineLevel="1">
      <c r="A198" s="110"/>
      <c r="B198" s="665">
        <v>3205040115</v>
      </c>
      <c r="C198" s="574" t="s">
        <v>202</v>
      </c>
      <c r="D198" s="574">
        <v>42.967839999999995</v>
      </c>
      <c r="E198" s="574">
        <v>142.18570000000003</v>
      </c>
      <c r="F198" s="574">
        <v>0</v>
      </c>
      <c r="G198" s="574">
        <v>218.77874</v>
      </c>
      <c r="H198" s="574">
        <v>203.15412000000001</v>
      </c>
      <c r="I198" s="574">
        <v>6.0824499999999997</v>
      </c>
      <c r="J198" s="574">
        <v>0</v>
      </c>
      <c r="K198" s="574">
        <v>111.31804</v>
      </c>
      <c r="L198" s="574">
        <v>150.30391</v>
      </c>
      <c r="M198" s="62">
        <f t="shared" si="24"/>
        <v>874.79079999999999</v>
      </c>
      <c r="N198" s="69">
        <v>999</v>
      </c>
      <c r="O198" s="187" t="s">
        <v>289</v>
      </c>
      <c r="P198" s="69"/>
      <c r="Q198" s="62"/>
      <c r="R198" s="62"/>
      <c r="T198" s="667">
        <v>655.12718999999993</v>
      </c>
      <c r="U198" s="667">
        <v>779.21900000000005</v>
      </c>
      <c r="V198" s="667">
        <v>387.24527</v>
      </c>
      <c r="W198" s="131">
        <f t="shared" si="28"/>
        <v>1821.5914600000001</v>
      </c>
      <c r="X198" s="187" t="s">
        <v>289</v>
      </c>
      <c r="Z198" s="62">
        <f t="shared" si="27"/>
        <v>2696.3822600000003</v>
      </c>
      <c r="AB198" s="62"/>
      <c r="AC198" s="62"/>
    </row>
    <row r="199" spans="1:29" s="135" customFormat="1" ht="13" outlineLevel="1">
      <c r="A199" s="110"/>
      <c r="B199" s="665">
        <v>3205040120</v>
      </c>
      <c r="C199" s="574" t="s">
        <v>203</v>
      </c>
      <c r="D199" s="574">
        <v>5.2</v>
      </c>
      <c r="E199" s="574">
        <v>39</v>
      </c>
      <c r="F199" s="574">
        <v>51.5</v>
      </c>
      <c r="G199" s="574">
        <v>46.79</v>
      </c>
      <c r="H199" s="574">
        <v>82.883710000000008</v>
      </c>
      <c r="I199" s="574">
        <v>128.65389999999999</v>
      </c>
      <c r="J199" s="574">
        <v>45.6</v>
      </c>
      <c r="K199" s="574">
        <v>13.1</v>
      </c>
      <c r="L199" s="574">
        <v>84.2</v>
      </c>
      <c r="M199" s="62">
        <f t="shared" si="24"/>
        <v>496.92761000000002</v>
      </c>
      <c r="N199" s="69">
        <v>999</v>
      </c>
      <c r="O199" s="187" t="s">
        <v>289</v>
      </c>
      <c r="P199" s="69"/>
      <c r="Q199" s="62"/>
      <c r="R199" s="62"/>
      <c r="T199" s="667">
        <v>140.80000000000001</v>
      </c>
      <c r="U199" s="667">
        <v>173.4</v>
      </c>
      <c r="V199" s="667">
        <v>275.36102</v>
      </c>
      <c r="W199" s="131">
        <f t="shared" si="28"/>
        <v>589.5610200000001</v>
      </c>
      <c r="X199" s="187" t="s">
        <v>289</v>
      </c>
      <c r="Z199" s="62">
        <f t="shared" si="27"/>
        <v>1086.4886300000001</v>
      </c>
      <c r="AB199" s="62"/>
      <c r="AC199" s="62"/>
    </row>
    <row r="200" spans="1:29" s="135" customFormat="1" ht="13" outlineLevel="1">
      <c r="A200" s="110"/>
      <c r="B200" s="665">
        <v>3205040130</v>
      </c>
      <c r="C200" s="574" t="s">
        <v>204</v>
      </c>
      <c r="D200" s="574">
        <v>1.2</v>
      </c>
      <c r="E200" s="574">
        <v>0</v>
      </c>
      <c r="F200" s="574">
        <v>6</v>
      </c>
      <c r="G200" s="574">
        <v>0.8</v>
      </c>
      <c r="H200" s="574">
        <v>3</v>
      </c>
      <c r="I200" s="574">
        <v>3.8</v>
      </c>
      <c r="J200" s="574">
        <v>0.8</v>
      </c>
      <c r="K200" s="574">
        <v>1.2</v>
      </c>
      <c r="L200" s="574">
        <v>4.8</v>
      </c>
      <c r="M200" s="62">
        <f t="shared" si="24"/>
        <v>21.6</v>
      </c>
      <c r="N200" s="69">
        <v>999</v>
      </c>
      <c r="O200" s="150" t="s">
        <v>289</v>
      </c>
      <c r="P200" s="69"/>
      <c r="Q200" s="62"/>
      <c r="R200" s="62"/>
      <c r="T200" s="667">
        <v>10.8</v>
      </c>
      <c r="U200" s="667">
        <v>6.4</v>
      </c>
      <c r="V200" s="667">
        <v>5.2</v>
      </c>
      <c r="W200" s="131">
        <f t="shared" si="28"/>
        <v>22.400000000000002</v>
      </c>
      <c r="X200" s="150" t="s">
        <v>289</v>
      </c>
      <c r="Z200" s="62">
        <f t="shared" si="27"/>
        <v>44</v>
      </c>
      <c r="AB200" s="62"/>
      <c r="AC200" s="62"/>
    </row>
    <row r="201" spans="1:29" s="135" customFormat="1" ht="13" outlineLevel="1">
      <c r="A201" s="110"/>
      <c r="B201" s="665">
        <v>3205040140</v>
      </c>
      <c r="C201" s="574" t="s">
        <v>205</v>
      </c>
      <c r="D201" s="574">
        <v>12.74</v>
      </c>
      <c r="E201" s="574">
        <v>167.5</v>
      </c>
      <c r="F201" s="574">
        <v>210</v>
      </c>
      <c r="G201" s="574">
        <v>136.96101000000002</v>
      </c>
      <c r="H201" s="574">
        <v>238.55885999999998</v>
      </c>
      <c r="I201" s="574">
        <v>265.98733000000004</v>
      </c>
      <c r="J201" s="574">
        <v>150.19492000000002</v>
      </c>
      <c r="K201" s="574">
        <v>31.08474</v>
      </c>
      <c r="L201" s="574">
        <v>271.78285</v>
      </c>
      <c r="M201" s="62">
        <f t="shared" si="24"/>
        <v>1484.8097100000002</v>
      </c>
      <c r="N201" s="69">
        <v>999</v>
      </c>
      <c r="O201" s="150" t="s">
        <v>289</v>
      </c>
      <c r="P201" s="69"/>
      <c r="Q201" s="62"/>
      <c r="R201" s="62"/>
      <c r="T201" s="667">
        <v>542.34069999999997</v>
      </c>
      <c r="U201" s="667">
        <v>570.61941000000002</v>
      </c>
      <c r="V201" s="667">
        <v>1104.7056499999999</v>
      </c>
      <c r="W201" s="131">
        <f t="shared" si="28"/>
        <v>2217.6657599999999</v>
      </c>
      <c r="X201" s="150" t="s">
        <v>289</v>
      </c>
      <c r="Z201" s="62">
        <f t="shared" si="27"/>
        <v>3702.4754700000003</v>
      </c>
      <c r="AB201" s="62"/>
      <c r="AC201" s="62"/>
    </row>
    <row r="202" spans="1:29" s="135" customFormat="1" ht="13" outlineLevel="1">
      <c r="A202" s="110"/>
      <c r="B202" s="665">
        <v>3205040145</v>
      </c>
      <c r="C202" s="574" t="s">
        <v>206</v>
      </c>
      <c r="D202" s="574">
        <v>0</v>
      </c>
      <c r="E202" s="574">
        <v>0</v>
      </c>
      <c r="F202" s="574">
        <v>0</v>
      </c>
      <c r="G202" s="574">
        <v>0</v>
      </c>
      <c r="H202" s="574">
        <v>0</v>
      </c>
      <c r="I202" s="574">
        <v>0</v>
      </c>
      <c r="J202" s="574">
        <v>0</v>
      </c>
      <c r="K202" s="574">
        <v>0</v>
      </c>
      <c r="L202" s="574">
        <v>0</v>
      </c>
      <c r="M202" s="62">
        <f t="shared" si="24"/>
        <v>0</v>
      </c>
      <c r="N202" s="69"/>
      <c r="O202" s="150"/>
      <c r="P202" s="69"/>
      <c r="Q202" s="62"/>
      <c r="R202" s="62"/>
      <c r="T202" s="667">
        <v>91.559300000000007</v>
      </c>
      <c r="U202" s="667">
        <v>54.935580000000002</v>
      </c>
      <c r="V202" s="667">
        <v>48.566949999999999</v>
      </c>
      <c r="W202" s="131">
        <f t="shared" si="28"/>
        <v>195.06183000000001</v>
      </c>
      <c r="X202" s="150"/>
      <c r="Z202" s="62">
        <f t="shared" si="27"/>
        <v>195.06183000000001</v>
      </c>
      <c r="AB202" s="62"/>
      <c r="AC202" s="62"/>
    </row>
    <row r="203" spans="1:29" s="135" customFormat="1" ht="13" outlineLevel="1">
      <c r="A203" s="110"/>
      <c r="B203" s="665">
        <v>3205040150</v>
      </c>
      <c r="C203" s="574" t="s">
        <v>207</v>
      </c>
      <c r="D203" s="574">
        <v>0</v>
      </c>
      <c r="E203" s="574">
        <v>359.76101</v>
      </c>
      <c r="F203" s="574">
        <v>220</v>
      </c>
      <c r="G203" s="574">
        <v>0</v>
      </c>
      <c r="H203" s="574">
        <v>223.88</v>
      </c>
      <c r="I203" s="574">
        <v>290.5</v>
      </c>
      <c r="J203" s="574">
        <v>220</v>
      </c>
      <c r="K203" s="574">
        <v>84.1</v>
      </c>
      <c r="L203" s="574">
        <v>32</v>
      </c>
      <c r="M203" s="62">
        <f t="shared" si="24"/>
        <v>1430.2410099999997</v>
      </c>
      <c r="N203" s="69">
        <v>999</v>
      </c>
      <c r="O203" s="150" t="s">
        <v>289</v>
      </c>
      <c r="P203" s="69"/>
      <c r="Q203" s="62"/>
      <c r="R203" s="62"/>
      <c r="T203" s="667">
        <v>329.37288000000001</v>
      </c>
      <c r="U203" s="667">
        <v>139.44457999999997</v>
      </c>
      <c r="V203" s="667">
        <v>4.5</v>
      </c>
      <c r="W203" s="131">
        <f t="shared" si="28"/>
        <v>473.31745999999998</v>
      </c>
      <c r="X203" s="150" t="s">
        <v>289</v>
      </c>
      <c r="Z203" s="62">
        <f t="shared" si="27"/>
        <v>1903.5584699999997</v>
      </c>
      <c r="AB203" s="62"/>
      <c r="AC203" s="62"/>
    </row>
    <row r="204" spans="1:29" s="135" customFormat="1" ht="13" outlineLevel="1">
      <c r="A204" s="110"/>
      <c r="B204" s="665">
        <v>3205050010</v>
      </c>
      <c r="C204" s="574" t="s">
        <v>208</v>
      </c>
      <c r="D204" s="574">
        <v>10.297750000000001</v>
      </c>
      <c r="E204" s="574">
        <v>82.180509999999998</v>
      </c>
      <c r="F204" s="574">
        <v>114.73867999999999</v>
      </c>
      <c r="G204" s="574">
        <v>186.83454999999998</v>
      </c>
      <c r="H204" s="574">
        <v>165.46960999999999</v>
      </c>
      <c r="I204" s="574">
        <v>167.66451999999998</v>
      </c>
      <c r="J204" s="574">
        <v>174.19551999999999</v>
      </c>
      <c r="K204" s="574">
        <v>283.78235000000001</v>
      </c>
      <c r="L204" s="574">
        <v>137.91014000000001</v>
      </c>
      <c r="M204" s="62">
        <f t="shared" si="24"/>
        <v>1323.0736299999999</v>
      </c>
      <c r="N204" s="69">
        <v>999</v>
      </c>
      <c r="O204" s="150" t="s">
        <v>289</v>
      </c>
      <c r="P204" s="69"/>
      <c r="Q204" s="62"/>
      <c r="R204" s="62"/>
      <c r="T204" s="667">
        <v>876.87594999999999</v>
      </c>
      <c r="U204" s="667">
        <v>152.04635999999999</v>
      </c>
      <c r="V204" s="667">
        <v>224.65362999999999</v>
      </c>
      <c r="W204" s="131">
        <f t="shared" si="28"/>
        <v>1253.5759399999999</v>
      </c>
      <c r="X204" s="150" t="s">
        <v>289</v>
      </c>
      <c r="Z204" s="62">
        <f t="shared" si="27"/>
        <v>2576.6495699999996</v>
      </c>
      <c r="AB204" s="62"/>
      <c r="AC204" s="62"/>
    </row>
    <row r="205" spans="1:29" s="135" customFormat="1" ht="13" outlineLevel="1">
      <c r="A205" s="110"/>
      <c r="B205" s="665">
        <v>3205050015</v>
      </c>
      <c r="C205" s="574" t="s">
        <v>209</v>
      </c>
      <c r="D205" s="574">
        <v>1078.4844900000001</v>
      </c>
      <c r="E205" s="574">
        <v>1106.3280199999999</v>
      </c>
      <c r="F205" s="574">
        <v>1142.9962</v>
      </c>
      <c r="G205" s="574">
        <v>1548.24704</v>
      </c>
      <c r="H205" s="574">
        <v>2116.36634</v>
      </c>
      <c r="I205" s="574">
        <v>1297.4934900000001</v>
      </c>
      <c r="J205" s="574">
        <v>1425.3690800000002</v>
      </c>
      <c r="K205" s="574">
        <v>1305.0599499999998</v>
      </c>
      <c r="L205" s="574">
        <v>1600.5034699999999</v>
      </c>
      <c r="M205" s="62">
        <f t="shared" si="24"/>
        <v>12620.84808</v>
      </c>
      <c r="N205" s="69">
        <v>999</v>
      </c>
      <c r="O205" s="150" t="s">
        <v>289</v>
      </c>
      <c r="P205" s="69"/>
      <c r="Q205" s="62"/>
      <c r="R205" s="62"/>
      <c r="T205" s="667">
        <v>2772.7144000000003</v>
      </c>
      <c r="U205" s="667">
        <v>2574.5173199999999</v>
      </c>
      <c r="V205" s="667">
        <v>1847.5506799999998</v>
      </c>
      <c r="W205" s="131">
        <f t="shared" si="28"/>
        <v>7194.7824000000001</v>
      </c>
      <c r="X205" s="150" t="s">
        <v>289</v>
      </c>
      <c r="Z205" s="62">
        <f t="shared" si="27"/>
        <v>19815.63048</v>
      </c>
      <c r="AB205" s="62"/>
      <c r="AC205" s="62"/>
    </row>
    <row r="206" spans="1:29" s="135" customFormat="1" ht="13" outlineLevel="1">
      <c r="A206" s="110"/>
      <c r="B206" s="665">
        <v>3205050020</v>
      </c>
      <c r="C206" s="574" t="s">
        <v>210</v>
      </c>
      <c r="D206" s="574">
        <v>111.23137</v>
      </c>
      <c r="E206" s="574">
        <v>348.18405000000001</v>
      </c>
      <c r="F206" s="574">
        <v>340.85454999999996</v>
      </c>
      <c r="G206" s="574">
        <v>447.36821999999995</v>
      </c>
      <c r="H206" s="574">
        <v>651.56845999999996</v>
      </c>
      <c r="I206" s="574">
        <v>577.07315000000006</v>
      </c>
      <c r="J206" s="574">
        <v>383.86273</v>
      </c>
      <c r="K206" s="574">
        <v>707.11842000000001</v>
      </c>
      <c r="L206" s="574">
        <v>469.62621000000001</v>
      </c>
      <c r="M206" s="62">
        <f t="shared" si="24"/>
        <v>4036.8871599999998</v>
      </c>
      <c r="N206" s="69">
        <v>999</v>
      </c>
      <c r="O206" s="187" t="s">
        <v>289</v>
      </c>
      <c r="P206" s="69"/>
      <c r="Q206" s="62"/>
      <c r="R206" s="62"/>
      <c r="T206" s="667">
        <v>1466.24485</v>
      </c>
      <c r="U206" s="667">
        <v>2747.9714300000001</v>
      </c>
      <c r="V206" s="667">
        <v>2777.71542</v>
      </c>
      <c r="W206" s="131">
        <f t="shared" si="28"/>
        <v>6991.931700000001</v>
      </c>
      <c r="X206" s="187" t="s">
        <v>289</v>
      </c>
      <c r="Z206" s="62">
        <f t="shared" si="27"/>
        <v>11028.818860000001</v>
      </c>
      <c r="AB206" s="62"/>
      <c r="AC206" s="62"/>
    </row>
    <row r="207" spans="1:29" s="135" customFormat="1" ht="13" outlineLevel="1">
      <c r="A207" s="110"/>
      <c r="B207" s="665">
        <v>3205050025</v>
      </c>
      <c r="C207" s="574" t="s">
        <v>211</v>
      </c>
      <c r="D207" s="574">
        <v>32.227119999999999</v>
      </c>
      <c r="E207" s="574">
        <v>134.42892000000001</v>
      </c>
      <c r="F207" s="574">
        <v>52.797719999999998</v>
      </c>
      <c r="G207" s="574">
        <v>26.902360000000002</v>
      </c>
      <c r="H207" s="574">
        <v>25.161009999999997</v>
      </c>
      <c r="I207" s="574">
        <v>2.4162699999999999</v>
      </c>
      <c r="J207" s="574">
        <v>9.5821900000000007</v>
      </c>
      <c r="K207" s="574">
        <v>8.7711800000000011</v>
      </c>
      <c r="L207" s="574">
        <v>62.9</v>
      </c>
      <c r="M207" s="62">
        <f t="shared" si="24"/>
        <v>355.18677000000002</v>
      </c>
      <c r="N207" s="69">
        <v>999</v>
      </c>
      <c r="O207" s="187" t="s">
        <v>289</v>
      </c>
      <c r="P207" s="69"/>
      <c r="Q207" s="62"/>
      <c r="R207" s="62"/>
      <c r="T207" s="667">
        <v>118.93639</v>
      </c>
      <c r="U207" s="667">
        <v>39.212760000000003</v>
      </c>
      <c r="V207" s="667">
        <v>141.10594</v>
      </c>
      <c r="W207" s="131">
        <f t="shared" si="28"/>
        <v>299.25509</v>
      </c>
      <c r="X207" s="187" t="s">
        <v>289</v>
      </c>
      <c r="Z207" s="62">
        <f t="shared" si="27"/>
        <v>654.44186000000002</v>
      </c>
      <c r="AB207" s="62"/>
      <c r="AC207" s="62"/>
    </row>
    <row r="208" spans="1:29" s="135" customFormat="1" ht="13" outlineLevel="1">
      <c r="A208" s="110"/>
      <c r="B208" s="665">
        <v>3205050030</v>
      </c>
      <c r="C208" s="574" t="s">
        <v>212</v>
      </c>
      <c r="D208" s="574">
        <v>41.7</v>
      </c>
      <c r="E208" s="574">
        <v>107.6</v>
      </c>
      <c r="F208" s="574">
        <v>133.4</v>
      </c>
      <c r="G208" s="574">
        <v>173.6</v>
      </c>
      <c r="H208" s="574">
        <v>172.6</v>
      </c>
      <c r="I208" s="574">
        <v>168.8</v>
      </c>
      <c r="J208" s="574">
        <v>156.5</v>
      </c>
      <c r="K208" s="574">
        <v>190.61457000000001</v>
      </c>
      <c r="L208" s="574">
        <v>202.2</v>
      </c>
      <c r="M208" s="62">
        <f t="shared" si="24"/>
        <v>1347.01457</v>
      </c>
      <c r="N208" s="69">
        <v>301</v>
      </c>
      <c r="O208" s="150" t="s">
        <v>286</v>
      </c>
      <c r="P208" s="69"/>
      <c r="Q208" s="62"/>
      <c r="R208" s="62"/>
      <c r="T208" s="667">
        <v>409.90722</v>
      </c>
      <c r="U208" s="667">
        <v>674.5</v>
      </c>
      <c r="V208" s="667">
        <v>891.1</v>
      </c>
      <c r="W208" s="131">
        <f t="shared" si="28"/>
        <v>1975.50722</v>
      </c>
      <c r="X208" s="150" t="s">
        <v>286</v>
      </c>
      <c r="Z208" s="62">
        <f t="shared" si="27"/>
        <v>3322.5217899999998</v>
      </c>
      <c r="AB208" s="62"/>
      <c r="AC208" s="62"/>
    </row>
    <row r="209" spans="1:29" s="135" customFormat="1" ht="13" outlineLevel="1">
      <c r="A209" s="110"/>
      <c r="B209" s="665">
        <v>3205050040</v>
      </c>
      <c r="C209" s="574" t="s">
        <v>335</v>
      </c>
      <c r="D209" s="574">
        <v>0</v>
      </c>
      <c r="E209" s="574">
        <v>0</v>
      </c>
      <c r="F209" s="574">
        <v>2.4</v>
      </c>
      <c r="G209" s="574">
        <v>0.4</v>
      </c>
      <c r="H209" s="574">
        <v>0</v>
      </c>
      <c r="I209" s="574">
        <v>0</v>
      </c>
      <c r="J209" s="574">
        <v>0</v>
      </c>
      <c r="K209" s="574">
        <v>0.8</v>
      </c>
      <c r="L209" s="574">
        <v>0</v>
      </c>
      <c r="M209" s="62">
        <f t="shared" si="24"/>
        <v>3.5999999999999996</v>
      </c>
      <c r="N209" s="69">
        <v>301</v>
      </c>
      <c r="O209" s="150" t="s">
        <v>286</v>
      </c>
      <c r="P209" s="69"/>
      <c r="Q209" s="62"/>
      <c r="R209" s="62"/>
      <c r="T209" s="667">
        <v>12.6</v>
      </c>
      <c r="U209" s="667">
        <v>4.2</v>
      </c>
      <c r="V209" s="667">
        <v>14.143370000000001</v>
      </c>
      <c r="W209" s="131">
        <f t="shared" si="28"/>
        <v>30.943370000000002</v>
      </c>
      <c r="X209" s="150" t="s">
        <v>286</v>
      </c>
      <c r="Z209" s="62">
        <f t="shared" si="27"/>
        <v>34.543370000000003</v>
      </c>
      <c r="AB209" s="62"/>
      <c r="AC209" s="62"/>
    </row>
    <row r="210" spans="1:29" s="135" customFormat="1" ht="13" outlineLevel="1">
      <c r="A210" s="110"/>
      <c r="B210" s="665">
        <v>3205050050</v>
      </c>
      <c r="C210" s="574" t="s">
        <v>213</v>
      </c>
      <c r="D210" s="574">
        <v>0</v>
      </c>
      <c r="E210" s="574">
        <v>4.3</v>
      </c>
      <c r="F210" s="574">
        <v>0.46310000000000001</v>
      </c>
      <c r="G210" s="574">
        <v>2.7272699999999999</v>
      </c>
      <c r="H210" s="574">
        <v>0</v>
      </c>
      <c r="I210" s="574">
        <v>0</v>
      </c>
      <c r="J210" s="574">
        <v>20.828779999999998</v>
      </c>
      <c r="K210" s="574">
        <v>0</v>
      </c>
      <c r="L210" s="574">
        <v>0</v>
      </c>
      <c r="M210" s="62">
        <f t="shared" si="24"/>
        <v>28.319149999999997</v>
      </c>
      <c r="N210" s="69">
        <v>999</v>
      </c>
      <c r="O210" s="150" t="s">
        <v>289</v>
      </c>
      <c r="P210" s="69"/>
      <c r="Q210" s="62"/>
      <c r="R210" s="62"/>
      <c r="T210" s="667">
        <v>0</v>
      </c>
      <c r="U210" s="667">
        <v>4.1051000000000002</v>
      </c>
      <c r="V210" s="667">
        <v>0</v>
      </c>
      <c r="W210" s="131">
        <f t="shared" si="28"/>
        <v>4.1051000000000002</v>
      </c>
      <c r="X210" s="150" t="s">
        <v>289</v>
      </c>
      <c r="Z210" s="62">
        <f t="shared" si="27"/>
        <v>32.424250000000001</v>
      </c>
      <c r="AB210" s="62"/>
      <c r="AC210" s="62"/>
    </row>
    <row r="211" spans="1:29" s="135" customFormat="1" ht="13" outlineLevel="1">
      <c r="A211" s="110"/>
      <c r="B211" s="665">
        <v>3205050060</v>
      </c>
      <c r="C211" s="574" t="s">
        <v>214</v>
      </c>
      <c r="D211" s="574">
        <v>0</v>
      </c>
      <c r="E211" s="574">
        <v>17.04102</v>
      </c>
      <c r="F211" s="574">
        <v>0</v>
      </c>
      <c r="G211" s="574">
        <v>25.885590000000001</v>
      </c>
      <c r="H211" s="574">
        <v>33.828000000000003</v>
      </c>
      <c r="I211" s="574">
        <v>65.107839999999996</v>
      </c>
      <c r="J211" s="574">
        <v>18.3</v>
      </c>
      <c r="K211" s="574">
        <v>11.4</v>
      </c>
      <c r="L211" s="574">
        <v>25.523</v>
      </c>
      <c r="M211" s="62">
        <f t="shared" si="24"/>
        <v>197.08545000000001</v>
      </c>
      <c r="N211" s="69">
        <v>999</v>
      </c>
      <c r="O211" s="187" t="s">
        <v>289</v>
      </c>
      <c r="P211" s="69"/>
      <c r="Q211" s="62"/>
      <c r="R211" s="62"/>
      <c r="T211" s="667">
        <v>118.37886</v>
      </c>
      <c r="U211" s="667">
        <v>136.78135999999998</v>
      </c>
      <c r="V211" s="667">
        <v>104.60414999999999</v>
      </c>
      <c r="W211" s="131">
        <f t="shared" si="28"/>
        <v>359.76436999999999</v>
      </c>
      <c r="X211" s="187" t="s">
        <v>289</v>
      </c>
      <c r="Z211" s="62">
        <f t="shared" si="27"/>
        <v>556.84982000000002</v>
      </c>
      <c r="AB211" s="62"/>
      <c r="AC211" s="62"/>
    </row>
    <row r="212" spans="1:29" s="135" customFormat="1" ht="13" outlineLevel="1">
      <c r="A212" s="110"/>
      <c r="B212" s="665">
        <v>3205050080</v>
      </c>
      <c r="C212" s="574" t="s">
        <v>215</v>
      </c>
      <c r="D212" s="574">
        <v>0</v>
      </c>
      <c r="E212" s="574">
        <v>4.15116</v>
      </c>
      <c r="F212" s="574">
        <v>0</v>
      </c>
      <c r="G212" s="574">
        <v>0</v>
      </c>
      <c r="H212" s="574">
        <v>20.413139999999999</v>
      </c>
      <c r="I212" s="574">
        <v>35.584180000000003</v>
      </c>
      <c r="J212" s="574">
        <v>54.187719999999999</v>
      </c>
      <c r="K212" s="574">
        <v>23.219519999999999</v>
      </c>
      <c r="L212" s="574">
        <v>4.9099200000000005</v>
      </c>
      <c r="M212" s="62">
        <f t="shared" si="24"/>
        <v>142.46564000000001</v>
      </c>
      <c r="N212" s="69">
        <v>999</v>
      </c>
      <c r="O212" s="150" t="s">
        <v>289</v>
      </c>
      <c r="P212" s="69"/>
      <c r="Q212" s="62"/>
      <c r="R212" s="62"/>
      <c r="T212" s="667">
        <v>0</v>
      </c>
      <c r="U212" s="667">
        <v>13.802940000000001</v>
      </c>
      <c r="V212" s="667">
        <v>0</v>
      </c>
      <c r="W212" s="131">
        <f t="shared" si="28"/>
        <v>13.802940000000001</v>
      </c>
      <c r="X212" s="150" t="s">
        <v>289</v>
      </c>
      <c r="Z212" s="62">
        <f t="shared" si="27"/>
        <v>156.26858000000001</v>
      </c>
      <c r="AB212" s="62"/>
      <c r="AC212" s="62"/>
    </row>
    <row r="213" spans="1:29" s="135" customFormat="1" ht="13" outlineLevel="1">
      <c r="A213" s="110"/>
      <c r="B213" s="665">
        <v>3205050090</v>
      </c>
      <c r="C213" s="574" t="s">
        <v>216</v>
      </c>
      <c r="D213" s="574">
        <v>0</v>
      </c>
      <c r="E213" s="574">
        <v>91.033699999999996</v>
      </c>
      <c r="F213" s="574">
        <v>0</v>
      </c>
      <c r="G213" s="574">
        <v>76.657550000000001</v>
      </c>
      <c r="H213" s="574">
        <v>75.884309999999999</v>
      </c>
      <c r="I213" s="574">
        <v>321.41833000000003</v>
      </c>
      <c r="J213" s="574">
        <v>197.43806000000001</v>
      </c>
      <c r="K213" s="574">
        <v>55.994039999999998</v>
      </c>
      <c r="L213" s="574">
        <v>50.385449999999999</v>
      </c>
      <c r="M213" s="62">
        <f t="shared" ref="M213:M222" si="29">SUM(D213:L213)</f>
        <v>868.81143999999995</v>
      </c>
      <c r="N213" s="69">
        <v>999</v>
      </c>
      <c r="O213" s="150" t="s">
        <v>289</v>
      </c>
      <c r="P213" s="69"/>
      <c r="Q213" s="62"/>
      <c r="R213" s="62"/>
      <c r="T213" s="667">
        <v>119.19983000000001</v>
      </c>
      <c r="U213" s="667">
        <v>399.84037000000001</v>
      </c>
      <c r="V213" s="667">
        <v>142.85175000000001</v>
      </c>
      <c r="W213" s="131">
        <f t="shared" si="28"/>
        <v>661.89195000000007</v>
      </c>
      <c r="X213" s="150" t="s">
        <v>289</v>
      </c>
      <c r="Z213" s="62">
        <f t="shared" si="27"/>
        <v>1530.7033900000001</v>
      </c>
      <c r="AB213" s="62"/>
      <c r="AC213" s="62"/>
    </row>
    <row r="214" spans="1:29" s="135" customFormat="1" ht="13" outlineLevel="1">
      <c r="A214" s="110"/>
      <c r="B214" s="665">
        <v>3205050100</v>
      </c>
      <c r="C214" s="574" t="s">
        <v>217</v>
      </c>
      <c r="D214" s="574">
        <v>0</v>
      </c>
      <c r="E214" s="574">
        <v>40</v>
      </c>
      <c r="F214" s="574">
        <v>0</v>
      </c>
      <c r="G214" s="574">
        <v>47.5</v>
      </c>
      <c r="H214" s="574">
        <v>35</v>
      </c>
      <c r="I214" s="574">
        <v>105</v>
      </c>
      <c r="J214" s="574">
        <v>122.5</v>
      </c>
      <c r="K214" s="574">
        <v>35</v>
      </c>
      <c r="L214" s="574">
        <v>45.1</v>
      </c>
      <c r="M214" s="62">
        <f t="shared" si="29"/>
        <v>430.1</v>
      </c>
      <c r="N214" s="69">
        <v>301</v>
      </c>
      <c r="O214" s="150" t="s">
        <v>286</v>
      </c>
      <c r="P214" s="69"/>
      <c r="Q214" s="62"/>
      <c r="R214" s="62"/>
      <c r="T214" s="667">
        <v>82.5</v>
      </c>
      <c r="U214" s="667">
        <v>113.8</v>
      </c>
      <c r="V214" s="667">
        <v>55</v>
      </c>
      <c r="W214" s="131">
        <f t="shared" si="28"/>
        <v>251.3</v>
      </c>
      <c r="X214" s="150" t="s">
        <v>286</v>
      </c>
      <c r="Z214" s="62">
        <f t="shared" si="27"/>
        <v>681.40000000000009</v>
      </c>
      <c r="AB214" s="62"/>
      <c r="AC214" s="62"/>
    </row>
    <row r="215" spans="1:29" s="135" customFormat="1" ht="13" outlineLevel="1">
      <c r="A215" s="110"/>
      <c r="B215" s="665">
        <v>3205050130</v>
      </c>
      <c r="C215" s="574" t="s">
        <v>218</v>
      </c>
      <c r="D215" s="574">
        <v>5.2</v>
      </c>
      <c r="E215" s="574">
        <v>27.678139999999999</v>
      </c>
      <c r="F215" s="574">
        <v>5</v>
      </c>
      <c r="G215" s="574">
        <v>17.841889999999999</v>
      </c>
      <c r="H215" s="574">
        <v>18.600000000000001</v>
      </c>
      <c r="I215" s="574">
        <v>12.8</v>
      </c>
      <c r="J215" s="574">
        <v>12.6</v>
      </c>
      <c r="K215" s="574">
        <v>14.98028</v>
      </c>
      <c r="L215" s="574">
        <v>12.8</v>
      </c>
      <c r="M215" s="62">
        <f t="shared" si="29"/>
        <v>127.50031</v>
      </c>
      <c r="N215" s="69">
        <v>301</v>
      </c>
      <c r="O215" s="150" t="s">
        <v>286</v>
      </c>
      <c r="P215" s="69"/>
      <c r="Q215" s="62"/>
      <c r="R215" s="62"/>
      <c r="T215" s="667">
        <v>21.306750000000001</v>
      </c>
      <c r="U215" s="667">
        <v>23.6</v>
      </c>
      <c r="V215" s="667">
        <v>78.599999999999994</v>
      </c>
      <c r="W215" s="131">
        <f t="shared" si="28"/>
        <v>123.50675</v>
      </c>
      <c r="X215" s="150" t="s">
        <v>286</v>
      </c>
      <c r="Z215" s="62">
        <f t="shared" si="27"/>
        <v>251.00706</v>
      </c>
      <c r="AB215" s="62"/>
      <c r="AC215" s="62"/>
    </row>
    <row r="216" spans="1:29" s="135" customFormat="1" ht="13" outlineLevel="1">
      <c r="A216" s="110"/>
      <c r="B216" s="665">
        <v>3205050140</v>
      </c>
      <c r="C216" s="574" t="s">
        <v>219</v>
      </c>
      <c r="D216" s="574">
        <v>0</v>
      </c>
      <c r="E216" s="574">
        <v>5.8719999999999999</v>
      </c>
      <c r="F216" s="574">
        <v>0.65</v>
      </c>
      <c r="G216" s="574">
        <v>3.52</v>
      </c>
      <c r="H216" s="574">
        <v>0</v>
      </c>
      <c r="I216" s="574">
        <v>9.3190000000000008</v>
      </c>
      <c r="J216" s="574">
        <v>13.983049999999999</v>
      </c>
      <c r="K216" s="574">
        <v>7.0730000000000004</v>
      </c>
      <c r="L216" s="574">
        <v>2.7</v>
      </c>
      <c r="M216" s="62">
        <f t="shared" si="29"/>
        <v>43.117049999999999</v>
      </c>
      <c r="N216" s="69">
        <v>999</v>
      </c>
      <c r="O216" s="150" t="s">
        <v>289</v>
      </c>
      <c r="P216" s="69"/>
      <c r="Q216" s="62"/>
      <c r="R216" s="62"/>
      <c r="T216" s="667">
        <v>0</v>
      </c>
      <c r="U216" s="667">
        <v>0</v>
      </c>
      <c r="V216" s="667">
        <v>0</v>
      </c>
      <c r="W216" s="131">
        <f t="shared" si="28"/>
        <v>0</v>
      </c>
      <c r="X216" s="150" t="s">
        <v>289</v>
      </c>
      <c r="Z216" s="62">
        <f t="shared" si="27"/>
        <v>43.117049999999999</v>
      </c>
      <c r="AB216" s="62"/>
      <c r="AC216" s="62"/>
    </row>
    <row r="217" spans="1:29" s="135" customFormat="1" ht="13" outlineLevel="1">
      <c r="A217" s="110"/>
      <c r="B217" s="665">
        <v>3205050150</v>
      </c>
      <c r="C217" s="574" t="s">
        <v>314</v>
      </c>
      <c r="D217" s="574">
        <v>0</v>
      </c>
      <c r="E217" s="574">
        <v>0</v>
      </c>
      <c r="F217" s="574">
        <v>0</v>
      </c>
      <c r="G217" s="574">
        <v>0</v>
      </c>
      <c r="H217" s="574">
        <v>0</v>
      </c>
      <c r="I217" s="574">
        <v>2.5559999999999999E-2</v>
      </c>
      <c r="J217" s="574">
        <v>0</v>
      </c>
      <c r="K217" s="574">
        <v>16</v>
      </c>
      <c r="L217" s="574">
        <v>0</v>
      </c>
      <c r="M217" s="62">
        <f t="shared" si="29"/>
        <v>16.025559999999999</v>
      </c>
      <c r="N217" s="69">
        <v>999</v>
      </c>
      <c r="O217" s="158" t="s">
        <v>289</v>
      </c>
      <c r="P217" s="69"/>
      <c r="Q217" s="62"/>
      <c r="R217" s="62"/>
      <c r="T217" s="667">
        <v>96.394999999999996</v>
      </c>
      <c r="U217" s="667">
        <v>9.3505000000000003</v>
      </c>
      <c r="V217" s="667">
        <v>0.29599999999999999</v>
      </c>
      <c r="W217" s="131">
        <f t="shared" si="28"/>
        <v>106.0415</v>
      </c>
      <c r="X217" s="158" t="s">
        <v>289</v>
      </c>
      <c r="Z217" s="62">
        <f t="shared" si="27"/>
        <v>122.06706</v>
      </c>
      <c r="AB217" s="62"/>
      <c r="AC217" s="62"/>
    </row>
    <row r="218" spans="1:29" s="135" customFormat="1" ht="13" outlineLevel="1">
      <c r="A218" s="110"/>
      <c r="B218" s="665">
        <v>3205060010</v>
      </c>
      <c r="C218" s="574" t="s">
        <v>220</v>
      </c>
      <c r="D218" s="574">
        <v>153.27324999999999</v>
      </c>
      <c r="E218" s="574">
        <v>23.015450000000001</v>
      </c>
      <c r="F218" s="574">
        <v>161.05607999999998</v>
      </c>
      <c r="G218" s="574">
        <v>169.29830999999999</v>
      </c>
      <c r="H218" s="574">
        <v>203.79849999999999</v>
      </c>
      <c r="I218" s="574">
        <v>268.96868000000001</v>
      </c>
      <c r="J218" s="574">
        <v>373.34519</v>
      </c>
      <c r="K218" s="574">
        <v>125.43069</v>
      </c>
      <c r="L218" s="574">
        <v>75.738060000000004</v>
      </c>
      <c r="M218" s="62">
        <f t="shared" si="29"/>
        <v>1553.9242099999999</v>
      </c>
      <c r="N218" s="69">
        <v>606</v>
      </c>
      <c r="O218" s="158" t="s">
        <v>286</v>
      </c>
      <c r="P218" s="69"/>
      <c r="Q218" s="62"/>
      <c r="R218" s="62"/>
      <c r="T218" s="667">
        <v>222.32187999999999</v>
      </c>
      <c r="U218" s="667">
        <v>430.74374</v>
      </c>
      <c r="V218" s="667">
        <v>355.9796</v>
      </c>
      <c r="W218" s="131">
        <f t="shared" si="28"/>
        <v>1009.04522</v>
      </c>
      <c r="X218" s="158" t="s">
        <v>286</v>
      </c>
      <c r="Z218" s="62">
        <f t="shared" si="27"/>
        <v>2562.9694300000001</v>
      </c>
      <c r="AB218" s="62"/>
      <c r="AC218" s="62"/>
    </row>
    <row r="219" spans="1:29" s="135" customFormat="1" ht="13" outlineLevel="1">
      <c r="A219" s="110"/>
      <c r="B219" s="665">
        <v>3205060021</v>
      </c>
      <c r="C219" s="574" t="s">
        <v>221</v>
      </c>
      <c r="D219" s="574">
        <v>29.660550000000001</v>
      </c>
      <c r="E219" s="574">
        <v>7.3480799999999995</v>
      </c>
      <c r="F219" s="574">
        <v>21.409120000000001</v>
      </c>
      <c r="G219" s="574">
        <v>25.723730000000003</v>
      </c>
      <c r="H219" s="574">
        <v>27.363919999999997</v>
      </c>
      <c r="I219" s="574">
        <v>27.33784</v>
      </c>
      <c r="J219" s="574">
        <v>22.719669999999997</v>
      </c>
      <c r="K219" s="574">
        <v>29.26493</v>
      </c>
      <c r="L219" s="574">
        <v>28.871729999999999</v>
      </c>
      <c r="M219" s="62">
        <f t="shared" si="29"/>
        <v>219.69956999999999</v>
      </c>
      <c r="N219" s="69">
        <v>606</v>
      </c>
      <c r="O219" s="150" t="s">
        <v>286</v>
      </c>
      <c r="P219" s="69"/>
      <c r="Q219" s="62"/>
      <c r="R219" s="62"/>
      <c r="T219" s="667">
        <v>23.318339999999999</v>
      </c>
      <c r="U219" s="667">
        <v>9.5038000000000036</v>
      </c>
      <c r="V219" s="667">
        <v>41.68817</v>
      </c>
      <c r="W219" s="131">
        <f t="shared" si="28"/>
        <v>74.510310000000004</v>
      </c>
      <c r="X219" s="150" t="s">
        <v>286</v>
      </c>
      <c r="Z219" s="62">
        <f t="shared" si="27"/>
        <v>294.20988</v>
      </c>
      <c r="AB219" s="62"/>
      <c r="AC219" s="62"/>
    </row>
    <row r="220" spans="1:29" s="135" customFormat="1" ht="13" outlineLevel="1">
      <c r="A220" s="110"/>
      <c r="B220" s="665">
        <v>3205060027</v>
      </c>
      <c r="C220" s="574" t="s">
        <v>222</v>
      </c>
      <c r="D220" s="574">
        <v>189.21644000000001</v>
      </c>
      <c r="E220" s="574">
        <v>181.97734999999997</v>
      </c>
      <c r="F220" s="574">
        <v>179.12477000000001</v>
      </c>
      <c r="G220" s="574">
        <v>283.02983</v>
      </c>
      <c r="H220" s="574">
        <v>269.73619000000002</v>
      </c>
      <c r="I220" s="574">
        <v>218.04680000000002</v>
      </c>
      <c r="J220" s="574">
        <v>245.62112999999999</v>
      </c>
      <c r="K220" s="574">
        <v>279.39945</v>
      </c>
      <c r="L220" s="574">
        <v>171.50708000000003</v>
      </c>
      <c r="M220" s="62">
        <f t="shared" si="29"/>
        <v>2017.6590400000002</v>
      </c>
      <c r="N220" s="69">
        <v>606</v>
      </c>
      <c r="O220" s="158" t="s">
        <v>286</v>
      </c>
      <c r="P220" s="69"/>
      <c r="Q220" s="62">
        <f>VLOOKUP(B220,$B$373:$M$430,12,0)</f>
        <v>0</v>
      </c>
      <c r="R220" s="62"/>
      <c r="T220" s="667">
        <v>242.83212</v>
      </c>
      <c r="U220" s="667">
        <v>122.27819000000001</v>
      </c>
      <c r="V220" s="667">
        <v>339.00713999999999</v>
      </c>
      <c r="W220" s="131">
        <f t="shared" si="28"/>
        <v>704.11744999999996</v>
      </c>
      <c r="X220" s="158" t="s">
        <v>286</v>
      </c>
      <c r="Z220" s="62">
        <f t="shared" si="27"/>
        <v>2721.7764900000002</v>
      </c>
      <c r="AB220" s="62">
        <f>VLOOKUP(B220,$B$373:$R$430,17,0)</f>
        <v>0</v>
      </c>
      <c r="AC220" s="62"/>
    </row>
    <row r="221" spans="1:29" s="135" customFormat="1" ht="13" outlineLevel="1">
      <c r="A221" s="110"/>
      <c r="B221" s="665">
        <v>3205060028</v>
      </c>
      <c r="C221" s="574" t="s">
        <v>223</v>
      </c>
      <c r="D221" s="574">
        <v>2.6561699999999999</v>
      </c>
      <c r="E221" s="574">
        <v>-0.17341999999999999</v>
      </c>
      <c r="F221" s="574">
        <v>4.7829999999999998E-2</v>
      </c>
      <c r="G221" s="574">
        <v>1.0928199999999999</v>
      </c>
      <c r="H221" s="574">
        <v>1.6047199999999999</v>
      </c>
      <c r="I221" s="574">
        <v>1.40357</v>
      </c>
      <c r="J221" s="574">
        <v>1.006</v>
      </c>
      <c r="K221" s="574">
        <v>1.4608299999999999</v>
      </c>
      <c r="L221" s="574">
        <v>0.83716000000000013</v>
      </c>
      <c r="M221" s="62">
        <f t="shared" si="29"/>
        <v>9.9356799999999996</v>
      </c>
      <c r="N221" s="69">
        <v>606</v>
      </c>
      <c r="O221" s="158" t="s">
        <v>286</v>
      </c>
      <c r="P221" s="69"/>
      <c r="Q221" s="62"/>
      <c r="R221" s="62"/>
      <c r="T221" s="667">
        <v>0.80215999999999998</v>
      </c>
      <c r="U221" s="667">
        <v>0.37684999999999991</v>
      </c>
      <c r="V221" s="667">
        <v>2.1391200000000001</v>
      </c>
      <c r="W221" s="131">
        <f t="shared" si="28"/>
        <v>3.31813</v>
      </c>
      <c r="X221" s="158" t="s">
        <v>286</v>
      </c>
      <c r="Z221" s="62">
        <f t="shared" si="27"/>
        <v>13.25381</v>
      </c>
      <c r="AB221" s="62"/>
      <c r="AC221" s="62"/>
    </row>
    <row r="222" spans="1:29" s="135" customFormat="1" ht="13" outlineLevel="1">
      <c r="A222" s="110"/>
      <c r="B222" s="665">
        <v>3205060032</v>
      </c>
      <c r="C222" s="574" t="s">
        <v>224</v>
      </c>
      <c r="D222" s="574">
        <v>86.254649999999998</v>
      </c>
      <c r="E222" s="574">
        <v>91.197050000000004</v>
      </c>
      <c r="F222" s="574">
        <v>90.790549999999996</v>
      </c>
      <c r="G222" s="574">
        <v>91.262219999999999</v>
      </c>
      <c r="H222" s="574">
        <v>92.888499999999993</v>
      </c>
      <c r="I222" s="574">
        <v>93.992419999999996</v>
      </c>
      <c r="J222" s="574">
        <v>91.025859999999994</v>
      </c>
      <c r="K222" s="574">
        <v>95.147320000000008</v>
      </c>
      <c r="L222" s="574">
        <v>25.39293</v>
      </c>
      <c r="M222" s="62">
        <f t="shared" si="29"/>
        <v>757.95150000000001</v>
      </c>
      <c r="N222" s="69">
        <v>606</v>
      </c>
      <c r="O222" s="158" t="s">
        <v>286</v>
      </c>
      <c r="P222" s="69"/>
      <c r="Q222" s="62"/>
      <c r="R222" s="62"/>
      <c r="T222" s="667">
        <v>157.10904000000002</v>
      </c>
      <c r="U222" s="667">
        <v>34.804230000000004</v>
      </c>
      <c r="V222" s="667">
        <v>99.988910000000004</v>
      </c>
      <c r="W222" s="131">
        <f t="shared" si="28"/>
        <v>291.90218000000004</v>
      </c>
      <c r="X222" s="158" t="s">
        <v>286</v>
      </c>
      <c r="Z222" s="62">
        <f t="shared" si="27"/>
        <v>1049.8536800000002</v>
      </c>
      <c r="AB222" s="62"/>
      <c r="AC222" s="62"/>
    </row>
    <row r="223" spans="1:29" s="135" customFormat="1" ht="13" outlineLevel="1">
      <c r="A223" s="110"/>
      <c r="B223" s="665">
        <v>3205060033</v>
      </c>
      <c r="C223" s="574" t="s">
        <v>336</v>
      </c>
      <c r="D223" s="574">
        <v>0</v>
      </c>
      <c r="E223" s="574">
        <v>0</v>
      </c>
      <c r="F223" s="574">
        <v>0</v>
      </c>
      <c r="G223" s="574">
        <v>0</v>
      </c>
      <c r="H223" s="574">
        <v>0</v>
      </c>
      <c r="I223" s="574">
        <v>0</v>
      </c>
      <c r="J223" s="574">
        <v>32</v>
      </c>
      <c r="K223" s="574">
        <v>32</v>
      </c>
      <c r="L223" s="574">
        <v>0</v>
      </c>
      <c r="M223" s="62">
        <f>SUM(D223:L223)</f>
        <v>64</v>
      </c>
      <c r="N223" s="69">
        <v>606</v>
      </c>
      <c r="O223" s="158" t="s">
        <v>286</v>
      </c>
      <c r="P223" s="69"/>
      <c r="Q223" s="62"/>
      <c r="R223" s="62"/>
      <c r="T223" s="667">
        <v>32</v>
      </c>
      <c r="U223" s="667">
        <v>32</v>
      </c>
      <c r="V223" s="667">
        <v>64</v>
      </c>
      <c r="W223" s="131">
        <f>SUM(T223:V223)</f>
        <v>128</v>
      </c>
      <c r="X223" s="158" t="s">
        <v>286</v>
      </c>
      <c r="Z223" s="62">
        <f t="shared" si="27"/>
        <v>192</v>
      </c>
      <c r="AB223" s="62"/>
      <c r="AC223" s="62"/>
    </row>
    <row r="224" spans="1:29" s="135" customFormat="1" ht="13" outlineLevel="1">
      <c r="A224" s="110"/>
      <c r="B224" s="665">
        <v>3205060040</v>
      </c>
      <c r="C224" s="574" t="s">
        <v>225</v>
      </c>
      <c r="D224" s="574">
        <v>0</v>
      </c>
      <c r="E224" s="574">
        <v>0</v>
      </c>
      <c r="F224" s="574">
        <v>0</v>
      </c>
      <c r="G224" s="574">
        <v>0</v>
      </c>
      <c r="H224" s="574">
        <v>0</v>
      </c>
      <c r="I224" s="574">
        <v>18.374929999999999</v>
      </c>
      <c r="J224" s="574">
        <v>0</v>
      </c>
      <c r="K224" s="574">
        <v>0</v>
      </c>
      <c r="L224" s="574">
        <v>49.129390000000001</v>
      </c>
      <c r="M224" s="62">
        <f t="shared" ref="M224:M255" si="30">SUM(D224:L224)</f>
        <v>67.504320000000007</v>
      </c>
      <c r="N224" s="69">
        <v>606</v>
      </c>
      <c r="O224" s="158" t="s">
        <v>286</v>
      </c>
      <c r="P224" s="69"/>
      <c r="Q224" s="62"/>
      <c r="R224" s="62"/>
      <c r="T224" s="667">
        <v>0</v>
      </c>
      <c r="U224" s="667">
        <v>0</v>
      </c>
      <c r="V224" s="667">
        <v>0</v>
      </c>
      <c r="W224" s="131">
        <f t="shared" ref="W224:W256" si="31">SUM(T224:V224)</f>
        <v>0</v>
      </c>
      <c r="X224" s="158" t="s">
        <v>286</v>
      </c>
      <c r="Z224" s="62">
        <f t="shared" si="27"/>
        <v>67.504320000000007</v>
      </c>
      <c r="AB224" s="62"/>
      <c r="AC224" s="62"/>
    </row>
    <row r="225" spans="1:29" s="135" customFormat="1" ht="13" outlineLevel="1">
      <c r="A225" s="110"/>
      <c r="B225" s="665">
        <v>3205060042</v>
      </c>
      <c r="C225" s="574" t="s">
        <v>226</v>
      </c>
      <c r="D225" s="574">
        <v>134.57920999999999</v>
      </c>
      <c r="E225" s="574">
        <v>114.10978999999999</v>
      </c>
      <c r="F225" s="574">
        <v>108.9127</v>
      </c>
      <c r="G225" s="574">
        <v>122.47078</v>
      </c>
      <c r="H225" s="574">
        <v>110.03001999999999</v>
      </c>
      <c r="I225" s="574">
        <v>193.79655</v>
      </c>
      <c r="J225" s="574">
        <v>140.92635000000001</v>
      </c>
      <c r="K225" s="574">
        <v>114.57201000000001</v>
      </c>
      <c r="L225" s="574">
        <v>199.32957999999999</v>
      </c>
      <c r="M225" s="62">
        <f t="shared" si="30"/>
        <v>1238.7269900000001</v>
      </c>
      <c r="N225" s="69">
        <v>606</v>
      </c>
      <c r="O225" s="158" t="s">
        <v>286</v>
      </c>
      <c r="P225" s="69"/>
      <c r="Q225" s="62">
        <f>VLOOKUP(B225,$B$373:$M$430,12,0)</f>
        <v>5.4589300000000005</v>
      </c>
      <c r="R225" s="62"/>
      <c r="T225" s="667">
        <v>130.1979</v>
      </c>
      <c r="U225" s="667">
        <v>77.025469999999984</v>
      </c>
      <c r="V225" s="667">
        <v>283.04376999999994</v>
      </c>
      <c r="W225" s="131">
        <f t="shared" si="31"/>
        <v>490.26713999999993</v>
      </c>
      <c r="X225" s="158" t="s">
        <v>286</v>
      </c>
      <c r="Z225" s="62">
        <f t="shared" si="27"/>
        <v>1728.99413</v>
      </c>
      <c r="AB225" s="62">
        <f>VLOOKUP(B225,$B$373:$R$430,17,0)</f>
        <v>7.2184400000000011</v>
      </c>
      <c r="AC225" s="62"/>
    </row>
    <row r="226" spans="1:29" s="135" customFormat="1" ht="13" outlineLevel="1">
      <c r="A226" s="110"/>
      <c r="B226" s="665">
        <v>3205060043</v>
      </c>
      <c r="C226" s="574" t="s">
        <v>227</v>
      </c>
      <c r="D226" s="574">
        <v>80.833850000000012</v>
      </c>
      <c r="E226" s="574">
        <v>0</v>
      </c>
      <c r="F226" s="574">
        <v>0</v>
      </c>
      <c r="G226" s="574">
        <v>107.53002000000001</v>
      </c>
      <c r="H226" s="574">
        <v>0</v>
      </c>
      <c r="I226" s="574">
        <v>0.72360999999999998</v>
      </c>
      <c r="J226" s="574">
        <v>171.71803000000003</v>
      </c>
      <c r="K226" s="574">
        <v>4.0030900000000003</v>
      </c>
      <c r="L226" s="574">
        <v>0</v>
      </c>
      <c r="M226" s="62">
        <f t="shared" si="30"/>
        <v>364.80860000000001</v>
      </c>
      <c r="N226" s="69">
        <v>999</v>
      </c>
      <c r="O226" s="158" t="s">
        <v>289</v>
      </c>
      <c r="P226" s="69"/>
      <c r="Q226" s="62"/>
      <c r="R226" s="62"/>
      <c r="T226" s="667">
        <v>223.15855999999999</v>
      </c>
      <c r="U226" s="667">
        <v>0</v>
      </c>
      <c r="V226" s="667">
        <v>0</v>
      </c>
      <c r="W226" s="131">
        <f t="shared" si="31"/>
        <v>223.15855999999999</v>
      </c>
      <c r="X226" s="158" t="s">
        <v>289</v>
      </c>
      <c r="Z226" s="62">
        <f t="shared" si="27"/>
        <v>587.96716000000004</v>
      </c>
      <c r="AB226" s="62"/>
      <c r="AC226" s="62"/>
    </row>
    <row r="227" spans="1:29" s="135" customFormat="1" ht="13" outlineLevel="1">
      <c r="A227" s="110"/>
      <c r="B227" s="665">
        <v>3205070040</v>
      </c>
      <c r="C227" s="574" t="s">
        <v>228</v>
      </c>
      <c r="D227" s="574">
        <v>0</v>
      </c>
      <c r="E227" s="574">
        <v>0</v>
      </c>
      <c r="F227" s="574">
        <v>8.75</v>
      </c>
      <c r="G227" s="574">
        <v>13.249799999999999</v>
      </c>
      <c r="H227" s="574">
        <v>11.862729999999999</v>
      </c>
      <c r="I227" s="574">
        <v>3.75</v>
      </c>
      <c r="J227" s="574">
        <v>3.75</v>
      </c>
      <c r="K227" s="574">
        <v>40.963300000000004</v>
      </c>
      <c r="L227" s="574">
        <v>2.5</v>
      </c>
      <c r="M227" s="62">
        <f t="shared" si="30"/>
        <v>84.825829999999996</v>
      </c>
      <c r="N227" s="69">
        <v>190</v>
      </c>
      <c r="O227" s="158" t="s">
        <v>286</v>
      </c>
      <c r="P227" s="69"/>
      <c r="Q227" s="62"/>
      <c r="R227" s="62"/>
      <c r="T227" s="667">
        <v>3.75</v>
      </c>
      <c r="U227" s="667">
        <v>35.890010000000004</v>
      </c>
      <c r="V227" s="667">
        <v>5</v>
      </c>
      <c r="W227" s="131">
        <f t="shared" si="31"/>
        <v>44.640010000000004</v>
      </c>
      <c r="X227" s="158" t="s">
        <v>286</v>
      </c>
      <c r="Z227" s="62">
        <f t="shared" si="27"/>
        <v>129.46584000000001</v>
      </c>
      <c r="AB227" s="62"/>
      <c r="AC227" s="62"/>
    </row>
    <row r="228" spans="1:29" s="135" customFormat="1" ht="13" outlineLevel="1">
      <c r="A228" s="110"/>
      <c r="B228" s="665">
        <v>3205080010</v>
      </c>
      <c r="C228" s="574" t="s">
        <v>229</v>
      </c>
      <c r="D228" s="574">
        <v>29.205860000000001</v>
      </c>
      <c r="E228" s="574">
        <v>0</v>
      </c>
      <c r="F228" s="574">
        <v>0</v>
      </c>
      <c r="G228" s="574">
        <v>2.69387</v>
      </c>
      <c r="H228" s="574">
        <v>62.138239999999996</v>
      </c>
      <c r="I228" s="574">
        <v>50.66189</v>
      </c>
      <c r="J228" s="574">
        <v>19.502520000000001</v>
      </c>
      <c r="K228" s="574">
        <v>0</v>
      </c>
      <c r="L228" s="574">
        <v>15.786899999999999</v>
      </c>
      <c r="M228" s="62">
        <f t="shared" si="30"/>
        <v>179.98928000000001</v>
      </c>
      <c r="N228" s="69">
        <v>999</v>
      </c>
      <c r="O228" s="158" t="s">
        <v>289</v>
      </c>
      <c r="P228" s="69"/>
      <c r="Q228" s="62"/>
      <c r="R228" s="62"/>
      <c r="T228" s="667">
        <v>71.678579999999997</v>
      </c>
      <c r="U228" s="667">
        <v>7.7813599999999994</v>
      </c>
      <c r="V228" s="667">
        <v>51.891030000000001</v>
      </c>
      <c r="W228" s="131">
        <f t="shared" si="31"/>
        <v>131.35096999999999</v>
      </c>
      <c r="X228" s="158" t="s">
        <v>289</v>
      </c>
      <c r="Z228" s="62">
        <f t="shared" si="27"/>
        <v>311.34024999999997</v>
      </c>
      <c r="AB228" s="62"/>
      <c r="AC228" s="62"/>
    </row>
    <row r="229" spans="1:29" s="135" customFormat="1" ht="13" outlineLevel="1">
      <c r="A229" s="110"/>
      <c r="B229" s="665">
        <v>3205080020</v>
      </c>
      <c r="C229" s="574" t="s">
        <v>337</v>
      </c>
      <c r="D229" s="574">
        <v>0</v>
      </c>
      <c r="E229" s="574">
        <v>0</v>
      </c>
      <c r="F229" s="574">
        <v>0.99738000000000004</v>
      </c>
      <c r="G229" s="574">
        <v>0</v>
      </c>
      <c r="H229" s="574">
        <v>0</v>
      </c>
      <c r="I229" s="574">
        <v>0</v>
      </c>
      <c r="J229" s="574">
        <v>0</v>
      </c>
      <c r="K229" s="574">
        <v>0</v>
      </c>
      <c r="L229" s="574">
        <v>0</v>
      </c>
      <c r="M229" s="62">
        <f t="shared" si="30"/>
        <v>0.99738000000000004</v>
      </c>
      <c r="N229" s="69">
        <v>999</v>
      </c>
      <c r="O229" s="158" t="s">
        <v>289</v>
      </c>
      <c r="P229" s="69"/>
      <c r="Q229" s="62"/>
      <c r="R229" s="62"/>
      <c r="T229" s="667">
        <v>0</v>
      </c>
      <c r="U229" s="667">
        <v>0</v>
      </c>
      <c r="V229" s="667">
        <v>0</v>
      </c>
      <c r="W229" s="131">
        <f t="shared" si="31"/>
        <v>0</v>
      </c>
      <c r="X229" s="158" t="s">
        <v>289</v>
      </c>
      <c r="Z229" s="62">
        <f t="shared" si="27"/>
        <v>0.99738000000000004</v>
      </c>
      <c r="AB229" s="62"/>
      <c r="AC229" s="62"/>
    </row>
    <row r="230" spans="1:29" s="135" customFormat="1" ht="13" outlineLevel="1">
      <c r="A230" s="110"/>
      <c r="B230" s="665">
        <v>3205080030</v>
      </c>
      <c r="C230" s="574" t="s">
        <v>338</v>
      </c>
      <c r="D230" s="574">
        <v>0</v>
      </c>
      <c r="E230" s="574">
        <v>0</v>
      </c>
      <c r="F230" s="574">
        <v>0.26704</v>
      </c>
      <c r="G230" s="574">
        <v>0</v>
      </c>
      <c r="H230" s="574">
        <v>0</v>
      </c>
      <c r="I230" s="574">
        <v>0</v>
      </c>
      <c r="J230" s="574">
        <v>0</v>
      </c>
      <c r="K230" s="574">
        <v>0</v>
      </c>
      <c r="L230" s="574">
        <v>0</v>
      </c>
      <c r="M230" s="62">
        <f t="shared" si="30"/>
        <v>0.26704</v>
      </c>
      <c r="N230" s="69">
        <v>999</v>
      </c>
      <c r="O230" s="158" t="s">
        <v>289</v>
      </c>
      <c r="P230" s="69"/>
      <c r="Q230" s="62"/>
      <c r="R230" s="62"/>
      <c r="T230" s="667">
        <v>0</v>
      </c>
      <c r="U230" s="667">
        <v>0</v>
      </c>
      <c r="V230" s="667">
        <v>0</v>
      </c>
      <c r="W230" s="131">
        <f t="shared" si="31"/>
        <v>0</v>
      </c>
      <c r="X230" s="158" t="s">
        <v>289</v>
      </c>
      <c r="Z230" s="62">
        <f t="shared" si="27"/>
        <v>0.26704</v>
      </c>
      <c r="AB230" s="62"/>
      <c r="AC230" s="62"/>
    </row>
    <row r="231" spans="1:29" s="135" customFormat="1" ht="13" outlineLevel="1">
      <c r="A231" s="110"/>
      <c r="B231" s="665">
        <v>3209000025</v>
      </c>
      <c r="C231" s="574" t="s">
        <v>339</v>
      </c>
      <c r="D231" s="574">
        <v>0</v>
      </c>
      <c r="E231" s="574">
        <v>0</v>
      </c>
      <c r="F231" s="574">
        <v>0</v>
      </c>
      <c r="G231" s="574">
        <v>1.5314000000000001</v>
      </c>
      <c r="H231" s="574">
        <v>0</v>
      </c>
      <c r="I231" s="574">
        <v>0</v>
      </c>
      <c r="J231" s="574">
        <v>0</v>
      </c>
      <c r="K231" s="574">
        <v>0</v>
      </c>
      <c r="L231" s="574">
        <v>0</v>
      </c>
      <c r="M231" s="62">
        <f t="shared" si="30"/>
        <v>1.5314000000000001</v>
      </c>
      <c r="N231" s="69">
        <v>999</v>
      </c>
      <c r="O231" s="158" t="s">
        <v>289</v>
      </c>
      <c r="P231" s="69"/>
      <c r="Q231" s="62"/>
      <c r="R231" s="62"/>
      <c r="T231" s="667">
        <v>0</v>
      </c>
      <c r="U231" s="667">
        <v>0</v>
      </c>
      <c r="V231" s="667">
        <v>0</v>
      </c>
      <c r="W231" s="131">
        <f t="shared" si="31"/>
        <v>0</v>
      </c>
      <c r="X231" s="158" t="s">
        <v>289</v>
      </c>
      <c r="Z231" s="62">
        <f t="shared" si="27"/>
        <v>1.5314000000000001</v>
      </c>
      <c r="AB231" s="62"/>
      <c r="AC231" s="62"/>
    </row>
    <row r="232" spans="1:29" s="135" customFormat="1" ht="13" outlineLevel="1">
      <c r="A232" s="110"/>
      <c r="B232" s="665">
        <v>3209000037</v>
      </c>
      <c r="C232" s="574" t="s">
        <v>673</v>
      </c>
      <c r="D232" s="574">
        <v>0</v>
      </c>
      <c r="E232" s="574">
        <v>0</v>
      </c>
      <c r="F232" s="574">
        <v>0</v>
      </c>
      <c r="G232" s="574">
        <v>0</v>
      </c>
      <c r="H232" s="574">
        <v>0</v>
      </c>
      <c r="I232" s="574">
        <v>0</v>
      </c>
      <c r="J232" s="574">
        <v>0</v>
      </c>
      <c r="K232" s="574">
        <v>0</v>
      </c>
      <c r="L232" s="574">
        <v>0</v>
      </c>
      <c r="M232" s="62">
        <f t="shared" si="30"/>
        <v>0</v>
      </c>
      <c r="N232" s="69"/>
      <c r="O232" s="158"/>
      <c r="P232" s="69"/>
      <c r="Q232" s="62"/>
      <c r="R232" s="62"/>
      <c r="T232" s="667">
        <v>13.6</v>
      </c>
      <c r="U232" s="667">
        <v>0</v>
      </c>
      <c r="V232" s="667">
        <v>0</v>
      </c>
      <c r="W232" s="131">
        <f t="shared" si="31"/>
        <v>13.6</v>
      </c>
      <c r="X232" s="158"/>
      <c r="Z232" s="62">
        <f t="shared" si="27"/>
        <v>13.6</v>
      </c>
      <c r="AB232" s="62"/>
      <c r="AC232" s="62"/>
    </row>
    <row r="233" spans="1:29" s="135" customFormat="1" ht="13" outlineLevel="1">
      <c r="A233" s="110"/>
      <c r="B233" s="665">
        <v>3205090050</v>
      </c>
      <c r="C233" s="574" t="s">
        <v>230</v>
      </c>
      <c r="D233" s="574">
        <v>347.57144</v>
      </c>
      <c r="E233" s="574">
        <v>457.22469999999998</v>
      </c>
      <c r="F233" s="574">
        <v>2821.5417299999999</v>
      </c>
      <c r="G233" s="574">
        <v>173.18329</v>
      </c>
      <c r="H233" s="574">
        <v>102.08093000000001</v>
      </c>
      <c r="I233" s="574">
        <v>2721.2054900000003</v>
      </c>
      <c r="J233" s="574">
        <v>900.53986999999995</v>
      </c>
      <c r="K233" s="574">
        <v>288.96037000000001</v>
      </c>
      <c r="L233" s="574">
        <v>3633.3346200000001</v>
      </c>
      <c r="M233" s="62">
        <f t="shared" si="30"/>
        <v>11445.64244</v>
      </c>
      <c r="N233" s="69">
        <v>606</v>
      </c>
      <c r="O233" s="158" t="s">
        <v>286</v>
      </c>
      <c r="P233" s="69"/>
      <c r="Q233" s="62"/>
      <c r="R233" s="62"/>
      <c r="T233" s="667">
        <v>3103.6083899999999</v>
      </c>
      <c r="U233" s="667">
        <v>184.63428000000002</v>
      </c>
      <c r="V233" s="667">
        <v>26458.306920000003</v>
      </c>
      <c r="W233" s="131">
        <f t="shared" si="31"/>
        <v>29746.549590000002</v>
      </c>
      <c r="X233" s="158" t="s">
        <v>286</v>
      </c>
      <c r="Z233" s="62">
        <f t="shared" si="27"/>
        <v>41192.192030000006</v>
      </c>
      <c r="AB233" s="62"/>
      <c r="AC233" s="62"/>
    </row>
    <row r="234" spans="1:29" s="135" customFormat="1" ht="13" outlineLevel="1">
      <c r="A234" s="110"/>
      <c r="B234" s="665">
        <v>3205090063</v>
      </c>
      <c r="C234" s="574" t="s">
        <v>231</v>
      </c>
      <c r="D234" s="574">
        <v>0</v>
      </c>
      <c r="E234" s="574">
        <v>0</v>
      </c>
      <c r="F234" s="574">
        <v>117.2</v>
      </c>
      <c r="G234" s="574">
        <v>0</v>
      </c>
      <c r="H234" s="574">
        <v>0</v>
      </c>
      <c r="I234" s="574">
        <v>0</v>
      </c>
      <c r="J234" s="574">
        <v>0</v>
      </c>
      <c r="K234" s="574">
        <v>0</v>
      </c>
      <c r="L234" s="574">
        <v>0</v>
      </c>
      <c r="M234" s="62">
        <f t="shared" si="30"/>
        <v>117.2</v>
      </c>
      <c r="N234" s="69">
        <v>606</v>
      </c>
      <c r="O234" s="158" t="s">
        <v>286</v>
      </c>
      <c r="P234" s="69"/>
      <c r="Q234" s="62"/>
      <c r="R234" s="62"/>
      <c r="T234" s="667">
        <v>0</v>
      </c>
      <c r="U234" s="667">
        <v>0</v>
      </c>
      <c r="V234" s="667">
        <v>0</v>
      </c>
      <c r="W234" s="131">
        <f t="shared" si="31"/>
        <v>0</v>
      </c>
      <c r="X234" s="158" t="s">
        <v>286</v>
      </c>
      <c r="Z234" s="62">
        <f t="shared" ref="Z234:Z257" si="32">W234+M234</f>
        <v>117.2</v>
      </c>
      <c r="AB234" s="62"/>
      <c r="AC234" s="62"/>
    </row>
    <row r="235" spans="1:29" s="135" customFormat="1" ht="13" outlineLevel="1">
      <c r="A235" s="110"/>
      <c r="B235" s="665">
        <v>3205090062</v>
      </c>
      <c r="C235" s="574" t="s">
        <v>232</v>
      </c>
      <c r="D235" s="574">
        <v>1373.85</v>
      </c>
      <c r="E235" s="574">
        <v>2389.0390000000002</v>
      </c>
      <c r="F235" s="574">
        <v>2100.9810000000002</v>
      </c>
      <c r="G235" s="574">
        <v>321.625</v>
      </c>
      <c r="H235" s="574">
        <v>6.4880000000000004</v>
      </c>
      <c r="I235" s="574">
        <v>306.274</v>
      </c>
      <c r="J235" s="574">
        <v>2752.183</v>
      </c>
      <c r="K235" s="574">
        <v>1906.7629999999999</v>
      </c>
      <c r="L235" s="574">
        <v>0</v>
      </c>
      <c r="M235" s="62">
        <f t="shared" si="30"/>
        <v>11157.203000000001</v>
      </c>
      <c r="N235" s="69">
        <v>606</v>
      </c>
      <c r="O235" s="158" t="s">
        <v>286</v>
      </c>
      <c r="P235" s="69"/>
      <c r="Q235" s="62"/>
      <c r="R235" s="62"/>
      <c r="T235" s="667">
        <v>0</v>
      </c>
      <c r="U235" s="667">
        <v>0</v>
      </c>
      <c r="V235" s="667">
        <v>227.35400000000001</v>
      </c>
      <c r="W235" s="131">
        <f t="shared" si="31"/>
        <v>227.35400000000001</v>
      </c>
      <c r="X235" s="158" t="s">
        <v>286</v>
      </c>
      <c r="Z235" s="62">
        <f t="shared" si="32"/>
        <v>11384.557000000001</v>
      </c>
      <c r="AB235" s="62"/>
      <c r="AC235" s="62"/>
    </row>
    <row r="236" spans="1:29" s="135" customFormat="1" ht="13" outlineLevel="1">
      <c r="A236" s="110"/>
      <c r="B236" s="665">
        <v>3205090064</v>
      </c>
      <c r="C236" s="574" t="s">
        <v>233</v>
      </c>
      <c r="D236" s="574">
        <v>890.11953000000005</v>
      </c>
      <c r="E236" s="574">
        <v>804.27152999999998</v>
      </c>
      <c r="F236" s="574">
        <v>937.50353000000007</v>
      </c>
      <c r="G236" s="574">
        <v>910.87413000000004</v>
      </c>
      <c r="H236" s="574">
        <v>891.65093000000002</v>
      </c>
      <c r="I236" s="574">
        <v>863.03493000000003</v>
      </c>
      <c r="J236" s="574">
        <v>891.65093000000002</v>
      </c>
      <c r="K236" s="574">
        <v>891.65093000000002</v>
      </c>
      <c r="L236" s="574">
        <v>879.0849300000001</v>
      </c>
      <c r="M236" s="62">
        <f t="shared" si="30"/>
        <v>7959.8413699999992</v>
      </c>
      <c r="N236" s="69">
        <v>606</v>
      </c>
      <c r="O236" s="158" t="s">
        <v>286</v>
      </c>
      <c r="P236" s="69"/>
      <c r="Q236" s="62"/>
      <c r="R236" s="62"/>
      <c r="T236" s="667">
        <v>891.65093000000002</v>
      </c>
      <c r="U236" s="667">
        <v>918.48993000000007</v>
      </c>
      <c r="V236" s="667">
        <v>895.11293000000001</v>
      </c>
      <c r="W236" s="131">
        <f t="shared" si="31"/>
        <v>2705.2537899999998</v>
      </c>
      <c r="X236" s="158" t="s">
        <v>286</v>
      </c>
      <c r="Z236" s="62">
        <f t="shared" si="32"/>
        <v>10665.095159999999</v>
      </c>
      <c r="AB236" s="62"/>
      <c r="AC236" s="62"/>
    </row>
    <row r="237" spans="1:29" s="135" customFormat="1" ht="13" outlineLevel="1">
      <c r="A237" s="110"/>
      <c r="B237" s="665">
        <v>3205090080</v>
      </c>
      <c r="C237" s="574" t="s">
        <v>234</v>
      </c>
      <c r="D237" s="574">
        <v>1.50979</v>
      </c>
      <c r="E237" s="574">
        <v>12.27045</v>
      </c>
      <c r="F237" s="574">
        <v>1.1834</v>
      </c>
      <c r="G237" s="574">
        <v>10.28645</v>
      </c>
      <c r="H237" s="574">
        <v>16.243970000000001</v>
      </c>
      <c r="I237" s="574">
        <v>25.764099999999999</v>
      </c>
      <c r="J237" s="574">
        <v>14.59357</v>
      </c>
      <c r="K237" s="574">
        <v>4.7021100000000002</v>
      </c>
      <c r="L237" s="574">
        <v>3.6641999999999997</v>
      </c>
      <c r="M237" s="62">
        <f t="shared" si="30"/>
        <v>90.218040000000002</v>
      </c>
      <c r="N237" s="69">
        <v>606</v>
      </c>
      <c r="O237" s="158" t="s">
        <v>286</v>
      </c>
      <c r="P237" s="69"/>
      <c r="Q237" s="62"/>
      <c r="R237" s="62"/>
      <c r="T237" s="667">
        <v>11.96907</v>
      </c>
      <c r="U237" s="667">
        <v>0.19836000000000001</v>
      </c>
      <c r="V237" s="667">
        <v>1.31253</v>
      </c>
      <c r="W237" s="131">
        <f t="shared" si="31"/>
        <v>13.47996</v>
      </c>
      <c r="X237" s="158" t="s">
        <v>286</v>
      </c>
      <c r="Z237" s="62">
        <f t="shared" si="32"/>
        <v>103.69800000000001</v>
      </c>
      <c r="AB237" s="62"/>
      <c r="AC237" s="62"/>
    </row>
    <row r="238" spans="1:29" s="135" customFormat="1" ht="13" outlineLevel="1">
      <c r="A238" s="110"/>
      <c r="B238" s="665">
        <v>3205090160</v>
      </c>
      <c r="C238" s="574" t="s">
        <v>674</v>
      </c>
      <c r="D238" s="574">
        <v>0</v>
      </c>
      <c r="E238" s="574">
        <v>0</v>
      </c>
      <c r="F238" s="574">
        <v>0</v>
      </c>
      <c r="G238" s="574">
        <v>0</v>
      </c>
      <c r="H238" s="574">
        <v>0</v>
      </c>
      <c r="I238" s="574">
        <v>0</v>
      </c>
      <c r="J238" s="574">
        <v>0</v>
      </c>
      <c r="K238" s="574">
        <v>0</v>
      </c>
      <c r="L238" s="574">
        <v>0</v>
      </c>
      <c r="M238" s="62">
        <f t="shared" si="30"/>
        <v>0</v>
      </c>
      <c r="N238" s="69"/>
      <c r="O238" s="158"/>
      <c r="P238" s="69"/>
      <c r="Q238" s="62"/>
      <c r="R238" s="62"/>
      <c r="T238" s="667">
        <v>692</v>
      </c>
      <c r="U238" s="667">
        <v>0</v>
      </c>
      <c r="V238" s="667">
        <v>0</v>
      </c>
      <c r="W238" s="131">
        <f t="shared" si="31"/>
        <v>692</v>
      </c>
      <c r="X238" s="158"/>
      <c r="Z238" s="62">
        <f t="shared" si="32"/>
        <v>692</v>
      </c>
      <c r="AB238" s="62"/>
      <c r="AC238" s="62"/>
    </row>
    <row r="239" spans="1:29" s="135" customFormat="1" ht="13" outlineLevel="1">
      <c r="A239" s="110"/>
      <c r="B239" s="665">
        <v>3205090180</v>
      </c>
      <c r="C239" s="574" t="s">
        <v>235</v>
      </c>
      <c r="D239" s="574">
        <v>0</v>
      </c>
      <c r="E239" s="574">
        <v>0</v>
      </c>
      <c r="F239" s="574">
        <v>169.97399999999999</v>
      </c>
      <c r="G239" s="574">
        <v>0</v>
      </c>
      <c r="H239" s="574">
        <v>0.31595000000000001</v>
      </c>
      <c r="I239" s="574">
        <v>0</v>
      </c>
      <c r="J239" s="574">
        <v>0</v>
      </c>
      <c r="K239" s="574">
        <v>2.7329999999999997E-2</v>
      </c>
      <c r="L239" s="574">
        <v>5.9856800000000003</v>
      </c>
      <c r="M239" s="62">
        <f t="shared" si="30"/>
        <v>176.30295999999998</v>
      </c>
      <c r="N239" s="69">
        <v>606</v>
      </c>
      <c r="O239" s="158" t="s">
        <v>286</v>
      </c>
      <c r="P239" s="69"/>
      <c r="Q239" s="62"/>
      <c r="R239" s="62"/>
      <c r="T239" s="667">
        <v>0</v>
      </c>
      <c r="U239" s="667">
        <v>1.2509400000000002</v>
      </c>
      <c r="V239" s="667">
        <v>251.83154999999999</v>
      </c>
      <c r="W239" s="131">
        <f t="shared" si="31"/>
        <v>253.08249000000001</v>
      </c>
      <c r="X239" s="158" t="s">
        <v>286</v>
      </c>
      <c r="Z239" s="62">
        <f t="shared" si="32"/>
        <v>429.38544999999999</v>
      </c>
      <c r="AB239" s="62"/>
      <c r="AC239" s="62"/>
    </row>
    <row r="240" spans="1:29" s="135" customFormat="1" ht="13" outlineLevel="1">
      <c r="A240" s="110"/>
      <c r="B240" s="665">
        <v>3208000200</v>
      </c>
      <c r="C240" s="574" t="s">
        <v>236</v>
      </c>
      <c r="D240" s="574">
        <v>0</v>
      </c>
      <c r="E240" s="574">
        <v>0</v>
      </c>
      <c r="F240" s="574">
        <v>16.66</v>
      </c>
      <c r="G240" s="574">
        <v>20</v>
      </c>
      <c r="H240" s="574">
        <v>0</v>
      </c>
      <c r="I240" s="574">
        <v>1231.7360000000001</v>
      </c>
      <c r="J240" s="574">
        <v>0</v>
      </c>
      <c r="K240" s="574">
        <v>1352.4449999999999</v>
      </c>
      <c r="L240" s="574">
        <v>23.248000000000001</v>
      </c>
      <c r="M240" s="62">
        <f t="shared" si="30"/>
        <v>2644.0890000000004</v>
      </c>
      <c r="N240" s="69">
        <v>999</v>
      </c>
      <c r="O240" s="158" t="s">
        <v>289</v>
      </c>
      <c r="P240" s="69"/>
      <c r="Q240" s="62"/>
      <c r="R240" s="62"/>
      <c r="T240" s="667">
        <v>160</v>
      </c>
      <c r="U240" s="667">
        <v>265.2</v>
      </c>
      <c r="V240" s="667">
        <v>240.1</v>
      </c>
      <c r="W240" s="131">
        <f t="shared" si="31"/>
        <v>665.3</v>
      </c>
      <c r="X240" s="158" t="s">
        <v>289</v>
      </c>
      <c r="Z240" s="62">
        <f t="shared" si="32"/>
        <v>3309.3890000000001</v>
      </c>
      <c r="AB240" s="62"/>
      <c r="AC240" s="62"/>
    </row>
    <row r="241" spans="1:29" s="135" customFormat="1" ht="13" outlineLevel="1">
      <c r="A241" s="110"/>
      <c r="B241" s="665">
        <v>3299000032</v>
      </c>
      <c r="C241" s="574" t="s">
        <v>237</v>
      </c>
      <c r="D241" s="574">
        <v>-15.06737</v>
      </c>
      <c r="E241" s="574">
        <v>-17.640909999999998</v>
      </c>
      <c r="F241" s="574">
        <v>-15.98598</v>
      </c>
      <c r="G241" s="574">
        <v>-21.273779999999999</v>
      </c>
      <c r="H241" s="574">
        <v>-11.42806</v>
      </c>
      <c r="I241" s="574">
        <v>-16.989979999999999</v>
      </c>
      <c r="J241" s="574">
        <v>-21.437159999999999</v>
      </c>
      <c r="K241" s="574">
        <v>-26.18451</v>
      </c>
      <c r="L241" s="574">
        <v>-23.754750000000001</v>
      </c>
      <c r="M241" s="62">
        <f t="shared" si="30"/>
        <v>-169.76249999999999</v>
      </c>
      <c r="N241" s="69">
        <v>606</v>
      </c>
      <c r="O241" s="158" t="s">
        <v>286</v>
      </c>
      <c r="P241" s="69"/>
      <c r="Q241" s="62"/>
      <c r="R241" s="62"/>
      <c r="T241" s="667">
        <v>-21.171659999999999</v>
      </c>
      <c r="U241" s="667">
        <v>-29.439959999999999</v>
      </c>
      <c r="V241" s="667">
        <v>-27.194830000000003</v>
      </c>
      <c r="W241" s="131">
        <f t="shared" si="31"/>
        <v>-77.806450000000012</v>
      </c>
      <c r="X241" s="158" t="s">
        <v>286</v>
      </c>
      <c r="Z241" s="62">
        <f t="shared" si="32"/>
        <v>-247.56895</v>
      </c>
      <c r="AB241" s="62"/>
      <c r="AC241" s="62"/>
    </row>
    <row r="242" spans="1:29" s="135" customFormat="1" ht="13" outlineLevel="1">
      <c r="A242" s="110"/>
      <c r="B242" s="665">
        <v>3299000710</v>
      </c>
      <c r="C242" s="574" t="s">
        <v>340</v>
      </c>
      <c r="D242" s="574">
        <v>0</v>
      </c>
      <c r="E242" s="574">
        <v>0</v>
      </c>
      <c r="F242" s="574">
        <v>0</v>
      </c>
      <c r="G242" s="574">
        <v>0</v>
      </c>
      <c r="H242" s="574">
        <v>0</v>
      </c>
      <c r="I242" s="574">
        <v>0</v>
      </c>
      <c r="J242" s="574">
        <v>33</v>
      </c>
      <c r="K242" s="574">
        <v>-33</v>
      </c>
      <c r="L242" s="574">
        <v>0</v>
      </c>
      <c r="M242" s="62">
        <f t="shared" si="30"/>
        <v>0</v>
      </c>
      <c r="N242" s="69">
        <v>606</v>
      </c>
      <c r="O242" s="158" t="s">
        <v>286</v>
      </c>
      <c r="P242" s="69"/>
      <c r="Q242" s="62"/>
      <c r="R242" s="62"/>
      <c r="T242" s="667">
        <v>0</v>
      </c>
      <c r="U242" s="667">
        <v>0</v>
      </c>
      <c r="V242" s="667">
        <v>0</v>
      </c>
      <c r="W242" s="131">
        <f t="shared" si="31"/>
        <v>0</v>
      </c>
      <c r="X242" s="158" t="s">
        <v>286</v>
      </c>
      <c r="Z242" s="62">
        <f t="shared" si="32"/>
        <v>0</v>
      </c>
      <c r="AB242" s="62"/>
      <c r="AC242" s="62"/>
    </row>
    <row r="243" spans="1:29" s="135" customFormat="1" ht="13" outlineLevel="1">
      <c r="A243" s="110"/>
      <c r="B243" s="665">
        <v>3299000706</v>
      </c>
      <c r="C243" s="574" t="s">
        <v>341</v>
      </c>
      <c r="D243" s="574">
        <v>0</v>
      </c>
      <c r="E243" s="574">
        <v>0</v>
      </c>
      <c r="F243" s="574">
        <v>0</v>
      </c>
      <c r="G243" s="574">
        <v>0</v>
      </c>
      <c r="H243" s="574">
        <v>0</v>
      </c>
      <c r="I243" s="574">
        <v>0</v>
      </c>
      <c r="J243" s="574">
        <v>0</v>
      </c>
      <c r="K243" s="574">
        <v>2.1235399999999998</v>
      </c>
      <c r="L243" s="574">
        <v>0</v>
      </c>
      <c r="M243" s="62">
        <f t="shared" si="30"/>
        <v>2.1235399999999998</v>
      </c>
      <c r="N243" s="69">
        <v>606</v>
      </c>
      <c r="O243" s="158" t="s">
        <v>286</v>
      </c>
      <c r="P243" s="69"/>
      <c r="Q243" s="62"/>
      <c r="R243" s="62"/>
      <c r="T243" s="667">
        <v>0</v>
      </c>
      <c r="U243" s="667">
        <v>0</v>
      </c>
      <c r="V243" s="667">
        <v>0</v>
      </c>
      <c r="W243" s="131">
        <f t="shared" si="31"/>
        <v>0</v>
      </c>
      <c r="X243" s="158" t="s">
        <v>286</v>
      </c>
      <c r="Z243" s="62">
        <f t="shared" si="32"/>
        <v>2.1235399999999998</v>
      </c>
      <c r="AB243" s="62"/>
      <c r="AC243" s="62"/>
    </row>
    <row r="244" spans="1:29" s="135" customFormat="1" ht="13" outlineLevel="1">
      <c r="A244" s="110"/>
      <c r="B244" s="665">
        <v>3201030050</v>
      </c>
      <c r="C244" s="574" t="s">
        <v>238</v>
      </c>
      <c r="D244" s="574">
        <v>27.713090000000001</v>
      </c>
      <c r="E244" s="574">
        <v>27.353670000000001</v>
      </c>
      <c r="F244" s="574">
        <v>28.180220000000002</v>
      </c>
      <c r="G244" s="574">
        <v>26.498939999999997</v>
      </c>
      <c r="H244" s="574">
        <v>29.447969999999998</v>
      </c>
      <c r="I244" s="574">
        <v>28.85519</v>
      </c>
      <c r="J244" s="574">
        <v>71.609920000000002</v>
      </c>
      <c r="K244" s="574">
        <v>39.981839999999998</v>
      </c>
      <c r="L244" s="574">
        <v>31.312539999999998</v>
      </c>
      <c r="M244" s="62">
        <f t="shared" si="30"/>
        <v>310.95337999999998</v>
      </c>
      <c r="N244" s="69">
        <v>999</v>
      </c>
      <c r="O244" s="158" t="s">
        <v>289</v>
      </c>
      <c r="P244" s="69"/>
      <c r="Q244" s="62">
        <f>VLOOKUP(B244,$B$373:$M$430,12,0)</f>
        <v>212.94534000000002</v>
      </c>
      <c r="R244" s="62"/>
      <c r="T244" s="667">
        <v>32.546550000000003</v>
      </c>
      <c r="U244" s="667">
        <v>46.197069999999997</v>
      </c>
      <c r="V244" s="667">
        <v>38.225880000000004</v>
      </c>
      <c r="W244" s="131">
        <f t="shared" si="31"/>
        <v>116.9695</v>
      </c>
      <c r="X244" s="158" t="s">
        <v>289</v>
      </c>
      <c r="Z244" s="62">
        <f t="shared" si="32"/>
        <v>427.92287999999996</v>
      </c>
      <c r="AB244" s="62">
        <f>VLOOKUP(B244,$B$373:$R$430,17,0)</f>
        <v>294.43303000000003</v>
      </c>
      <c r="AC244" s="62"/>
    </row>
    <row r="245" spans="1:29" s="135" customFormat="1" ht="13" outlineLevel="1">
      <c r="A245" s="110"/>
      <c r="B245" s="665">
        <v>3212010000</v>
      </c>
      <c r="C245" s="574" t="s">
        <v>239</v>
      </c>
      <c r="D245" s="574">
        <v>3362.165</v>
      </c>
      <c r="E245" s="574">
        <v>3362.165</v>
      </c>
      <c r="F245" s="574">
        <v>3362.165</v>
      </c>
      <c r="G245" s="574">
        <v>3362.165</v>
      </c>
      <c r="H245" s="574">
        <v>-25475.718000000001</v>
      </c>
      <c r="I245" s="574">
        <v>3362.165</v>
      </c>
      <c r="J245" s="574">
        <v>3887.9969999999998</v>
      </c>
      <c r="K245" s="574">
        <v>4397.63</v>
      </c>
      <c r="L245" s="574">
        <v>4397.63</v>
      </c>
      <c r="M245" s="62">
        <f t="shared" si="30"/>
        <v>4018.3639999999996</v>
      </c>
      <c r="N245" s="69">
        <v>301</v>
      </c>
      <c r="O245" s="158" t="s">
        <v>286</v>
      </c>
      <c r="P245" s="69"/>
      <c r="Q245" s="62"/>
      <c r="R245" s="62"/>
      <c r="T245" s="667">
        <v>4397.63</v>
      </c>
      <c r="U245" s="667">
        <v>4397.63</v>
      </c>
      <c r="V245" s="667">
        <v>4397.63</v>
      </c>
      <c r="W245" s="131">
        <f t="shared" si="31"/>
        <v>13192.89</v>
      </c>
      <c r="X245" s="158" t="s">
        <v>286</v>
      </c>
      <c r="Z245" s="62">
        <f t="shared" si="32"/>
        <v>17211.254000000001</v>
      </c>
      <c r="AB245" s="62"/>
      <c r="AC245" s="62"/>
    </row>
    <row r="246" spans="1:29" s="135" customFormat="1" ht="13" outlineLevel="1">
      <c r="A246" s="110"/>
      <c r="B246" s="665">
        <v>3212010004</v>
      </c>
      <c r="C246" s="574" t="s">
        <v>240</v>
      </c>
      <c r="D246" s="574">
        <v>981.41600000000005</v>
      </c>
      <c r="E246" s="574">
        <v>981.41600000000005</v>
      </c>
      <c r="F246" s="574">
        <v>981.41600000000005</v>
      </c>
      <c r="G246" s="574">
        <v>981.41600000000005</v>
      </c>
      <c r="H246" s="574">
        <v>-7277.7539999999999</v>
      </c>
      <c r="I246" s="574">
        <v>981.41600000000005</v>
      </c>
      <c r="J246" s="574">
        <v>1236.9000000000001</v>
      </c>
      <c r="K246" s="574">
        <v>1385.662</v>
      </c>
      <c r="L246" s="574">
        <v>1385.662</v>
      </c>
      <c r="M246" s="62">
        <f t="shared" si="30"/>
        <v>1637.5500000000006</v>
      </c>
      <c r="N246" s="69">
        <v>301</v>
      </c>
      <c r="O246" s="158" t="s">
        <v>286</v>
      </c>
      <c r="P246" s="69"/>
      <c r="Q246" s="62"/>
      <c r="R246" s="62"/>
      <c r="T246" s="667">
        <v>1385.662</v>
      </c>
      <c r="U246" s="667">
        <v>1385.662</v>
      </c>
      <c r="V246" s="667">
        <v>1385.662</v>
      </c>
      <c r="W246" s="131">
        <f t="shared" si="31"/>
        <v>4156.9859999999999</v>
      </c>
      <c r="X246" s="158" t="s">
        <v>286</v>
      </c>
      <c r="Z246" s="62">
        <f t="shared" si="32"/>
        <v>5794.5360000000001</v>
      </c>
      <c r="AB246" s="62"/>
      <c r="AC246" s="62"/>
    </row>
    <row r="247" spans="1:29" s="58" customFormat="1" ht="13">
      <c r="A247" s="109"/>
      <c r="B247" s="666"/>
      <c r="C247" s="577" t="s">
        <v>54</v>
      </c>
      <c r="D247" s="577">
        <f t="shared" ref="D247:M247" si="33">SUM(D161:D246)</f>
        <v>183231.48530999999</v>
      </c>
      <c r="E247" s="577">
        <f t="shared" si="33"/>
        <v>185791.40694000002</v>
      </c>
      <c r="F247" s="577">
        <f t="shared" si="33"/>
        <v>361437.85414999997</v>
      </c>
      <c r="G247" s="577">
        <f t="shared" si="33"/>
        <v>210875.75998999999</v>
      </c>
      <c r="H247" s="577">
        <f t="shared" si="33"/>
        <v>153309.09093000003</v>
      </c>
      <c r="I247" s="577">
        <f t="shared" si="33"/>
        <v>245917.61315999986</v>
      </c>
      <c r="J247" s="577">
        <f t="shared" si="33"/>
        <v>426555.84729999991</v>
      </c>
      <c r="K247" s="577">
        <f t="shared" si="33"/>
        <v>298751.84898000007</v>
      </c>
      <c r="L247" s="577">
        <f t="shared" si="33"/>
        <v>344123.29830000002</v>
      </c>
      <c r="M247" s="577">
        <f t="shared" si="33"/>
        <v>2409994.2050600001</v>
      </c>
      <c r="N247" s="69"/>
      <c r="O247" s="158"/>
      <c r="P247" s="69"/>
      <c r="Q247" s="62"/>
      <c r="R247" s="62"/>
      <c r="T247" s="668">
        <f>SUM(T161:T246)</f>
        <v>274425.01301000005</v>
      </c>
      <c r="U247" s="668">
        <v>382295.99614000012</v>
      </c>
      <c r="V247" s="668">
        <v>369676.11024999985</v>
      </c>
      <c r="W247" s="59">
        <f t="shared" si="31"/>
        <v>1026397.1194</v>
      </c>
      <c r="X247" s="158"/>
      <c r="Z247" s="62">
        <f t="shared" si="32"/>
        <v>3436391.3244599998</v>
      </c>
      <c r="AB247" s="62"/>
      <c r="AC247" s="62"/>
    </row>
    <row r="248" spans="1:29" s="58" customFormat="1" ht="13">
      <c r="A248" s="109"/>
      <c r="B248" s="666"/>
      <c r="C248" s="577" t="s">
        <v>241</v>
      </c>
      <c r="D248" s="577">
        <f t="shared" ref="D248:M248" si="34">D247+D160+D153</f>
        <v>185894.09845999998</v>
      </c>
      <c r="E248" s="577">
        <f t="shared" si="34"/>
        <v>188512.70622000002</v>
      </c>
      <c r="F248" s="577">
        <f t="shared" si="34"/>
        <v>364504.77159999998</v>
      </c>
      <c r="G248" s="577">
        <f t="shared" si="34"/>
        <v>214643.60571999999</v>
      </c>
      <c r="H248" s="577">
        <f t="shared" si="34"/>
        <v>156508.14439000003</v>
      </c>
      <c r="I248" s="577">
        <f t="shared" si="34"/>
        <v>249054.71655999986</v>
      </c>
      <c r="J248" s="577">
        <f t="shared" si="34"/>
        <v>431528.04180999991</v>
      </c>
      <c r="K248" s="577">
        <f t="shared" si="34"/>
        <v>305045.90643000009</v>
      </c>
      <c r="L248" s="577">
        <f t="shared" si="34"/>
        <v>350242.55252999999</v>
      </c>
      <c r="M248" s="577">
        <f t="shared" si="34"/>
        <v>2445934.54372</v>
      </c>
      <c r="N248" s="69"/>
      <c r="O248" s="158"/>
      <c r="P248" s="69"/>
      <c r="Q248" s="62"/>
      <c r="R248" s="62"/>
      <c r="T248" s="668">
        <f>T247+T160+T153</f>
        <v>280531.8405300001</v>
      </c>
      <c r="U248" s="668">
        <f>U247+U160+U153</f>
        <v>384943.97024000011</v>
      </c>
      <c r="V248" s="668">
        <f>V247+V160+V153</f>
        <v>375917.01468999987</v>
      </c>
      <c r="W248" s="59">
        <f t="shared" si="31"/>
        <v>1041392.8254600001</v>
      </c>
      <c r="X248" s="158"/>
      <c r="Z248" s="62">
        <f t="shared" si="32"/>
        <v>3487327.3691799999</v>
      </c>
      <c r="AB248" s="62"/>
      <c r="AC248" s="62"/>
    </row>
    <row r="249" spans="1:29" s="58" customFormat="1" ht="13">
      <c r="A249" s="109"/>
      <c r="B249" s="666"/>
      <c r="C249" s="577" t="s">
        <v>242</v>
      </c>
      <c r="D249" s="577">
        <f>D248</f>
        <v>185894.09845999998</v>
      </c>
      <c r="E249" s="577">
        <f t="shared" ref="E249:M249" si="35">E248</f>
        <v>188512.70622000002</v>
      </c>
      <c r="F249" s="577">
        <f t="shared" si="35"/>
        <v>364504.77159999998</v>
      </c>
      <c r="G249" s="577">
        <f t="shared" si="35"/>
        <v>214643.60571999999</v>
      </c>
      <c r="H249" s="577">
        <f t="shared" si="35"/>
        <v>156508.14439000003</v>
      </c>
      <c r="I249" s="577">
        <f t="shared" si="35"/>
        <v>249054.71655999986</v>
      </c>
      <c r="J249" s="577">
        <f t="shared" si="35"/>
        <v>431528.04180999991</v>
      </c>
      <c r="K249" s="577">
        <f t="shared" si="35"/>
        <v>305045.90643000009</v>
      </c>
      <c r="L249" s="577">
        <f t="shared" si="35"/>
        <v>350242.55252999999</v>
      </c>
      <c r="M249" s="577">
        <f t="shared" si="35"/>
        <v>2445934.54372</v>
      </c>
      <c r="N249" s="69"/>
      <c r="O249" s="158"/>
      <c r="P249" s="69"/>
      <c r="Q249" s="62"/>
      <c r="R249" s="62"/>
      <c r="T249" s="668">
        <f>T248</f>
        <v>280531.8405300001</v>
      </c>
      <c r="U249" s="668">
        <f t="shared" ref="U249:V249" si="36">U248</f>
        <v>384943.97024000011</v>
      </c>
      <c r="V249" s="668">
        <f t="shared" si="36"/>
        <v>375917.01468999987</v>
      </c>
      <c r="W249" s="59">
        <f t="shared" si="31"/>
        <v>1041392.8254600001</v>
      </c>
      <c r="X249" s="158"/>
      <c r="Z249" s="62">
        <f t="shared" si="32"/>
        <v>3487327.3691799999</v>
      </c>
      <c r="AB249" s="62"/>
      <c r="AC249" s="62"/>
    </row>
    <row r="250" spans="1:29" s="135" customFormat="1" ht="13" outlineLevel="1">
      <c r="A250" s="110"/>
      <c r="B250" s="665">
        <v>3205020010</v>
      </c>
      <c r="C250" s="574" t="s">
        <v>243</v>
      </c>
      <c r="D250" s="574">
        <v>0</v>
      </c>
      <c r="E250" s="574">
        <v>0</v>
      </c>
      <c r="F250" s="574">
        <v>1243.3720000000001</v>
      </c>
      <c r="G250" s="574">
        <v>0</v>
      </c>
      <c r="H250" s="574">
        <v>0</v>
      </c>
      <c r="I250" s="574">
        <v>1244.3109999999999</v>
      </c>
      <c r="J250" s="574">
        <v>0</v>
      </c>
      <c r="K250" s="574">
        <v>0</v>
      </c>
      <c r="L250" s="574">
        <v>1300.2829999999999</v>
      </c>
      <c r="M250" s="62">
        <f t="shared" si="30"/>
        <v>3787.9659999999999</v>
      </c>
      <c r="N250" s="69">
        <v>701</v>
      </c>
      <c r="O250" s="158" t="s">
        <v>292</v>
      </c>
      <c r="P250" s="69"/>
      <c r="Q250" s="62"/>
      <c r="R250" s="62"/>
      <c r="T250" s="667">
        <v>-417.20499999999998</v>
      </c>
      <c r="U250" s="667">
        <v>0</v>
      </c>
      <c r="V250" s="667">
        <v>1255.9749999999999</v>
      </c>
      <c r="W250" s="59">
        <f t="shared" si="31"/>
        <v>838.77</v>
      </c>
      <c r="X250" s="158" t="s">
        <v>292</v>
      </c>
      <c r="Z250" s="62">
        <f t="shared" si="32"/>
        <v>4626.7359999999999</v>
      </c>
      <c r="AB250" s="62"/>
      <c r="AC250" s="62"/>
    </row>
    <row r="251" spans="1:29" s="135" customFormat="1" ht="13" outlineLevel="1">
      <c r="A251" s="110"/>
      <c r="B251" s="665">
        <v>3205020020</v>
      </c>
      <c r="C251" s="574" t="s">
        <v>244</v>
      </c>
      <c r="D251" s="574">
        <v>75318.846999999994</v>
      </c>
      <c r="E251" s="574">
        <v>75318.846999999994</v>
      </c>
      <c r="F251" s="574">
        <v>68491.606</v>
      </c>
      <c r="G251" s="574">
        <v>75109.081000000006</v>
      </c>
      <c r="H251" s="574">
        <v>75109.081000000006</v>
      </c>
      <c r="I251" s="574">
        <v>68412.379000000001</v>
      </c>
      <c r="J251" s="574">
        <v>73617.929999999993</v>
      </c>
      <c r="K251" s="574">
        <v>76874.732000000004</v>
      </c>
      <c r="L251" s="574">
        <v>69756.767999999996</v>
      </c>
      <c r="M251" s="62">
        <f t="shared" si="30"/>
        <v>658009.27100000007</v>
      </c>
      <c r="N251" s="69">
        <v>701</v>
      </c>
      <c r="O251" s="158" t="s">
        <v>292</v>
      </c>
      <c r="P251" s="69"/>
      <c r="Q251" s="62"/>
      <c r="R251" s="62"/>
      <c r="T251" s="667">
        <v>76874.745999999999</v>
      </c>
      <c r="U251" s="667">
        <v>76874.747000000003</v>
      </c>
      <c r="V251" s="667">
        <v>70411.150999999998</v>
      </c>
      <c r="W251" s="59">
        <f t="shared" si="31"/>
        <v>224160.64400000003</v>
      </c>
      <c r="X251" s="158" t="s">
        <v>292</v>
      </c>
      <c r="Z251" s="62">
        <f t="shared" si="32"/>
        <v>882169.91500000004</v>
      </c>
      <c r="AB251" s="62"/>
      <c r="AC251" s="62"/>
    </row>
    <row r="252" spans="1:29" s="135" customFormat="1" ht="13" outlineLevel="1">
      <c r="A252" s="110"/>
      <c r="B252" s="665">
        <v>3205020030</v>
      </c>
      <c r="C252" s="574" t="s">
        <v>245</v>
      </c>
      <c r="D252" s="574">
        <v>2618.9785699999998</v>
      </c>
      <c r="E252" s="574">
        <v>0</v>
      </c>
      <c r="F252" s="574">
        <v>4898.1698099999994</v>
      </c>
      <c r="G252" s="574">
        <v>2536.4632900000001</v>
      </c>
      <c r="H252" s="574">
        <v>2566.5738199999996</v>
      </c>
      <c r="I252" s="574">
        <v>2489.1960800000002</v>
      </c>
      <c r="J252" s="574">
        <v>3843.87646</v>
      </c>
      <c r="K252" s="574">
        <v>1424.4898500000002</v>
      </c>
      <c r="L252" s="574">
        <v>2505.25423</v>
      </c>
      <c r="M252" s="62">
        <f t="shared" si="30"/>
        <v>22883.002109999998</v>
      </c>
      <c r="N252" s="69">
        <v>606</v>
      </c>
      <c r="O252" s="158" t="s">
        <v>286</v>
      </c>
      <c r="P252" s="69"/>
      <c r="Q252" s="62"/>
      <c r="R252" s="62"/>
      <c r="T252" s="667">
        <v>2634.8102400000002</v>
      </c>
      <c r="U252" s="667">
        <v>2474.9327499999999</v>
      </c>
      <c r="V252" s="667">
        <v>2582.1453099999999</v>
      </c>
      <c r="W252" s="59">
        <f t="shared" si="31"/>
        <v>7691.8883000000005</v>
      </c>
      <c r="X252" s="158" t="s">
        <v>286</v>
      </c>
      <c r="Z252" s="62">
        <f t="shared" si="32"/>
        <v>30574.89041</v>
      </c>
      <c r="AB252" s="62"/>
      <c r="AC252" s="62"/>
    </row>
    <row r="253" spans="1:29" s="135" customFormat="1" ht="13" outlineLevel="1">
      <c r="A253" s="110"/>
      <c r="B253" s="665">
        <v>3205020130</v>
      </c>
      <c r="C253" s="574" t="s">
        <v>246</v>
      </c>
      <c r="D253" s="574">
        <v>11091.69</v>
      </c>
      <c r="E253" s="574">
        <v>11091.69</v>
      </c>
      <c r="F253" s="574">
        <v>2543.1354900000001</v>
      </c>
      <c r="G253" s="574">
        <v>8242.1720000000005</v>
      </c>
      <c r="H253" s="574">
        <v>8242.1720000000005</v>
      </c>
      <c r="I253" s="574">
        <v>8242.1720000000005</v>
      </c>
      <c r="J253" s="574">
        <v>8274.1170000000002</v>
      </c>
      <c r="K253" s="574">
        <v>8274.1170000000002</v>
      </c>
      <c r="L253" s="574">
        <v>8274.1170000000002</v>
      </c>
      <c r="M253" s="62">
        <f t="shared" si="30"/>
        <v>74275.382490000004</v>
      </c>
      <c r="N253" s="69">
        <v>703</v>
      </c>
      <c r="O253" s="158" t="s">
        <v>292</v>
      </c>
      <c r="P253" s="69"/>
      <c r="Q253" s="62"/>
      <c r="R253" s="62"/>
      <c r="T253" s="667">
        <v>7766.3149999999996</v>
      </c>
      <c r="U253" s="667">
        <v>8274.1170000000002</v>
      </c>
      <c r="V253" s="667">
        <v>19227.273510000003</v>
      </c>
      <c r="W253" s="59">
        <f t="shared" si="31"/>
        <v>35267.70551</v>
      </c>
      <c r="X253" s="158" t="s">
        <v>292</v>
      </c>
      <c r="Z253" s="62">
        <f t="shared" si="32"/>
        <v>109543.088</v>
      </c>
      <c r="AB253" s="62"/>
      <c r="AC253" s="62"/>
    </row>
    <row r="254" spans="1:29" s="135" customFormat="1" ht="13" outlineLevel="1">
      <c r="A254" s="110"/>
      <c r="B254" s="665">
        <v>3205020160</v>
      </c>
      <c r="C254" s="574" t="s">
        <v>247</v>
      </c>
      <c r="D254" s="574">
        <v>48.614040000000003</v>
      </c>
      <c r="E254" s="574">
        <v>48.599330000000002</v>
      </c>
      <c r="F254" s="574">
        <v>-36.009180000000001</v>
      </c>
      <c r="G254" s="574">
        <v>169.36114999999998</v>
      </c>
      <c r="H254" s="574">
        <v>168.87549999999999</v>
      </c>
      <c r="I254" s="574">
        <v>-131.87376999999998</v>
      </c>
      <c r="J254" s="574">
        <v>230.59770999999998</v>
      </c>
      <c r="K254" s="574">
        <v>231.27873000000002</v>
      </c>
      <c r="L254" s="574">
        <v>-177.34866</v>
      </c>
      <c r="M254" s="62">
        <f t="shared" si="30"/>
        <v>552.09484999999995</v>
      </c>
      <c r="N254" s="69">
        <v>701</v>
      </c>
      <c r="O254" s="158" t="s">
        <v>292</v>
      </c>
      <c r="P254" s="69"/>
      <c r="Q254" s="62"/>
      <c r="R254" s="62"/>
      <c r="T254" s="667">
        <v>100.79492</v>
      </c>
      <c r="U254" s="667">
        <v>100.40617</v>
      </c>
      <c r="V254" s="667">
        <v>-41.819669999999995</v>
      </c>
      <c r="W254" s="59">
        <f t="shared" si="31"/>
        <v>159.38142000000002</v>
      </c>
      <c r="X254" s="158" t="s">
        <v>292</v>
      </c>
      <c r="Z254" s="62">
        <f t="shared" si="32"/>
        <v>711.47627</v>
      </c>
      <c r="AB254" s="62"/>
      <c r="AC254" s="62"/>
    </row>
    <row r="255" spans="1:29" s="135" customFormat="1" ht="13" outlineLevel="1">
      <c r="A255" s="110"/>
      <c r="B255" s="665">
        <v>3205020240</v>
      </c>
      <c r="C255" s="574" t="s">
        <v>248</v>
      </c>
      <c r="D255" s="574">
        <v>44.457549999999998</v>
      </c>
      <c r="E255" s="574">
        <v>40.344000000000001</v>
      </c>
      <c r="F255" s="574">
        <v>10.51667</v>
      </c>
      <c r="G255" s="574">
        <v>46.518929999999997</v>
      </c>
      <c r="H255" s="574">
        <v>59.250840000000004</v>
      </c>
      <c r="I255" s="574">
        <v>12.794799999999999</v>
      </c>
      <c r="J255" s="574">
        <v>80.540909999999997</v>
      </c>
      <c r="K255" s="574">
        <v>63.315919999999998</v>
      </c>
      <c r="L255" s="574">
        <v>50.187490000000004</v>
      </c>
      <c r="M255" s="62">
        <f t="shared" si="30"/>
        <v>407.92711000000008</v>
      </c>
      <c r="N255" s="69">
        <v>701</v>
      </c>
      <c r="O255" s="158" t="s">
        <v>292</v>
      </c>
      <c r="P255" s="69"/>
      <c r="Q255" s="62"/>
      <c r="R255" s="62"/>
      <c r="T255" s="667">
        <v>2.4814000000000007</v>
      </c>
      <c r="U255" s="667">
        <v>35.389710000000001</v>
      </c>
      <c r="V255" s="667">
        <v>10.955020000000001</v>
      </c>
      <c r="W255" s="59">
        <f t="shared" si="31"/>
        <v>48.826130000000006</v>
      </c>
      <c r="X255" s="158" t="s">
        <v>292</v>
      </c>
      <c r="Z255" s="62">
        <f t="shared" si="32"/>
        <v>456.75324000000012</v>
      </c>
      <c r="AB255" s="62"/>
      <c r="AC255" s="62"/>
    </row>
    <row r="256" spans="1:29" s="58" customFormat="1" ht="13">
      <c r="A256" s="109"/>
      <c r="B256" s="577"/>
      <c r="C256" s="577" t="s">
        <v>249</v>
      </c>
      <c r="D256" s="577">
        <f>SUM(D250:D255)</f>
        <v>89122.58716000001</v>
      </c>
      <c r="E256" s="577">
        <f t="shared" ref="E256:L256" si="37">SUM(E250:E255)</f>
        <v>86499.480329999991</v>
      </c>
      <c r="F256" s="577">
        <f t="shared" si="37"/>
        <v>77150.790789999999</v>
      </c>
      <c r="G256" s="577">
        <f t="shared" si="37"/>
        <v>86103.596370000014</v>
      </c>
      <c r="H256" s="577">
        <f t="shared" si="37"/>
        <v>86145.953160000005</v>
      </c>
      <c r="I256" s="577">
        <f t="shared" si="37"/>
        <v>80268.97911</v>
      </c>
      <c r="J256" s="577">
        <f t="shared" si="37"/>
        <v>86047.062079999989</v>
      </c>
      <c r="K256" s="577">
        <f t="shared" si="37"/>
        <v>86867.933499999999</v>
      </c>
      <c r="L256" s="577">
        <f t="shared" si="37"/>
        <v>81709.26105999999</v>
      </c>
      <c r="M256" s="577">
        <f>SUM(M250:M255)</f>
        <v>759915.64356000011</v>
      </c>
      <c r="N256" s="69"/>
      <c r="O256" s="158"/>
      <c r="P256" s="69"/>
      <c r="Q256" s="62"/>
      <c r="R256" s="62"/>
      <c r="T256" s="668">
        <f>SUM(T250:T255)</f>
        <v>86961.94256000001</v>
      </c>
      <c r="U256" s="668">
        <f t="shared" ref="U256:V256" si="38">SUM(U250:U255)</f>
        <v>87759.592630000014</v>
      </c>
      <c r="V256" s="668">
        <f t="shared" si="38"/>
        <v>93445.680170000007</v>
      </c>
      <c r="W256" s="59">
        <f t="shared" si="31"/>
        <v>268167.21536000003</v>
      </c>
      <c r="Z256" s="62">
        <f t="shared" si="32"/>
        <v>1028082.8589200001</v>
      </c>
      <c r="AB256" s="62"/>
      <c r="AC256" s="62"/>
    </row>
    <row r="257" spans="1:30" s="135" customFormat="1" ht="13">
      <c r="A257" s="110"/>
      <c r="B257" s="421"/>
      <c r="C257" s="422" t="s">
        <v>250</v>
      </c>
      <c r="D257" s="465">
        <f t="shared" ref="D257:L257" si="39">D95+D101+D104+D126+D138+D143+D151+D249+D256</f>
        <v>532597.86598999996</v>
      </c>
      <c r="E257" s="465">
        <f t="shared" si="39"/>
        <v>504638.92259999999</v>
      </c>
      <c r="F257" s="465">
        <f t="shared" si="39"/>
        <v>676889.26327</v>
      </c>
      <c r="G257" s="465">
        <f t="shared" si="39"/>
        <v>530427.70838000008</v>
      </c>
      <c r="H257" s="465">
        <f t="shared" si="39"/>
        <v>520245.13535</v>
      </c>
      <c r="I257" s="465">
        <f t="shared" si="39"/>
        <v>613034.9894399998</v>
      </c>
      <c r="J257" s="465">
        <f t="shared" si="39"/>
        <v>784154.79774999979</v>
      </c>
      <c r="K257" s="465">
        <f t="shared" si="39"/>
        <v>656557.21774000011</v>
      </c>
      <c r="L257" s="465">
        <f t="shared" si="39"/>
        <v>703883.8756599999</v>
      </c>
      <c r="M257" s="466">
        <f>SUM(D257:L257)</f>
        <v>5522429.7761799991</v>
      </c>
      <c r="N257" s="423"/>
      <c r="O257" s="314"/>
      <c r="Q257" s="347">
        <f>SUM(Q67:Q256)</f>
        <v>229129.94365999993</v>
      </c>
      <c r="R257" s="347">
        <f>SUM(R67:R256)</f>
        <v>64292.581689999999</v>
      </c>
      <c r="T257" s="465">
        <f>T95+T101+T104+T126+T138+T143+T151+T249+T256</f>
        <v>644094.47530000005</v>
      </c>
      <c r="U257" s="465">
        <f>U95+U101+U104+U126+U138+U143+U151+U249+U256</f>
        <v>757738.54246000003</v>
      </c>
      <c r="V257" s="465">
        <f>V95+V101+V104+V126+V138+V143+V151+V249+V256</f>
        <v>777606.7464699999</v>
      </c>
      <c r="W257" s="510">
        <f>SUM(T257:V257)</f>
        <v>2179439.7642299999</v>
      </c>
      <c r="X257" s="314"/>
      <c r="Z257" s="466">
        <f t="shared" si="32"/>
        <v>7701869.540409999</v>
      </c>
      <c r="AB257" s="466">
        <f>SUM(AB67:AB256)</f>
        <v>313716.44650999998</v>
      </c>
      <c r="AC257" s="466">
        <f>SUM(AC67:AC256)</f>
        <v>86071.536649999995</v>
      </c>
    </row>
    <row r="258" spans="1:30" s="135" customFormat="1" ht="13">
      <c r="A258" s="110"/>
      <c r="B258" s="175"/>
      <c r="C258" s="61"/>
      <c r="D258" s="126"/>
      <c r="K258" s="126"/>
      <c r="L258" s="57" t="s">
        <v>251</v>
      </c>
      <c r="M258" s="173">
        <v>5522430</v>
      </c>
      <c r="N258" s="56" t="s">
        <v>346</v>
      </c>
      <c r="P258" s="81" t="s">
        <v>254</v>
      </c>
      <c r="Q258" s="393">
        <f>Q257-M431</f>
        <v>0</v>
      </c>
      <c r="R258" s="393">
        <f>R257-D453</f>
        <v>0</v>
      </c>
      <c r="T258" s="49"/>
      <c r="U258" s="49"/>
      <c r="V258" s="49"/>
      <c r="Y258" s="57" t="s">
        <v>251</v>
      </c>
      <c r="Z258" s="503">
        <v>7701869.5404100008</v>
      </c>
      <c r="AA258" s="81" t="s">
        <v>254</v>
      </c>
      <c r="AB258" s="525">
        <f>AB257-E289</f>
        <v>0</v>
      </c>
      <c r="AC258" s="525">
        <f>$AC$257-$E$453</f>
        <v>-190.76395000000775</v>
      </c>
      <c r="AD258" s="511" t="s">
        <v>585</v>
      </c>
    </row>
    <row r="259" spans="1:30" ht="13">
      <c r="B259" s="142"/>
      <c r="C259" s="91"/>
      <c r="K259" s="126"/>
      <c r="L259" s="55" t="s">
        <v>252</v>
      </c>
      <c r="M259" s="67">
        <f>M258-M257</f>
        <v>0.22382000088691711</v>
      </c>
      <c r="N259" s="60"/>
      <c r="Q259" s="715" t="str">
        <f>B292</f>
        <v>[1]</v>
      </c>
      <c r="R259" s="715" t="str">
        <f>B330</f>
        <v>[2]</v>
      </c>
      <c r="T259" s="49"/>
      <c r="U259" s="49"/>
      <c r="V259" s="49"/>
      <c r="Y259" s="55" t="s">
        <v>252</v>
      </c>
      <c r="Z259" s="55">
        <f>Z257-Z258</f>
        <v>0</v>
      </c>
      <c r="AA259" s="504"/>
      <c r="AB259" s="524" t="str">
        <f>$J$292</f>
        <v>[3]</v>
      </c>
      <c r="AC259" s="524" t="str">
        <f>$J$330</f>
        <v>[4]</v>
      </c>
    </row>
    <row r="260" spans="1:30" ht="13">
      <c r="B260" s="179"/>
      <c r="C260" s="179"/>
      <c r="D260" s="34"/>
      <c r="E260" s="135"/>
      <c r="K260" s="126"/>
      <c r="L260" s="68"/>
      <c r="M260" s="67"/>
      <c r="N260" s="60"/>
      <c r="T260" s="49"/>
      <c r="U260" s="49"/>
      <c r="V260" s="49"/>
      <c r="Z260" s="81"/>
      <c r="AA260" s="81"/>
      <c r="AB260" s="525"/>
      <c r="AC260" s="525"/>
      <c r="AD260" s="511"/>
    </row>
    <row r="261" spans="1:30" ht="13">
      <c r="B261" s="178"/>
      <c r="C261" s="178"/>
      <c r="D261" s="131"/>
      <c r="E261" s="135"/>
      <c r="K261" s="126"/>
      <c r="L261" s="155" t="s">
        <v>300</v>
      </c>
      <c r="M261" s="131">
        <f>Q257</f>
        <v>229129.94365999993</v>
      </c>
      <c r="N261" s="60"/>
      <c r="T261" s="49"/>
      <c r="U261" s="49"/>
      <c r="V261" s="49"/>
      <c r="Y261" s="155" t="s">
        <v>300</v>
      </c>
      <c r="Z261" s="49">
        <f>AB257</f>
        <v>313716.44650999998</v>
      </c>
      <c r="AB261" s="524"/>
      <c r="AC261" s="524"/>
    </row>
    <row r="262" spans="1:30" ht="13">
      <c r="B262" s="178"/>
      <c r="C262" s="178"/>
      <c r="D262" s="126"/>
      <c r="E262" s="135"/>
      <c r="K262" s="126"/>
      <c r="L262" s="155" t="s">
        <v>301</v>
      </c>
      <c r="M262" s="131">
        <f>R257</f>
        <v>64292.581689999999</v>
      </c>
      <c r="N262" s="60"/>
      <c r="P262" s="135"/>
      <c r="Q262" s="135"/>
      <c r="R262" s="135"/>
      <c r="S262" s="135"/>
      <c r="T262" s="49"/>
      <c r="U262" s="49"/>
      <c r="V262" s="49"/>
      <c r="Y262" s="155" t="s">
        <v>301</v>
      </c>
      <c r="Z262" s="137">
        <f>AC257</f>
        <v>86071.536649999995</v>
      </c>
    </row>
    <row r="263" spans="1:30" ht="13">
      <c r="B263" s="60"/>
      <c r="C263" s="61"/>
      <c r="D263" s="126"/>
      <c r="E263" s="135"/>
      <c r="K263" s="126"/>
      <c r="L263" s="132" t="s">
        <v>66</v>
      </c>
      <c r="M263" s="131">
        <f>'ВД1 Свод'!H119</f>
        <v>5277500</v>
      </c>
      <c r="N263" s="60"/>
      <c r="P263" s="135"/>
      <c r="Q263" s="135"/>
      <c r="R263" s="135"/>
      <c r="S263" s="135"/>
      <c r="T263" s="49"/>
      <c r="U263" s="49"/>
      <c r="V263" s="49"/>
      <c r="Y263" s="132" t="s">
        <v>66</v>
      </c>
      <c r="Z263" s="137">
        <f>'ВД1 Свод'!H58</f>
        <v>7278201</v>
      </c>
    </row>
    <row r="264" spans="1:30" ht="13">
      <c r="B264" s="142" t="s">
        <v>736</v>
      </c>
      <c r="C264" s="61"/>
      <c r="D264" s="126"/>
      <c r="E264" s="135"/>
      <c r="K264" s="126"/>
      <c r="L264" s="88" t="s">
        <v>27</v>
      </c>
      <c r="M264" s="67">
        <f>M258-M262-M261-M263</f>
        <v>-48492.525350000709</v>
      </c>
      <c r="N264" s="392" t="s">
        <v>29</v>
      </c>
      <c r="T264" s="49"/>
      <c r="U264" s="49"/>
      <c r="V264" s="49"/>
      <c r="Y264" s="88" t="s">
        <v>27</v>
      </c>
      <c r="Z264" s="67">
        <f>Z258-Z262-Z261-Z263</f>
        <v>23880.557250000536</v>
      </c>
      <c r="AA264" s="392" t="s">
        <v>29</v>
      </c>
    </row>
    <row r="265" spans="1:30" ht="13">
      <c r="B265" s="110" t="s">
        <v>567</v>
      </c>
      <c r="N265" s="116"/>
      <c r="O265" s="55"/>
      <c r="P265" s="137"/>
      <c r="Q265" s="116"/>
      <c r="T265" s="49"/>
      <c r="U265" s="49"/>
      <c r="V265" s="49"/>
    </row>
    <row r="266" spans="1:30" ht="13">
      <c r="B266" s="110" t="s">
        <v>797</v>
      </c>
      <c r="N266" s="116"/>
      <c r="O266" s="55"/>
      <c r="P266" s="137"/>
      <c r="Q266" s="116"/>
      <c r="T266" s="49"/>
      <c r="U266" s="49"/>
      <c r="V266" s="49"/>
    </row>
    <row r="267" spans="1:30" ht="13">
      <c r="B267" s="110" t="s">
        <v>568</v>
      </c>
      <c r="N267" s="116"/>
      <c r="O267" s="55"/>
      <c r="P267" s="137"/>
      <c r="Q267" s="116"/>
      <c r="T267" s="49"/>
      <c r="U267" s="49"/>
      <c r="V267" s="49"/>
    </row>
    <row r="268" spans="1:30" ht="13">
      <c r="B268" s="110"/>
      <c r="N268" s="116"/>
      <c r="O268" s="55"/>
      <c r="P268" s="137"/>
      <c r="Q268" s="116"/>
      <c r="T268" s="49"/>
      <c r="U268" s="49"/>
      <c r="V268" s="49"/>
    </row>
    <row r="269" spans="1:30" ht="13">
      <c r="B269" s="110" t="s">
        <v>569</v>
      </c>
      <c r="N269" s="116"/>
      <c r="O269" s="55"/>
      <c r="P269" s="137"/>
      <c r="Q269" s="116"/>
      <c r="T269" s="49"/>
      <c r="U269" s="49"/>
      <c r="V269" s="49"/>
    </row>
    <row r="270" spans="1:30" ht="13">
      <c r="B270" s="110" t="s">
        <v>570</v>
      </c>
      <c r="N270" s="116"/>
      <c r="O270" s="55"/>
      <c r="P270" s="137"/>
      <c r="Q270" s="116"/>
      <c r="T270" s="49"/>
      <c r="U270" s="49"/>
      <c r="V270" s="49"/>
    </row>
    <row r="271" spans="1:30" ht="13">
      <c r="B271" s="110" t="s">
        <v>571</v>
      </c>
      <c r="N271" s="116"/>
      <c r="O271" s="55"/>
      <c r="P271" s="137"/>
      <c r="Q271" s="116"/>
      <c r="T271" s="49"/>
      <c r="U271" s="49"/>
      <c r="V271" s="49"/>
    </row>
    <row r="272" spans="1:30" ht="13">
      <c r="N272" s="116"/>
      <c r="O272" s="55"/>
      <c r="P272" s="137"/>
      <c r="Q272" s="116"/>
      <c r="T272" s="49"/>
      <c r="U272" s="49"/>
      <c r="V272" s="49"/>
    </row>
    <row r="273" spans="2:22" ht="13">
      <c r="B273" s="142" t="s">
        <v>734</v>
      </c>
      <c r="D273" s="396" t="s">
        <v>470</v>
      </c>
      <c r="E273" s="396" t="s">
        <v>470</v>
      </c>
      <c r="N273" s="116"/>
      <c r="O273" s="55"/>
      <c r="P273" s="137"/>
      <c r="Q273" s="116"/>
      <c r="T273" s="49"/>
      <c r="U273" s="49"/>
      <c r="V273" s="49"/>
    </row>
    <row r="274" spans="2:22" ht="13">
      <c r="B274" s="93" t="s">
        <v>256</v>
      </c>
      <c r="C274" s="140" t="s">
        <v>72</v>
      </c>
      <c r="D274" s="64" t="s">
        <v>663</v>
      </c>
      <c r="E274" s="718" t="s">
        <v>664</v>
      </c>
      <c r="N274" s="116"/>
      <c r="O274" s="55"/>
      <c r="P274" s="137"/>
      <c r="Q274" s="116"/>
      <c r="T274" s="49"/>
      <c r="U274" s="49"/>
      <c r="V274" s="49"/>
    </row>
    <row r="275" spans="2:22" ht="13">
      <c r="B275" s="75">
        <v>190</v>
      </c>
      <c r="C275" s="169" t="s">
        <v>48</v>
      </c>
      <c r="D275" s="180">
        <f>SUMIF($N$67:$N$256,B275,$R$67:$R$256)</f>
        <v>1274.1824199999999</v>
      </c>
      <c r="E275" s="719">
        <f>SUMIF($N$67:$N$256,B275,$AC$67:$AC$256)</f>
        <v>1901.03999</v>
      </c>
      <c r="N275" s="116"/>
      <c r="O275" s="55"/>
      <c r="P275" s="137"/>
      <c r="Q275" s="116"/>
      <c r="T275" s="49"/>
      <c r="U275" s="49"/>
      <c r="V275" s="49"/>
    </row>
    <row r="276" spans="2:22" ht="13">
      <c r="B276" s="76">
        <v>606</v>
      </c>
      <c r="C276" s="135" t="s">
        <v>43</v>
      </c>
      <c r="D276" s="166">
        <f>SUMIF($N$67:$N$222,B276,$R$67:$R$222)</f>
        <v>62432.234049999999</v>
      </c>
      <c r="E276" s="720">
        <f>SUMIF($N$67:$N$256,B276,$AC$67:$AC$256)</f>
        <v>83427.28134999999</v>
      </c>
      <c r="N276" s="116"/>
      <c r="O276" s="55"/>
      <c r="P276" s="137"/>
      <c r="Q276" s="116"/>
      <c r="T276" s="49"/>
      <c r="U276" s="49"/>
      <c r="V276" s="49"/>
    </row>
    <row r="277" spans="2:22" ht="13">
      <c r="B277" s="77">
        <v>999</v>
      </c>
      <c r="C277" s="78" t="s">
        <v>257</v>
      </c>
      <c r="D277" s="167">
        <f>SUMIF($N$67:$N$222,B277,$R$67:$R$222)</f>
        <v>586.16521999999998</v>
      </c>
      <c r="E277" s="721">
        <f>SUMIF($N$67:$N$256,B277,$AC$67:$AC$256)</f>
        <v>743.21531000000004</v>
      </c>
      <c r="N277" s="116"/>
      <c r="O277" s="55"/>
      <c r="P277" s="137"/>
      <c r="Q277" s="116"/>
      <c r="T277" s="49"/>
      <c r="U277" s="49"/>
      <c r="V277" s="49"/>
    </row>
    <row r="278" spans="2:22" ht="13">
      <c r="B278" s="135"/>
      <c r="C278" s="97" t="s">
        <v>253</v>
      </c>
      <c r="D278" s="98">
        <f>SUM(D275:D277)</f>
        <v>64292.581689999999</v>
      </c>
      <c r="E278" s="98">
        <f>SUM(E275:E277)</f>
        <v>86071.536649999995</v>
      </c>
      <c r="F278" s="108" t="s">
        <v>307</v>
      </c>
      <c r="N278" s="116"/>
      <c r="O278" s="55"/>
      <c r="P278" s="137"/>
      <c r="Q278" s="116"/>
      <c r="T278" s="49"/>
      <c r="U278" s="49"/>
      <c r="V278" s="49"/>
    </row>
    <row r="279" spans="2:22" ht="13">
      <c r="B279" s="135"/>
      <c r="C279" s="81" t="s">
        <v>254</v>
      </c>
      <c r="D279" s="395">
        <f>D278-R257</f>
        <v>0</v>
      </c>
      <c r="E279" s="716">
        <f>E278-AC257</f>
        <v>0</v>
      </c>
      <c r="N279" s="116"/>
      <c r="O279" s="55"/>
      <c r="P279" s="137"/>
      <c r="Q279" s="116"/>
      <c r="T279" s="49"/>
      <c r="U279" s="49"/>
      <c r="V279" s="49"/>
    </row>
    <row r="280" spans="2:22" ht="13">
      <c r="B280" s="135"/>
      <c r="C280" s="135"/>
      <c r="D280" s="96"/>
      <c r="N280" s="116"/>
      <c r="O280" s="55"/>
      <c r="P280" s="137"/>
      <c r="Q280" s="116"/>
      <c r="T280" s="49"/>
      <c r="U280" s="49"/>
      <c r="V280" s="49"/>
    </row>
    <row r="281" spans="2:22" ht="13">
      <c r="B281" s="142" t="s">
        <v>735</v>
      </c>
      <c r="D281" s="396" t="s">
        <v>470</v>
      </c>
      <c r="E281" s="396" t="s">
        <v>470</v>
      </c>
      <c r="N281" s="116"/>
      <c r="O281" s="55"/>
      <c r="P281" s="137"/>
      <c r="Q281" s="116"/>
      <c r="T281" s="49"/>
      <c r="U281" s="49"/>
      <c r="V281" s="49"/>
    </row>
    <row r="282" spans="2:22" ht="13">
      <c r="B282" s="168" t="s">
        <v>256</v>
      </c>
      <c r="C282" s="139" t="s">
        <v>72</v>
      </c>
      <c r="D282" s="64" t="s">
        <v>663</v>
      </c>
      <c r="E282" s="718" t="s">
        <v>664</v>
      </c>
      <c r="N282" s="116"/>
      <c r="O282" s="55"/>
      <c r="P282" s="137"/>
      <c r="Q282" s="116"/>
      <c r="T282" s="49"/>
      <c r="U282" s="49"/>
      <c r="V282" s="49"/>
    </row>
    <row r="283" spans="2:22" ht="13">
      <c r="B283" s="72">
        <v>301</v>
      </c>
      <c r="C283" s="73" t="s">
        <v>50</v>
      </c>
      <c r="D283" s="166">
        <f t="shared" ref="D283:D288" si="40">SUMIF($N$67:$N$256,B283,$Q$67:$Q$256)</f>
        <v>143046.90201999998</v>
      </c>
      <c r="E283" s="720">
        <f t="shared" ref="E283:E288" si="41">SUMIF($N$67:$N$256,B283,$AB$67:$AB$256)</f>
        <v>186290.73032999999</v>
      </c>
      <c r="N283" s="116"/>
      <c r="O283" s="55"/>
      <c r="P283" s="137"/>
      <c r="Q283" s="116"/>
      <c r="T283" s="49"/>
      <c r="U283" s="49"/>
      <c r="V283" s="49"/>
    </row>
    <row r="284" spans="2:22" ht="13">
      <c r="B284" s="74">
        <v>401</v>
      </c>
      <c r="C284" s="54" t="s">
        <v>52</v>
      </c>
      <c r="D284" s="166">
        <f t="shared" si="40"/>
        <v>6092.313509999999</v>
      </c>
      <c r="E284" s="720">
        <f t="shared" si="41"/>
        <v>8544.1153599999998</v>
      </c>
      <c r="N284" s="116"/>
      <c r="O284" s="55"/>
      <c r="P284" s="137"/>
      <c r="Q284" s="116"/>
      <c r="T284" s="49"/>
      <c r="U284" s="49"/>
      <c r="V284" s="49"/>
    </row>
    <row r="285" spans="2:22" ht="13">
      <c r="B285" s="74">
        <v>190</v>
      </c>
      <c r="C285" s="54" t="s">
        <v>48</v>
      </c>
      <c r="D285" s="166">
        <f t="shared" si="40"/>
        <v>8854.2139100000004</v>
      </c>
      <c r="E285" s="720">
        <f t="shared" si="41"/>
        <v>14459.040370000002</v>
      </c>
      <c r="N285" s="116"/>
      <c r="O285" s="55"/>
      <c r="P285" s="137"/>
      <c r="Q285" s="116"/>
      <c r="T285" s="49"/>
      <c r="U285" s="49"/>
      <c r="V285" s="49"/>
    </row>
    <row r="286" spans="2:22" ht="13">
      <c r="B286" s="74">
        <v>606</v>
      </c>
      <c r="C286" s="54" t="s">
        <v>43</v>
      </c>
      <c r="D286" s="166">
        <f t="shared" si="40"/>
        <v>70079.096909999978</v>
      </c>
      <c r="E286" s="720">
        <f t="shared" si="41"/>
        <v>101441.32362000001</v>
      </c>
      <c r="N286" s="116"/>
      <c r="O286" s="55"/>
      <c r="P286" s="137"/>
      <c r="Q286" s="116"/>
      <c r="T286" s="49"/>
      <c r="U286" s="49"/>
      <c r="V286" s="49"/>
    </row>
    <row r="287" spans="2:22" ht="13">
      <c r="B287" s="74">
        <v>201</v>
      </c>
      <c r="C287" s="54" t="s">
        <v>259</v>
      </c>
      <c r="D287" s="166">
        <f t="shared" si="40"/>
        <v>0</v>
      </c>
      <c r="E287" s="720">
        <f t="shared" si="41"/>
        <v>0</v>
      </c>
      <c r="N287" s="116"/>
      <c r="O287" s="55"/>
      <c r="P287" s="137"/>
      <c r="Q287" s="116"/>
      <c r="T287" s="401"/>
      <c r="U287" s="401"/>
      <c r="V287" s="401"/>
    </row>
    <row r="288" spans="2:22" ht="13">
      <c r="B288" s="176">
        <v>999</v>
      </c>
      <c r="C288" s="164" t="s">
        <v>257</v>
      </c>
      <c r="D288" s="167">
        <f t="shared" si="40"/>
        <v>1057.4173099999998</v>
      </c>
      <c r="E288" s="721">
        <f t="shared" si="41"/>
        <v>2981.2368299999998</v>
      </c>
      <c r="N288" s="116"/>
      <c r="O288" s="55"/>
      <c r="P288" s="137"/>
      <c r="Q288" s="116"/>
      <c r="T288" s="401"/>
      <c r="U288" s="401"/>
      <c r="V288" s="401"/>
    </row>
    <row r="289" spans="2:22" ht="13">
      <c r="C289" s="97" t="s">
        <v>253</v>
      </c>
      <c r="D289" s="98">
        <f>SUM(D283:D288)</f>
        <v>229129.94365999993</v>
      </c>
      <c r="E289" s="98">
        <f>SUM(E283:E288)</f>
        <v>313716.44650999998</v>
      </c>
      <c r="F289" s="108" t="s">
        <v>307</v>
      </c>
      <c r="N289" s="116"/>
      <c r="O289" s="55"/>
      <c r="P289" s="137"/>
      <c r="Q289" s="116"/>
      <c r="T289" s="401"/>
      <c r="U289" s="401"/>
      <c r="V289" s="401"/>
    </row>
    <row r="290" spans="2:22" ht="13">
      <c r="C290" s="81" t="s">
        <v>254</v>
      </c>
      <c r="D290" s="394">
        <f>D289-Q257</f>
        <v>0</v>
      </c>
      <c r="E290" s="717">
        <f>E289-AB257</f>
        <v>0</v>
      </c>
      <c r="N290" s="116"/>
      <c r="O290" s="55"/>
      <c r="P290" s="137"/>
      <c r="Q290" s="116"/>
      <c r="T290" s="49"/>
      <c r="U290" s="49"/>
      <c r="V290" s="49"/>
    </row>
    <row r="291" spans="2:22" ht="13">
      <c r="N291" s="116"/>
      <c r="O291" s="55"/>
      <c r="P291" s="137"/>
      <c r="Q291" s="116"/>
      <c r="T291" s="49"/>
      <c r="U291" s="49"/>
      <c r="V291" s="49"/>
    </row>
    <row r="292" spans="2:22" ht="13">
      <c r="B292" s="142" t="s">
        <v>278</v>
      </c>
      <c r="C292" s="89"/>
      <c r="J292" s="142" t="s">
        <v>666</v>
      </c>
      <c r="K292" s="89"/>
      <c r="L292" s="116"/>
      <c r="N292" s="116"/>
      <c r="O292" s="55"/>
      <c r="P292" s="137"/>
      <c r="Q292" s="116"/>
      <c r="T292" s="49"/>
      <c r="U292" s="49"/>
      <c r="V292" s="49"/>
    </row>
    <row r="293" spans="2:22" ht="13">
      <c r="B293" s="142" t="s">
        <v>345</v>
      </c>
      <c r="C293" s="89"/>
      <c r="J293" s="142" t="s">
        <v>572</v>
      </c>
      <c r="K293" s="89"/>
      <c r="L293" s="116"/>
      <c r="N293" s="116"/>
      <c r="O293" s="55"/>
      <c r="P293" s="137"/>
      <c r="Q293" s="116"/>
      <c r="T293" s="49"/>
      <c r="U293" s="49"/>
      <c r="V293" s="49"/>
    </row>
    <row r="294" spans="2:22" ht="13">
      <c r="B294" s="142"/>
      <c r="C294" s="91" t="s">
        <v>277</v>
      </c>
      <c r="J294" s="142"/>
      <c r="K294" s="91" t="s">
        <v>277</v>
      </c>
      <c r="L294" s="116"/>
      <c r="N294" s="116"/>
      <c r="O294" s="55"/>
      <c r="P294" s="137"/>
      <c r="Q294" s="116"/>
      <c r="T294" s="49"/>
      <c r="U294" s="49"/>
      <c r="V294" s="49"/>
    </row>
    <row r="295" spans="2:22" ht="13">
      <c r="B295" s="93" t="s">
        <v>274</v>
      </c>
      <c r="C295" s="93" t="s">
        <v>275</v>
      </c>
      <c r="D295" s="94" t="s">
        <v>27</v>
      </c>
      <c r="J295" s="506" t="s">
        <v>274</v>
      </c>
      <c r="K295" s="506" t="s">
        <v>275</v>
      </c>
      <c r="L295" s="513" t="s">
        <v>27</v>
      </c>
      <c r="N295" s="116"/>
      <c r="O295" s="55"/>
      <c r="P295" s="137"/>
      <c r="Q295" s="116"/>
      <c r="T295" s="49"/>
      <c r="U295" s="49"/>
      <c r="V295" s="49"/>
    </row>
    <row r="296" spans="2:22" ht="13">
      <c r="B296" s="483">
        <v>177949.22795999999</v>
      </c>
      <c r="C296" s="92">
        <f>M431</f>
        <v>229129.94365999996</v>
      </c>
      <c r="D296" s="65">
        <f>C296-B296</f>
        <v>51180.715699999972</v>
      </c>
      <c r="E296" s="60" t="s">
        <v>11</v>
      </c>
      <c r="J296" s="657">
        <v>313716.44650999998</v>
      </c>
      <c r="K296" s="657">
        <f>R431</f>
        <v>313716.44650999992</v>
      </c>
      <c r="L296" s="658">
        <f>K296-J296</f>
        <v>0</v>
      </c>
      <c r="M296" s="511" t="s">
        <v>585</v>
      </c>
      <c r="N296" s="116"/>
      <c r="O296" s="55"/>
      <c r="P296" s="137"/>
      <c r="Q296" s="116"/>
      <c r="T296" s="401"/>
      <c r="U296" s="401"/>
      <c r="V296" s="401"/>
    </row>
    <row r="297" spans="2:22" ht="14.5">
      <c r="B297" s="484"/>
      <c r="C297" s="90"/>
      <c r="J297" s="515"/>
      <c r="K297" s="514"/>
      <c r="L297" s="516"/>
      <c r="N297" s="116"/>
      <c r="O297" s="55"/>
      <c r="P297" s="137"/>
      <c r="Q297" s="116"/>
      <c r="T297"/>
      <c r="U297"/>
      <c r="V297"/>
    </row>
    <row r="298" spans="2:22" ht="13">
      <c r="B298" s="485" t="s">
        <v>276</v>
      </c>
      <c r="C298" s="89"/>
      <c r="J298" s="403" t="s">
        <v>276</v>
      </c>
      <c r="K298" s="179"/>
      <c r="L298" s="34"/>
      <c r="N298" s="116"/>
      <c r="O298" s="55"/>
      <c r="P298" s="137"/>
      <c r="Q298" s="116"/>
      <c r="T298" s="143"/>
      <c r="U298" s="143"/>
    </row>
    <row r="299" spans="2:22" ht="13" outlineLevel="1">
      <c r="B299" s="142"/>
      <c r="C299" s="89"/>
      <c r="J299" s="116"/>
      <c r="K299" s="116"/>
      <c r="L299" s="116"/>
      <c r="N299" s="116"/>
      <c r="O299" s="55"/>
      <c r="P299" s="137"/>
      <c r="Q299" s="116"/>
      <c r="T299" s="143"/>
      <c r="U299" s="143"/>
    </row>
    <row r="300" spans="2:22" ht="13" outlineLevel="1">
      <c r="N300" s="116"/>
      <c r="O300" s="55"/>
      <c r="P300" s="137"/>
      <c r="Q300" s="116"/>
      <c r="T300" s="143"/>
      <c r="U300" s="143"/>
    </row>
    <row r="301" spans="2:22" ht="13" outlineLevel="1">
      <c r="N301" s="116"/>
      <c r="O301" s="55"/>
      <c r="P301" s="137"/>
      <c r="Q301" s="116"/>
      <c r="T301" s="143"/>
      <c r="U301" s="143"/>
    </row>
    <row r="302" spans="2:22" ht="13" outlineLevel="1">
      <c r="N302" s="116"/>
      <c r="O302" s="55"/>
      <c r="P302" s="137"/>
      <c r="Q302" s="116"/>
      <c r="T302" s="143"/>
      <c r="U302" s="143"/>
    </row>
    <row r="303" spans="2:22" ht="13" outlineLevel="1">
      <c r="N303" s="116"/>
      <c r="O303" s="55"/>
      <c r="P303" s="137"/>
      <c r="Q303" s="116"/>
      <c r="T303" s="143"/>
      <c r="U303" s="143"/>
    </row>
    <row r="304" spans="2:22" ht="13" outlineLevel="1">
      <c r="N304" s="116"/>
      <c r="O304" s="55"/>
      <c r="P304" s="137"/>
      <c r="Q304" s="116"/>
      <c r="T304" s="143"/>
      <c r="U304" s="143"/>
    </row>
    <row r="305" spans="14:21" ht="13" outlineLevel="1">
      <c r="N305" s="116"/>
      <c r="O305" s="55"/>
      <c r="P305" s="137"/>
      <c r="Q305" s="116"/>
      <c r="T305" s="143"/>
      <c r="U305" s="143"/>
    </row>
    <row r="306" spans="14:21" ht="13" outlineLevel="1">
      <c r="N306" s="116"/>
      <c r="O306" s="55"/>
      <c r="P306" s="137"/>
      <c r="Q306" s="116"/>
      <c r="T306" s="143"/>
      <c r="U306" s="143"/>
    </row>
    <row r="307" spans="14:21" ht="13" outlineLevel="1">
      <c r="N307" s="116"/>
      <c r="O307" s="55"/>
      <c r="P307" s="137"/>
      <c r="Q307" s="116"/>
      <c r="T307" s="143"/>
      <c r="U307" s="143"/>
    </row>
    <row r="308" spans="14:21" ht="13" outlineLevel="1">
      <c r="N308" s="116"/>
      <c r="O308" s="55"/>
      <c r="P308" s="137"/>
      <c r="Q308" s="116"/>
      <c r="T308" s="143"/>
      <c r="U308" s="143"/>
    </row>
    <row r="309" spans="14:21" ht="13" outlineLevel="1">
      <c r="N309" s="116"/>
      <c r="O309" s="55"/>
      <c r="P309" s="137"/>
      <c r="Q309" s="116"/>
      <c r="T309" s="143"/>
      <c r="U309" s="143"/>
    </row>
    <row r="310" spans="14:21" ht="13" outlineLevel="1">
      <c r="N310" s="116"/>
      <c r="O310" s="55"/>
      <c r="P310" s="137"/>
      <c r="Q310" s="116"/>
      <c r="T310" s="143"/>
      <c r="U310" s="143"/>
    </row>
    <row r="311" spans="14:21" ht="13" outlineLevel="1">
      <c r="N311" s="116"/>
      <c r="O311" s="55"/>
      <c r="P311" s="137"/>
      <c r="Q311" s="116"/>
      <c r="T311" s="143"/>
      <c r="U311" s="143"/>
    </row>
    <row r="312" spans="14:21" ht="13" outlineLevel="1">
      <c r="N312" s="116"/>
      <c r="O312" s="55"/>
      <c r="P312" s="137"/>
      <c r="Q312" s="116"/>
      <c r="T312" s="143"/>
      <c r="U312" s="143"/>
    </row>
    <row r="313" spans="14:21" ht="13" outlineLevel="1">
      <c r="N313" s="116"/>
      <c r="O313" s="55"/>
      <c r="P313" s="137"/>
      <c r="Q313" s="116"/>
      <c r="T313" s="143"/>
      <c r="U313" s="143"/>
    </row>
    <row r="314" spans="14:21" ht="13" outlineLevel="1">
      <c r="N314" s="116"/>
      <c r="O314" s="55"/>
      <c r="P314" s="137"/>
      <c r="Q314" s="116"/>
      <c r="T314" s="143"/>
      <c r="U314" s="143"/>
    </row>
    <row r="315" spans="14:21" ht="13" outlineLevel="1">
      <c r="N315" s="116"/>
      <c r="O315" s="55"/>
      <c r="P315" s="137"/>
      <c r="Q315" s="116"/>
      <c r="T315" s="143"/>
      <c r="U315" s="143"/>
    </row>
    <row r="316" spans="14:21" ht="13" outlineLevel="1">
      <c r="N316" s="116"/>
      <c r="O316" s="55"/>
      <c r="P316" s="137"/>
      <c r="Q316" s="116"/>
      <c r="T316" s="143"/>
      <c r="U316" s="143"/>
    </row>
    <row r="317" spans="14:21" ht="13" outlineLevel="1">
      <c r="N317" s="116"/>
      <c r="O317" s="55"/>
      <c r="P317" s="137"/>
      <c r="Q317" s="116"/>
      <c r="T317" s="143"/>
      <c r="U317" s="143"/>
    </row>
    <row r="318" spans="14:21" ht="13" outlineLevel="1">
      <c r="N318" s="116"/>
      <c r="O318" s="55"/>
      <c r="P318" s="137"/>
      <c r="Q318" s="116"/>
      <c r="T318" s="143"/>
      <c r="U318" s="143"/>
    </row>
    <row r="319" spans="14:21" ht="13" outlineLevel="1">
      <c r="N319" s="116"/>
      <c r="O319" s="55"/>
      <c r="P319" s="137"/>
      <c r="Q319" s="116"/>
      <c r="T319" s="143"/>
      <c r="U319" s="143"/>
    </row>
    <row r="320" spans="14:21" ht="13" outlineLevel="1">
      <c r="N320" s="116"/>
      <c r="O320" s="55"/>
      <c r="P320" s="137"/>
      <c r="Q320" s="116"/>
      <c r="T320" s="143"/>
      <c r="U320" s="143"/>
    </row>
    <row r="321" spans="2:21" ht="13" outlineLevel="1">
      <c r="N321" s="116"/>
      <c r="O321" s="55"/>
      <c r="P321" s="137"/>
      <c r="Q321" s="116"/>
      <c r="T321" s="143"/>
      <c r="U321" s="143"/>
    </row>
    <row r="322" spans="2:21" ht="13" outlineLevel="1">
      <c r="N322" s="116"/>
      <c r="O322" s="55"/>
      <c r="P322" s="137"/>
      <c r="Q322" s="116"/>
      <c r="T322" s="143"/>
      <c r="U322" s="143"/>
    </row>
    <row r="323" spans="2:21" ht="13" outlineLevel="1">
      <c r="N323" s="116"/>
      <c r="O323" s="55"/>
      <c r="P323" s="137"/>
      <c r="Q323" s="116"/>
      <c r="T323" s="143"/>
      <c r="U323" s="143"/>
    </row>
    <row r="324" spans="2:21" ht="13" outlineLevel="1">
      <c r="N324" s="116"/>
      <c r="O324" s="55"/>
      <c r="P324" s="137"/>
      <c r="Q324" s="116"/>
      <c r="T324" s="143"/>
      <c r="U324" s="143"/>
    </row>
    <row r="325" spans="2:21" ht="13" outlineLevel="1">
      <c r="N325" s="116"/>
      <c r="O325" s="55"/>
      <c r="P325" s="137"/>
      <c r="Q325" s="116"/>
      <c r="T325" s="143"/>
      <c r="U325" s="143"/>
    </row>
    <row r="326" spans="2:21" ht="13" outlineLevel="1">
      <c r="N326" s="116"/>
      <c r="O326" s="55"/>
      <c r="P326" s="137"/>
      <c r="Q326" s="116"/>
      <c r="T326" s="143"/>
      <c r="U326" s="143"/>
    </row>
    <row r="327" spans="2:21" ht="13">
      <c r="N327" s="116"/>
      <c r="O327" s="55"/>
      <c r="P327" s="137"/>
      <c r="Q327" s="116"/>
      <c r="T327" s="143"/>
      <c r="U327" s="143"/>
    </row>
    <row r="328" spans="2:21" ht="13">
      <c r="N328" s="116"/>
      <c r="O328" s="55"/>
      <c r="P328" s="137"/>
      <c r="Q328" s="116"/>
      <c r="T328" s="143"/>
      <c r="U328" s="143"/>
    </row>
    <row r="329" spans="2:21" ht="13">
      <c r="N329" s="116"/>
      <c r="O329" s="55"/>
      <c r="P329" s="137"/>
      <c r="Q329" s="116"/>
      <c r="T329" s="143"/>
      <c r="U329" s="143"/>
    </row>
    <row r="330" spans="2:21" ht="13">
      <c r="B330" s="142" t="s">
        <v>279</v>
      </c>
      <c r="J330" s="142" t="s">
        <v>667</v>
      </c>
      <c r="K330" s="116"/>
      <c r="L330" s="116"/>
      <c r="N330" s="116"/>
      <c r="O330" s="55"/>
      <c r="P330" s="137"/>
      <c r="Q330" s="116"/>
      <c r="T330" s="143"/>
      <c r="U330" s="143"/>
    </row>
    <row r="331" spans="2:21" ht="13">
      <c r="B331" s="142" t="s">
        <v>344</v>
      </c>
      <c r="J331" s="142" t="s">
        <v>573</v>
      </c>
      <c r="K331" s="116"/>
      <c r="L331" s="116"/>
      <c r="N331" s="116"/>
      <c r="O331" s="55"/>
      <c r="P331" s="137"/>
      <c r="Q331" s="116"/>
      <c r="T331" s="143"/>
      <c r="U331" s="143"/>
    </row>
    <row r="332" spans="2:21" ht="13">
      <c r="B332" s="142"/>
      <c r="C332" s="91" t="s">
        <v>277</v>
      </c>
      <c r="J332" s="142"/>
      <c r="K332" s="91" t="s">
        <v>277</v>
      </c>
      <c r="L332" s="116"/>
      <c r="N332" s="116"/>
      <c r="O332" s="55"/>
      <c r="P332" s="137"/>
      <c r="Q332" s="116"/>
      <c r="T332" s="143"/>
      <c r="U332" s="143"/>
    </row>
    <row r="333" spans="2:21" ht="13">
      <c r="B333" s="93" t="s">
        <v>274</v>
      </c>
      <c r="C333" s="93" t="s">
        <v>275</v>
      </c>
      <c r="D333" s="94" t="s">
        <v>27</v>
      </c>
      <c r="J333" s="506" t="s">
        <v>274</v>
      </c>
      <c r="K333" s="506" t="s">
        <v>275</v>
      </c>
      <c r="L333" s="513" t="s">
        <v>27</v>
      </c>
      <c r="N333" s="116"/>
      <c r="O333" s="55"/>
      <c r="P333" s="137"/>
      <c r="Q333" s="116"/>
      <c r="T333" s="143"/>
      <c r="U333" s="143"/>
    </row>
    <row r="334" spans="2:21" ht="13">
      <c r="B334" s="483">
        <v>64292.581689999999</v>
      </c>
      <c r="C334" s="92">
        <f>D453</f>
        <v>64292.581689999992</v>
      </c>
      <c r="D334" s="95">
        <f>C334-B334</f>
        <v>0</v>
      </c>
      <c r="E334" s="60" t="s">
        <v>11</v>
      </c>
      <c r="J334" s="510">
        <v>86262.300600000002</v>
      </c>
      <c r="K334" s="510">
        <f>E453</f>
        <v>86262.300600000002</v>
      </c>
      <c r="L334" s="444">
        <f>K334-J334</f>
        <v>0</v>
      </c>
      <c r="M334" s="511" t="s">
        <v>585</v>
      </c>
      <c r="N334" s="116"/>
      <c r="O334" s="55"/>
      <c r="P334" s="137"/>
      <c r="Q334" s="116"/>
      <c r="T334" s="143"/>
      <c r="U334" s="143"/>
    </row>
    <row r="335" spans="2:21" ht="13">
      <c r="J335" s="116"/>
      <c r="K335" s="116"/>
      <c r="L335" s="116"/>
      <c r="N335" s="116"/>
      <c r="O335" s="55"/>
      <c r="P335" s="137"/>
      <c r="Q335" s="116"/>
      <c r="T335" s="143"/>
      <c r="U335" s="143"/>
    </row>
    <row r="336" spans="2:21" ht="13">
      <c r="B336" s="485" t="s">
        <v>276</v>
      </c>
      <c r="J336" s="403" t="s">
        <v>276</v>
      </c>
      <c r="K336" s="116"/>
      <c r="L336" s="116"/>
      <c r="N336" s="116"/>
      <c r="O336" s="55"/>
      <c r="P336" s="137"/>
      <c r="Q336" s="116"/>
      <c r="T336" s="143"/>
      <c r="U336" s="143"/>
    </row>
    <row r="337" spans="14:21" ht="13" outlineLevel="1">
      <c r="N337" s="116"/>
      <c r="O337" s="55"/>
      <c r="P337" s="137"/>
      <c r="Q337" s="116"/>
      <c r="T337" s="143"/>
      <c r="U337" s="143"/>
    </row>
    <row r="338" spans="14:21" ht="13" outlineLevel="1">
      <c r="N338" s="116"/>
      <c r="O338" s="55"/>
      <c r="P338" s="137"/>
      <c r="Q338" s="116"/>
      <c r="T338" s="143"/>
      <c r="U338" s="143"/>
    </row>
    <row r="339" spans="14:21" ht="13" outlineLevel="1">
      <c r="N339" s="116"/>
      <c r="O339" s="55"/>
      <c r="P339" s="137"/>
      <c r="Q339" s="116"/>
      <c r="T339" s="143"/>
      <c r="U339" s="143"/>
    </row>
    <row r="340" spans="14:21" ht="13" outlineLevel="1">
      <c r="N340" s="116"/>
      <c r="O340" s="55"/>
      <c r="P340" s="137"/>
      <c r="Q340" s="116"/>
      <c r="T340" s="143"/>
      <c r="U340" s="143"/>
    </row>
    <row r="341" spans="14:21" ht="13" outlineLevel="1">
      <c r="N341" s="116"/>
      <c r="O341" s="55"/>
      <c r="P341" s="137"/>
      <c r="Q341" s="116"/>
      <c r="T341" s="143"/>
      <c r="U341" s="143"/>
    </row>
    <row r="342" spans="14:21" ht="13" outlineLevel="1">
      <c r="N342" s="116"/>
      <c r="O342" s="55"/>
      <c r="P342" s="137"/>
      <c r="Q342" s="116"/>
      <c r="T342" s="143"/>
      <c r="U342" s="143"/>
    </row>
    <row r="343" spans="14:21" ht="13" outlineLevel="1">
      <c r="N343" s="116"/>
      <c r="O343" s="55"/>
      <c r="P343" s="137"/>
      <c r="Q343" s="116"/>
      <c r="T343" s="143"/>
      <c r="U343" s="143"/>
    </row>
    <row r="344" spans="14:21" ht="13" outlineLevel="1">
      <c r="N344" s="116"/>
      <c r="O344" s="55"/>
      <c r="P344" s="137"/>
      <c r="Q344" s="116"/>
      <c r="T344" s="143"/>
      <c r="U344" s="143"/>
    </row>
    <row r="345" spans="14:21" ht="13" outlineLevel="1">
      <c r="N345" s="116"/>
      <c r="O345" s="55"/>
      <c r="P345" s="137"/>
      <c r="Q345" s="116"/>
      <c r="T345" s="143"/>
      <c r="U345" s="143"/>
    </row>
    <row r="346" spans="14:21" ht="13" outlineLevel="1">
      <c r="N346" s="116"/>
      <c r="O346" s="55"/>
      <c r="P346" s="137"/>
      <c r="Q346" s="116"/>
      <c r="T346" s="143"/>
      <c r="U346" s="143"/>
    </row>
    <row r="347" spans="14:21" ht="13" outlineLevel="1">
      <c r="N347" s="116"/>
      <c r="O347" s="55"/>
      <c r="P347" s="137"/>
      <c r="Q347" s="116"/>
      <c r="T347" s="143"/>
      <c r="U347" s="143"/>
    </row>
    <row r="348" spans="14:21" ht="13" outlineLevel="1">
      <c r="N348" s="116"/>
      <c r="O348" s="55"/>
      <c r="P348" s="137"/>
      <c r="Q348" s="116"/>
      <c r="T348" s="143"/>
      <c r="U348" s="143"/>
    </row>
    <row r="349" spans="14:21" ht="13" outlineLevel="1">
      <c r="N349" s="116"/>
      <c r="O349" s="55"/>
      <c r="P349" s="137"/>
      <c r="Q349" s="116"/>
      <c r="T349" s="143"/>
      <c r="U349" s="143"/>
    </row>
    <row r="350" spans="14:21" ht="13" outlineLevel="1">
      <c r="N350" s="116"/>
      <c r="O350" s="55"/>
      <c r="P350" s="137"/>
      <c r="Q350" s="116"/>
      <c r="T350" s="143"/>
      <c r="U350" s="143"/>
    </row>
    <row r="351" spans="14:21" ht="13" outlineLevel="1">
      <c r="N351" s="116"/>
      <c r="O351" s="55"/>
      <c r="P351" s="137"/>
      <c r="Q351" s="116"/>
      <c r="T351" s="143"/>
      <c r="U351" s="143"/>
    </row>
    <row r="352" spans="14:21" ht="13" outlineLevel="1">
      <c r="N352" s="116"/>
      <c r="O352" s="55"/>
      <c r="P352" s="137"/>
      <c r="Q352" s="116"/>
      <c r="T352" s="143"/>
      <c r="U352" s="143"/>
    </row>
    <row r="353" spans="2:21" ht="13" outlineLevel="1">
      <c r="N353" s="116"/>
      <c r="O353" s="55"/>
      <c r="P353" s="137"/>
      <c r="Q353" s="116"/>
      <c r="T353" s="143"/>
      <c r="U353" s="143"/>
    </row>
    <row r="354" spans="2:21" ht="13" outlineLevel="1">
      <c r="N354" s="116"/>
      <c r="O354" s="55"/>
      <c r="P354" s="137"/>
      <c r="Q354" s="116"/>
      <c r="T354" s="143"/>
      <c r="U354" s="143"/>
    </row>
    <row r="355" spans="2:21" ht="13" outlineLevel="1">
      <c r="N355" s="116"/>
      <c r="O355" s="55"/>
      <c r="P355" s="137"/>
      <c r="Q355" s="116"/>
      <c r="T355" s="143"/>
      <c r="U355" s="143"/>
    </row>
    <row r="356" spans="2:21" ht="13" outlineLevel="1">
      <c r="N356" s="116"/>
      <c r="O356" s="55"/>
      <c r="P356" s="137"/>
      <c r="Q356" s="116"/>
      <c r="T356" s="143"/>
      <c r="U356" s="143"/>
    </row>
    <row r="357" spans="2:21" ht="13" outlineLevel="1">
      <c r="N357" s="116"/>
      <c r="O357" s="55"/>
      <c r="P357" s="137"/>
      <c r="Q357" s="116"/>
      <c r="T357" s="143"/>
      <c r="U357" s="143"/>
    </row>
    <row r="358" spans="2:21" ht="13" outlineLevel="1">
      <c r="N358" s="116"/>
      <c r="O358" s="55"/>
      <c r="P358" s="137"/>
      <c r="Q358" s="116"/>
      <c r="T358" s="143"/>
      <c r="U358" s="143"/>
    </row>
    <row r="359" spans="2:21" ht="13" outlineLevel="1">
      <c r="N359" s="116"/>
      <c r="O359" s="55"/>
      <c r="P359" s="137"/>
      <c r="Q359" s="116"/>
      <c r="T359" s="143"/>
      <c r="U359" s="143"/>
    </row>
    <row r="360" spans="2:21" ht="13" outlineLevel="1">
      <c r="N360" s="116"/>
      <c r="O360" s="55"/>
      <c r="P360" s="137"/>
      <c r="Q360" s="116"/>
      <c r="T360" s="143"/>
      <c r="U360" s="143"/>
    </row>
    <row r="361" spans="2:21" ht="13" outlineLevel="1">
      <c r="N361" s="116"/>
      <c r="O361" s="55"/>
      <c r="P361" s="137"/>
      <c r="Q361" s="116"/>
      <c r="T361" s="143"/>
      <c r="U361" s="143"/>
    </row>
    <row r="362" spans="2:21" ht="13" outlineLevel="1">
      <c r="N362" s="116"/>
      <c r="O362" s="55"/>
      <c r="P362" s="137"/>
      <c r="Q362" s="116"/>
      <c r="T362" s="143"/>
      <c r="U362" s="143"/>
    </row>
    <row r="363" spans="2:21" ht="13" outlineLevel="1">
      <c r="N363" s="116"/>
      <c r="O363" s="55"/>
      <c r="P363" s="137"/>
      <c r="Q363" s="116"/>
      <c r="T363" s="143"/>
      <c r="U363" s="143"/>
    </row>
    <row r="364" spans="2:21" ht="13" outlineLevel="1">
      <c r="N364" s="116"/>
      <c r="O364" s="55"/>
      <c r="P364" s="137"/>
      <c r="Q364" s="116"/>
      <c r="T364" s="143"/>
      <c r="U364" s="143"/>
    </row>
    <row r="365" spans="2:21" ht="13">
      <c r="N365" s="116"/>
      <c r="O365" s="55"/>
      <c r="P365" s="137"/>
      <c r="Q365" s="116"/>
      <c r="T365" s="143"/>
      <c r="U365" s="143"/>
    </row>
    <row r="366" spans="2:21" ht="13">
      <c r="N366" s="116"/>
      <c r="O366" s="55"/>
      <c r="P366" s="137"/>
      <c r="Q366" s="116"/>
      <c r="T366" s="143"/>
      <c r="U366" s="143"/>
    </row>
    <row r="367" spans="2:21" ht="13">
      <c r="B367" s="163" t="s">
        <v>304</v>
      </c>
      <c r="C367" s="144"/>
      <c r="D367" s="144"/>
      <c r="N367" s="116"/>
      <c r="O367" s="116"/>
      <c r="P367" s="116"/>
      <c r="Q367" s="116"/>
    </row>
    <row r="368" spans="2:21" ht="13">
      <c r="B368" s="163"/>
      <c r="C368" s="144"/>
      <c r="D368" s="144"/>
      <c r="N368" s="116"/>
      <c r="O368" s="116"/>
      <c r="P368" s="116"/>
      <c r="Q368" s="116"/>
    </row>
    <row r="369" spans="1:19" ht="13">
      <c r="B369" s="142" t="s">
        <v>529</v>
      </c>
    </row>
    <row r="370" spans="1:19" s="116" customFormat="1">
      <c r="B370" s="116" t="s">
        <v>816</v>
      </c>
      <c r="O370" s="126"/>
      <c r="P370" s="126"/>
      <c r="Q370" s="126"/>
      <c r="R370" s="126"/>
    </row>
    <row r="371" spans="1:19" s="116" customFormat="1" ht="13">
      <c r="O371" s="621" t="s">
        <v>665</v>
      </c>
      <c r="P371" s="126"/>
      <c r="Q371" s="126"/>
      <c r="R371" s="126"/>
    </row>
    <row r="372" spans="1:19" ht="13">
      <c r="A372" s="80"/>
      <c r="B372" s="320"/>
      <c r="C372" s="518" t="s">
        <v>72</v>
      </c>
      <c r="D372" s="320" t="s">
        <v>73</v>
      </c>
      <c r="E372" s="320" t="s">
        <v>74</v>
      </c>
      <c r="F372" s="321" t="s">
        <v>75</v>
      </c>
      <c r="G372" s="320" t="s">
        <v>76</v>
      </c>
      <c r="H372" s="320" t="s">
        <v>77</v>
      </c>
      <c r="I372" s="320" t="s">
        <v>78</v>
      </c>
      <c r="J372" s="322" t="s">
        <v>79</v>
      </c>
      <c r="K372" s="322" t="s">
        <v>80</v>
      </c>
      <c r="L372" s="322" t="s">
        <v>81</v>
      </c>
      <c r="M372" s="138" t="s">
        <v>342</v>
      </c>
      <c r="N372" s="80"/>
      <c r="O372" s="323" t="s">
        <v>551</v>
      </c>
      <c r="P372" s="322" t="s">
        <v>552</v>
      </c>
      <c r="Q372" s="322" t="s">
        <v>553</v>
      </c>
      <c r="R372" s="323" t="s">
        <v>555</v>
      </c>
      <c r="S372" s="517" t="s">
        <v>256</v>
      </c>
    </row>
    <row r="373" spans="1:19" outlineLevel="1">
      <c r="A373" s="62"/>
      <c r="B373" s="523">
        <v>3201010020</v>
      </c>
      <c r="C373" s="225" t="s">
        <v>87</v>
      </c>
      <c r="D373" s="49">
        <v>0</v>
      </c>
      <c r="E373" s="49">
        <v>0</v>
      </c>
      <c r="F373" s="49">
        <v>0</v>
      </c>
      <c r="G373" s="49">
        <v>0</v>
      </c>
      <c r="H373" s="49">
        <v>0</v>
      </c>
      <c r="I373" s="49">
        <v>0</v>
      </c>
      <c r="J373" s="49">
        <v>0</v>
      </c>
      <c r="K373" s="49">
        <v>0</v>
      </c>
      <c r="L373" s="49">
        <v>0</v>
      </c>
      <c r="M373" s="62">
        <f t="shared" ref="M373:M401" si="42">(SUM(D373:L373))</f>
        <v>0</v>
      </c>
      <c r="N373" s="49"/>
      <c r="O373" s="49">
        <v>0</v>
      </c>
      <c r="P373" s="49">
        <v>0</v>
      </c>
      <c r="Q373" s="49">
        <v>0</v>
      </c>
      <c r="R373" s="49">
        <f>SUM(O373:Q373)+M373</f>
        <v>0</v>
      </c>
      <c r="S373" s="225">
        <v>190</v>
      </c>
    </row>
    <row r="374" spans="1:19" outlineLevel="1">
      <c r="A374" s="62"/>
      <c r="B374" s="523">
        <v>3201030010</v>
      </c>
      <c r="C374" s="225" t="s">
        <v>90</v>
      </c>
      <c r="D374" s="49">
        <v>293.17622999999998</v>
      </c>
      <c r="E374" s="49">
        <v>449.75524999999999</v>
      </c>
      <c r="F374" s="49">
        <v>189.64524000000003</v>
      </c>
      <c r="G374" s="49">
        <v>298.34938</v>
      </c>
      <c r="H374" s="49">
        <v>226.90199999999999</v>
      </c>
      <c r="I374" s="49">
        <v>407.48849000000001</v>
      </c>
      <c r="J374" s="49">
        <v>349.0548</v>
      </c>
      <c r="K374" s="49">
        <v>314.71949999999998</v>
      </c>
      <c r="L374" s="49">
        <v>567.44227999999998</v>
      </c>
      <c r="M374" s="62">
        <f>(SUM(D374:L374))</f>
        <v>3096.5331700000006</v>
      </c>
      <c r="N374" s="49"/>
      <c r="O374" s="49">
        <v>255.90006999999997</v>
      </c>
      <c r="P374" s="49">
        <v>703.79141000000004</v>
      </c>
      <c r="Q374" s="49">
        <v>312.03858999999994</v>
      </c>
      <c r="R374" s="49">
        <f t="shared" ref="R374:R430" si="43">SUM(O374:Q374)+M374</f>
        <v>4368.2632400000002</v>
      </c>
      <c r="S374" s="225">
        <v>190</v>
      </c>
    </row>
    <row r="375" spans="1:19" outlineLevel="1">
      <c r="A375" s="62"/>
      <c r="B375" s="663">
        <v>3201030020</v>
      </c>
      <c r="C375" s="225" t="s">
        <v>92</v>
      </c>
      <c r="D375" s="49">
        <v>44.270129999999995</v>
      </c>
      <c r="E375" s="49">
        <v>42.125089999999993</v>
      </c>
      <c r="F375" s="49">
        <v>30.919689999999999</v>
      </c>
      <c r="G375" s="49">
        <v>23.37388</v>
      </c>
      <c r="H375" s="49">
        <v>62.1511</v>
      </c>
      <c r="I375" s="49">
        <v>44.310209999999998</v>
      </c>
      <c r="J375" s="49">
        <v>12.078340000000001</v>
      </c>
      <c r="K375" s="49">
        <v>41.45675</v>
      </c>
      <c r="L375" s="49">
        <v>53.194269999999996</v>
      </c>
      <c r="M375" s="62">
        <f t="shared" si="42"/>
        <v>353.87945999999999</v>
      </c>
      <c r="N375" s="49"/>
      <c r="O375" s="49">
        <v>207.04973999999999</v>
      </c>
      <c r="P375" s="49">
        <v>59.581029999999998</v>
      </c>
      <c r="Q375" s="49">
        <v>63.896349999999998</v>
      </c>
      <c r="R375" s="49">
        <f t="shared" si="43"/>
        <v>684.40657999999996</v>
      </c>
      <c r="S375" s="225">
        <v>190</v>
      </c>
    </row>
    <row r="376" spans="1:19" outlineLevel="1">
      <c r="A376" s="62"/>
      <c r="B376" s="663">
        <v>3201030050</v>
      </c>
      <c r="C376" s="225" t="s">
        <v>238</v>
      </c>
      <c r="D376" s="49">
        <v>23.343810000000001</v>
      </c>
      <c r="E376" s="49">
        <v>22.32311</v>
      </c>
      <c r="F376" s="49">
        <v>23.046389999999999</v>
      </c>
      <c r="G376" s="49">
        <v>21.709419999999998</v>
      </c>
      <c r="H376" s="49">
        <v>24.051539999999999</v>
      </c>
      <c r="I376" s="49">
        <v>24.69041</v>
      </c>
      <c r="J376" s="49">
        <v>23.92014</v>
      </c>
      <c r="K376" s="49">
        <v>27.037009999999999</v>
      </c>
      <c r="L376" s="49">
        <v>22.823509999999999</v>
      </c>
      <c r="M376" s="62">
        <f t="shared" si="42"/>
        <v>212.94534000000002</v>
      </c>
      <c r="N376" s="49"/>
      <c r="O376" s="49">
        <v>27.326970000000003</v>
      </c>
      <c r="P376" s="49">
        <v>26.15448</v>
      </c>
      <c r="Q376" s="49">
        <v>28.006240000000002</v>
      </c>
      <c r="R376" s="49">
        <f t="shared" si="43"/>
        <v>294.43303000000003</v>
      </c>
      <c r="S376" s="225">
        <v>999</v>
      </c>
    </row>
    <row r="377" spans="1:19" outlineLevel="1">
      <c r="A377" s="62"/>
      <c r="B377" s="663">
        <v>3201040030</v>
      </c>
      <c r="C377" s="225" t="s">
        <v>113</v>
      </c>
      <c r="D377" s="49">
        <v>0</v>
      </c>
      <c r="E377" s="49">
        <v>0.77028999999999992</v>
      </c>
      <c r="F377" s="49">
        <v>0</v>
      </c>
      <c r="G377" s="49">
        <v>5.5108100000000002</v>
      </c>
      <c r="H377" s="49">
        <v>0</v>
      </c>
      <c r="I377" s="49">
        <v>0</v>
      </c>
      <c r="J377" s="49">
        <v>1.2030399999999999</v>
      </c>
      <c r="K377" s="49">
        <v>0</v>
      </c>
      <c r="L377" s="49">
        <v>0</v>
      </c>
      <c r="M377" s="62">
        <f>(SUM(D377:L377))</f>
        <v>7.48414</v>
      </c>
      <c r="N377" s="49"/>
      <c r="O377" s="49">
        <v>0</v>
      </c>
      <c r="P377" s="49">
        <v>0</v>
      </c>
      <c r="Q377" s="49">
        <v>15.6845</v>
      </c>
      <c r="R377" s="49">
        <f t="shared" si="43"/>
        <v>23.16864</v>
      </c>
      <c r="S377" s="225">
        <v>190</v>
      </c>
    </row>
    <row r="378" spans="1:19" outlineLevel="1">
      <c r="A378" s="62"/>
      <c r="B378" s="523">
        <v>3201040040</v>
      </c>
      <c r="C378" s="225" t="s">
        <v>112</v>
      </c>
      <c r="D378" s="49">
        <v>192.13802999999999</v>
      </c>
      <c r="E378" s="49">
        <v>209.53269</v>
      </c>
      <c r="F378" s="49">
        <v>192.48432</v>
      </c>
      <c r="G378" s="49">
        <v>134.78566000000001</v>
      </c>
      <c r="H378" s="49">
        <v>180.54220999999998</v>
      </c>
      <c r="I378" s="49">
        <v>189.89192</v>
      </c>
      <c r="J378" s="49">
        <v>181.01426000000001</v>
      </c>
      <c r="K378" s="49">
        <v>197.71265</v>
      </c>
      <c r="L378" s="49">
        <v>123.11031</v>
      </c>
      <c r="M378" s="62">
        <f t="shared" si="42"/>
        <v>1601.2120499999999</v>
      </c>
      <c r="N378" s="49"/>
      <c r="O378" s="49">
        <v>91.658529999999999</v>
      </c>
      <c r="P378" s="49">
        <v>239.75585000000001</v>
      </c>
      <c r="Q378" s="49">
        <v>287.25268</v>
      </c>
      <c r="R378" s="49">
        <f t="shared" si="43"/>
        <v>2219.8791099999999</v>
      </c>
      <c r="S378" s="225">
        <v>190</v>
      </c>
    </row>
    <row r="379" spans="1:19" outlineLevel="1">
      <c r="A379" s="62"/>
      <c r="B379" s="523">
        <v>3201050010</v>
      </c>
      <c r="C379" s="225" t="s">
        <v>93</v>
      </c>
      <c r="D379" s="49">
        <v>14.63636</v>
      </c>
      <c r="E379" s="49">
        <v>1.8601300000000001</v>
      </c>
      <c r="F379" s="49">
        <v>0</v>
      </c>
      <c r="G379" s="49">
        <v>0</v>
      </c>
      <c r="H379" s="49">
        <v>42.718879999999999</v>
      </c>
      <c r="I379" s="49">
        <v>0</v>
      </c>
      <c r="J379" s="49">
        <v>0.11996</v>
      </c>
      <c r="K379" s="49">
        <v>0</v>
      </c>
      <c r="L379" s="49">
        <v>14.131180000000001</v>
      </c>
      <c r="M379" s="62">
        <f t="shared" si="42"/>
        <v>73.46651</v>
      </c>
      <c r="N379" s="49"/>
      <c r="O379" s="49">
        <v>0</v>
      </c>
      <c r="P379" s="49">
        <v>0</v>
      </c>
      <c r="Q379" s="49">
        <v>0.82034000000000007</v>
      </c>
      <c r="R379" s="49">
        <f t="shared" si="43"/>
        <v>74.286850000000001</v>
      </c>
      <c r="S379" s="225">
        <v>190</v>
      </c>
    </row>
    <row r="380" spans="1:19" outlineLevel="1">
      <c r="A380" s="62"/>
      <c r="B380" s="523">
        <v>3201060010</v>
      </c>
      <c r="C380" s="225" t="s">
        <v>94</v>
      </c>
      <c r="D380" s="49">
        <v>90.858380000000011</v>
      </c>
      <c r="E380" s="49">
        <v>139.46564999999998</v>
      </c>
      <c r="F380" s="49">
        <v>88.994050000000001</v>
      </c>
      <c r="G380" s="49">
        <v>158.68717999999998</v>
      </c>
      <c r="H380" s="49">
        <v>142.94577999999998</v>
      </c>
      <c r="I380" s="49">
        <v>142.24845000000002</v>
      </c>
      <c r="J380" s="49">
        <v>62.842839999999995</v>
      </c>
      <c r="K380" s="49">
        <v>105.22667</v>
      </c>
      <c r="L380" s="49">
        <v>140.26967999999999</v>
      </c>
      <c r="M380" s="62">
        <f t="shared" si="42"/>
        <v>1071.5386800000001</v>
      </c>
      <c r="N380" s="49"/>
      <c r="O380" s="49">
        <v>183.5454</v>
      </c>
      <c r="P380" s="49">
        <v>594.86732999999992</v>
      </c>
      <c r="Q380" s="49">
        <v>1073.1248600000001</v>
      </c>
      <c r="R380" s="49">
        <f t="shared" si="43"/>
        <v>2923.07627</v>
      </c>
      <c r="S380" s="225">
        <v>190</v>
      </c>
    </row>
    <row r="381" spans="1:19" outlineLevel="1">
      <c r="A381" s="62"/>
      <c r="B381" s="523">
        <v>3201070010</v>
      </c>
      <c r="C381" s="225" t="s">
        <v>98</v>
      </c>
      <c r="D381" s="49">
        <v>60.419139999999999</v>
      </c>
      <c r="E381" s="49">
        <v>35.292809999999996</v>
      </c>
      <c r="F381" s="49">
        <v>69.578490000000002</v>
      </c>
      <c r="G381" s="49">
        <v>30.022539999999999</v>
      </c>
      <c r="H381" s="49">
        <v>0</v>
      </c>
      <c r="I381" s="49">
        <v>27.785900000000002</v>
      </c>
      <c r="J381" s="49">
        <v>246.96148000000002</v>
      </c>
      <c r="K381" s="49">
        <v>50.82902</v>
      </c>
      <c r="L381" s="49">
        <v>226.30579</v>
      </c>
      <c r="M381" s="62">
        <f t="shared" si="42"/>
        <v>747.19516999999996</v>
      </c>
      <c r="N381" s="49"/>
      <c r="O381" s="49">
        <v>0</v>
      </c>
      <c r="P381" s="49">
        <v>223.94589999999999</v>
      </c>
      <c r="Q381" s="49">
        <v>94.161829999999995</v>
      </c>
      <c r="R381" s="49">
        <f t="shared" si="43"/>
        <v>1065.3028999999999</v>
      </c>
      <c r="S381" s="225">
        <v>190</v>
      </c>
    </row>
    <row r="382" spans="1:19" outlineLevel="1">
      <c r="A382" s="62"/>
      <c r="B382" s="523">
        <v>3201090010</v>
      </c>
      <c r="C382" s="225" t="s">
        <v>99</v>
      </c>
      <c r="D382" s="49">
        <v>15.6943</v>
      </c>
      <c r="E382" s="49">
        <v>32.287419999999997</v>
      </c>
      <c r="F382" s="49">
        <v>9.6130400000000016</v>
      </c>
      <c r="G382" s="49">
        <v>18.731279999999998</v>
      </c>
      <c r="H382" s="49">
        <v>0.63590999999999998</v>
      </c>
      <c r="I382" s="49">
        <v>18.918860000000002</v>
      </c>
      <c r="J382" s="49">
        <v>22.916439999999998</v>
      </c>
      <c r="K382" s="49">
        <v>38.887989999999995</v>
      </c>
      <c r="L382" s="49">
        <v>34.880160000000004</v>
      </c>
      <c r="M382" s="62">
        <f t="shared" si="42"/>
        <v>192.56540000000001</v>
      </c>
      <c r="N382" s="49"/>
      <c r="O382" s="49">
        <v>57.596059999999994</v>
      </c>
      <c r="P382" s="49">
        <v>42.836910000000003</v>
      </c>
      <c r="Q382" s="49">
        <v>51.123410000000007</v>
      </c>
      <c r="R382" s="49">
        <f t="shared" si="43"/>
        <v>344.12178</v>
      </c>
      <c r="S382" s="225">
        <v>190</v>
      </c>
    </row>
    <row r="383" spans="1:19" outlineLevel="1">
      <c r="A383" s="62"/>
      <c r="B383" s="523">
        <v>3201100010</v>
      </c>
      <c r="C383" s="225" t="s">
        <v>100</v>
      </c>
      <c r="D383" s="49">
        <v>224.55673999999999</v>
      </c>
      <c r="E383" s="49">
        <v>133.37222</v>
      </c>
      <c r="F383" s="49">
        <v>123.06867999999999</v>
      </c>
      <c r="G383" s="49">
        <v>149.75626</v>
      </c>
      <c r="H383" s="49">
        <v>158.25922</v>
      </c>
      <c r="I383" s="49">
        <v>203.64829</v>
      </c>
      <c r="J383" s="49">
        <v>175.94666000000001</v>
      </c>
      <c r="K383" s="49">
        <v>228.24818999999999</v>
      </c>
      <c r="L383" s="49">
        <v>161.94502</v>
      </c>
      <c r="M383" s="62">
        <f t="shared" si="42"/>
        <v>1558.8012800000001</v>
      </c>
      <c r="N383" s="49"/>
      <c r="O383" s="49">
        <v>358.43144000000001</v>
      </c>
      <c r="P383" s="49">
        <v>383.30984999999998</v>
      </c>
      <c r="Q383" s="49">
        <v>274.71084000000002</v>
      </c>
      <c r="R383" s="49">
        <f t="shared" si="43"/>
        <v>2575.2534100000003</v>
      </c>
      <c r="S383" s="225">
        <v>190</v>
      </c>
    </row>
    <row r="384" spans="1:19" outlineLevel="1">
      <c r="A384" s="62"/>
      <c r="B384" s="523">
        <v>3201110020</v>
      </c>
      <c r="C384" s="225" t="s">
        <v>109</v>
      </c>
      <c r="D384" s="49">
        <v>177.75649999999999</v>
      </c>
      <c r="E384" s="49">
        <v>172.59082999999998</v>
      </c>
      <c r="F384" s="49">
        <v>146.02257999999998</v>
      </c>
      <c r="G384" s="49">
        <v>100.33828</v>
      </c>
      <c r="H384" s="49">
        <v>64.287540000000007</v>
      </c>
      <c r="I384" s="49">
        <v>27.75384</v>
      </c>
      <c r="J384" s="49">
        <v>35.24259</v>
      </c>
      <c r="K384" s="49">
        <v>39.266599999999997</v>
      </c>
      <c r="L384" s="49">
        <v>81.213210000000004</v>
      </c>
      <c r="M384" s="62">
        <f t="shared" si="42"/>
        <v>844.47196999999983</v>
      </c>
      <c r="N384" s="49"/>
      <c r="O384" s="49">
        <v>146.05089999999998</v>
      </c>
      <c r="P384" s="49">
        <v>1322.3509799999999</v>
      </c>
      <c r="Q384" s="49">
        <v>373.92995000000002</v>
      </c>
      <c r="R384" s="49">
        <f t="shared" si="43"/>
        <v>2686.8037999999997</v>
      </c>
      <c r="S384" s="225">
        <v>999</v>
      </c>
    </row>
    <row r="385" spans="1:19" outlineLevel="1">
      <c r="A385" s="62"/>
      <c r="B385" s="523">
        <v>3201120010</v>
      </c>
      <c r="C385" s="225" t="s">
        <v>115</v>
      </c>
      <c r="D385" s="49">
        <v>1926.05953</v>
      </c>
      <c r="E385" s="49">
        <v>2447.2157299999999</v>
      </c>
      <c r="F385" s="49">
        <v>2549.6664999999998</v>
      </c>
      <c r="G385" s="49">
        <v>2506.6518599999999</v>
      </c>
      <c r="H385" s="49">
        <v>2408.3926099999999</v>
      </c>
      <c r="I385" s="49">
        <v>2402.3568799999998</v>
      </c>
      <c r="J385" s="49">
        <v>2695.8195499999997</v>
      </c>
      <c r="K385" s="49">
        <v>2895.1254399999998</v>
      </c>
      <c r="L385" s="49">
        <v>2471.5893500000002</v>
      </c>
      <c r="M385" s="62">
        <f t="shared" si="42"/>
        <v>22302.87745</v>
      </c>
      <c r="N385" s="49"/>
      <c r="O385" s="49">
        <v>2878.7907300000002</v>
      </c>
      <c r="P385" s="49">
        <v>2284.97588</v>
      </c>
      <c r="Q385" s="49">
        <v>3692.88204</v>
      </c>
      <c r="R385" s="49">
        <f t="shared" si="43"/>
        <v>31159.526100000003</v>
      </c>
      <c r="S385" s="225">
        <v>201</v>
      </c>
    </row>
    <row r="386" spans="1:19" outlineLevel="1">
      <c r="A386" s="62"/>
      <c r="B386" s="523">
        <v>3201120015</v>
      </c>
      <c r="C386" s="225" t="s">
        <v>116</v>
      </c>
      <c r="D386" s="49">
        <v>0</v>
      </c>
      <c r="E386" s="49">
        <v>1.52328</v>
      </c>
      <c r="F386" s="49">
        <v>14.279500000000001</v>
      </c>
      <c r="G386" s="49">
        <v>3.8373900000000001</v>
      </c>
      <c r="H386" s="49">
        <v>8.4877299999999991</v>
      </c>
      <c r="I386" s="49">
        <v>3.6313</v>
      </c>
      <c r="J386" s="49">
        <v>1.2785299999999999</v>
      </c>
      <c r="K386" s="49">
        <v>16.786529999999999</v>
      </c>
      <c r="L386" s="49">
        <v>12.80034</v>
      </c>
      <c r="M386" s="62">
        <f t="shared" si="42"/>
        <v>62.624599999999994</v>
      </c>
      <c r="N386" s="49"/>
      <c r="O386" s="49">
        <v>10.958120000000001</v>
      </c>
      <c r="P386" s="49">
        <v>15.932829999999999</v>
      </c>
      <c r="Q386" s="49">
        <v>5.1808900000000007</v>
      </c>
      <c r="R386" s="49">
        <f t="shared" si="43"/>
        <v>94.696439999999996</v>
      </c>
      <c r="S386" s="225">
        <v>201</v>
      </c>
    </row>
    <row r="387" spans="1:19" outlineLevel="1">
      <c r="A387" s="62"/>
      <c r="B387" s="523">
        <v>3201120020</v>
      </c>
      <c r="C387" s="225" t="s">
        <v>117</v>
      </c>
      <c r="D387" s="49">
        <v>105.63853</v>
      </c>
      <c r="E387" s="49">
        <v>127.79838000000001</v>
      </c>
      <c r="F387" s="49">
        <v>156.18795</v>
      </c>
      <c r="G387" s="49">
        <v>197.67564000000002</v>
      </c>
      <c r="H387" s="49">
        <v>182.10434000000001</v>
      </c>
      <c r="I387" s="49">
        <v>982.51376000000005</v>
      </c>
      <c r="J387" s="49">
        <v>579.08786999999995</v>
      </c>
      <c r="K387" s="49">
        <v>483.41760999999997</v>
      </c>
      <c r="L387" s="49">
        <v>825.91093000000001</v>
      </c>
      <c r="M387" s="62">
        <f t="shared" si="42"/>
        <v>3640.3350099999998</v>
      </c>
      <c r="N387" s="49"/>
      <c r="O387" s="49">
        <v>604.19094999999993</v>
      </c>
      <c r="P387" s="49">
        <v>681.42028000000005</v>
      </c>
      <c r="Q387" s="49">
        <v>5053.6460900000002</v>
      </c>
      <c r="R387" s="49">
        <f t="shared" si="43"/>
        <v>9979.5923299999995</v>
      </c>
      <c r="S387" s="225">
        <v>606</v>
      </c>
    </row>
    <row r="388" spans="1:19" outlineLevel="1">
      <c r="A388" s="62"/>
      <c r="B388" s="523">
        <v>3201120030</v>
      </c>
      <c r="C388" s="225" t="s">
        <v>118</v>
      </c>
      <c r="D388" s="49">
        <v>0</v>
      </c>
      <c r="E388" s="49">
        <v>0</v>
      </c>
      <c r="F388" s="49">
        <v>0</v>
      </c>
      <c r="G388" s="49">
        <v>0</v>
      </c>
      <c r="H388" s="49">
        <v>0</v>
      </c>
      <c r="I388" s="49">
        <v>0</v>
      </c>
      <c r="J388" s="49">
        <v>0</v>
      </c>
      <c r="K388" s="49">
        <v>0</v>
      </c>
      <c r="L388" s="49">
        <v>0</v>
      </c>
      <c r="M388" s="62">
        <f t="shared" si="42"/>
        <v>0</v>
      </c>
      <c r="N388" s="49"/>
      <c r="O388" s="49">
        <v>0</v>
      </c>
      <c r="P388" s="49">
        <v>0</v>
      </c>
      <c r="Q388" s="49">
        <v>0</v>
      </c>
      <c r="R388" s="49">
        <f t="shared" si="43"/>
        <v>0</v>
      </c>
      <c r="S388" s="225">
        <v>606</v>
      </c>
    </row>
    <row r="389" spans="1:19" outlineLevel="1">
      <c r="A389" s="62"/>
      <c r="B389" s="523">
        <v>3201120035</v>
      </c>
      <c r="C389" s="225" t="s">
        <v>119</v>
      </c>
      <c r="D389" s="49">
        <v>24.889680000000002</v>
      </c>
      <c r="E389" s="49">
        <v>28.475720000000003</v>
      </c>
      <c r="F389" s="49">
        <v>31.719200000000001</v>
      </c>
      <c r="G389" s="49">
        <v>32.173090000000002</v>
      </c>
      <c r="H389" s="49">
        <v>30.96951</v>
      </c>
      <c r="I389" s="49">
        <v>0</v>
      </c>
      <c r="J389" s="49">
        <v>25.763279999999998</v>
      </c>
      <c r="K389" s="49">
        <v>25.827060000000003</v>
      </c>
      <c r="L389" s="49">
        <v>52.233339999999998</v>
      </c>
      <c r="M389" s="62">
        <f t="shared" si="42"/>
        <v>252.05088000000001</v>
      </c>
      <c r="N389" s="49"/>
      <c r="O389" s="49">
        <v>28.901520000000001</v>
      </c>
      <c r="P389" s="49">
        <v>27.01811</v>
      </c>
      <c r="Q389" s="49">
        <v>27.133230000000001</v>
      </c>
      <c r="R389" s="49">
        <f t="shared" si="43"/>
        <v>335.10374000000002</v>
      </c>
      <c r="S389" s="225">
        <v>606</v>
      </c>
    </row>
    <row r="390" spans="1:19" outlineLevel="1">
      <c r="A390" s="62"/>
      <c r="B390" s="523">
        <v>3201120045</v>
      </c>
      <c r="C390" s="225" t="s">
        <v>120</v>
      </c>
      <c r="D390" s="49">
        <v>0</v>
      </c>
      <c r="E390" s="49">
        <v>0</v>
      </c>
      <c r="F390" s="49">
        <v>0</v>
      </c>
      <c r="G390" s="49">
        <v>0</v>
      </c>
      <c r="H390" s="49">
        <v>0</v>
      </c>
      <c r="I390" s="49">
        <v>0</v>
      </c>
      <c r="J390" s="49">
        <v>0</v>
      </c>
      <c r="K390" s="49">
        <v>0</v>
      </c>
      <c r="L390" s="49">
        <v>0</v>
      </c>
      <c r="M390" s="62">
        <f t="shared" si="42"/>
        <v>0</v>
      </c>
      <c r="N390" s="49"/>
      <c r="O390" s="49">
        <v>0</v>
      </c>
      <c r="P390" s="49">
        <v>0</v>
      </c>
      <c r="Q390" s="49">
        <v>0</v>
      </c>
      <c r="R390" s="49">
        <f t="shared" si="43"/>
        <v>0</v>
      </c>
      <c r="S390" s="225">
        <v>606</v>
      </c>
    </row>
    <row r="391" spans="1:19" outlineLevel="1">
      <c r="A391" s="62"/>
      <c r="B391" s="523">
        <v>3201120086</v>
      </c>
      <c r="C391" s="225" t="s">
        <v>121</v>
      </c>
      <c r="D391" s="49">
        <v>4.5013699999999996</v>
      </c>
      <c r="E391" s="49">
        <v>2.87371</v>
      </c>
      <c r="F391" s="49">
        <v>4.4573400000000003</v>
      </c>
      <c r="G391" s="49">
        <v>2.1035500000000003</v>
      </c>
      <c r="H391" s="49">
        <v>179.80413000000001</v>
      </c>
      <c r="I391" s="49">
        <v>69.154339999999991</v>
      </c>
      <c r="J391" s="49">
        <v>66.477809999999991</v>
      </c>
      <c r="K391" s="49">
        <v>15.59801</v>
      </c>
      <c r="L391" s="49">
        <v>23.152049999999999</v>
      </c>
      <c r="M391" s="62">
        <f t="shared" si="42"/>
        <v>368.12230999999997</v>
      </c>
      <c r="N391" s="49"/>
      <c r="O391" s="49">
        <v>0</v>
      </c>
      <c r="P391" s="49">
        <v>19.679410000000001</v>
      </c>
      <c r="Q391" s="49">
        <v>3.8610199999999999</v>
      </c>
      <c r="R391" s="49">
        <f t="shared" si="43"/>
        <v>391.66273999999999</v>
      </c>
      <c r="S391" s="225">
        <v>606</v>
      </c>
    </row>
    <row r="392" spans="1:19" outlineLevel="1">
      <c r="A392" s="62"/>
      <c r="B392" s="523">
        <v>3201120090</v>
      </c>
      <c r="C392" s="225" t="s">
        <v>122</v>
      </c>
      <c r="D392" s="49">
        <v>0</v>
      </c>
      <c r="E392" s="49">
        <v>846.49443999999994</v>
      </c>
      <c r="F392" s="49">
        <v>146.54629</v>
      </c>
      <c r="G392" s="49">
        <v>1448.9529600000001</v>
      </c>
      <c r="H392" s="49">
        <v>436.77384000000001</v>
      </c>
      <c r="I392" s="49">
        <v>575.20256999999992</v>
      </c>
      <c r="J392" s="49">
        <v>835.65881999999999</v>
      </c>
      <c r="K392" s="49">
        <v>1290.93103</v>
      </c>
      <c r="L392" s="49">
        <v>509.99144000000001</v>
      </c>
      <c r="M392" s="62">
        <f t="shared" si="42"/>
        <v>6090.5513899999996</v>
      </c>
      <c r="N392" s="49"/>
      <c r="O392" s="49">
        <v>855.23936000000003</v>
      </c>
      <c r="P392" s="49">
        <v>542.21079000000009</v>
      </c>
      <c r="Q392" s="49">
        <v>1098.5069699999999</v>
      </c>
      <c r="R392" s="49">
        <f t="shared" si="43"/>
        <v>8586.5085099999997</v>
      </c>
      <c r="S392" s="225">
        <v>606</v>
      </c>
    </row>
    <row r="393" spans="1:19" outlineLevel="1">
      <c r="A393" s="62"/>
      <c r="B393" s="523">
        <v>3201120095</v>
      </c>
      <c r="C393" s="225" t="s">
        <v>327</v>
      </c>
      <c r="D393" s="49">
        <v>0</v>
      </c>
      <c r="E393" s="49">
        <v>0</v>
      </c>
      <c r="F393" s="49">
        <v>0</v>
      </c>
      <c r="G393" s="49">
        <v>0</v>
      </c>
      <c r="H393" s="49">
        <v>0</v>
      </c>
      <c r="I393" s="49">
        <v>0</v>
      </c>
      <c r="J393" s="49">
        <v>0</v>
      </c>
      <c r="K393" s="49">
        <v>91.954539999999994</v>
      </c>
      <c r="L393" s="49">
        <v>0</v>
      </c>
      <c r="M393" s="62">
        <f t="shared" si="42"/>
        <v>91.954539999999994</v>
      </c>
      <c r="N393" s="49"/>
      <c r="O393" s="49">
        <v>1617.41308</v>
      </c>
      <c r="P393" s="49">
        <v>527.38566000000003</v>
      </c>
      <c r="Q393" s="49">
        <v>1308.39393</v>
      </c>
      <c r="R393" s="49">
        <f t="shared" si="43"/>
        <v>3545.1472100000005</v>
      </c>
      <c r="S393" s="225">
        <v>606</v>
      </c>
    </row>
    <row r="394" spans="1:19" outlineLevel="1">
      <c r="A394" s="62"/>
      <c r="B394" s="523">
        <v>3201120265</v>
      </c>
      <c r="C394" s="225" t="s">
        <v>127</v>
      </c>
      <c r="D394" s="49">
        <v>1.25044</v>
      </c>
      <c r="E394" s="49">
        <v>0.82245000000000001</v>
      </c>
      <c r="F394" s="49">
        <v>0.53264999999999996</v>
      </c>
      <c r="G394" s="49">
        <v>0</v>
      </c>
      <c r="H394" s="49">
        <v>0</v>
      </c>
      <c r="I394" s="49">
        <v>0</v>
      </c>
      <c r="J394" s="49">
        <v>0</v>
      </c>
      <c r="K394" s="49">
        <v>0</v>
      </c>
      <c r="L394" s="49">
        <v>0</v>
      </c>
      <c r="M394" s="62">
        <f t="shared" si="42"/>
        <v>2.60554</v>
      </c>
      <c r="N394" s="49"/>
      <c r="O394" s="49">
        <v>0</v>
      </c>
      <c r="P394" s="49">
        <v>0</v>
      </c>
      <c r="Q394" s="49">
        <v>0</v>
      </c>
      <c r="R394" s="49">
        <f t="shared" si="43"/>
        <v>2.60554</v>
      </c>
      <c r="S394" s="225">
        <v>606</v>
      </c>
    </row>
    <row r="395" spans="1:19" outlineLevel="1">
      <c r="A395" s="62"/>
      <c r="B395" s="523">
        <v>3201120270</v>
      </c>
      <c r="C395" s="225" t="s">
        <v>128</v>
      </c>
      <c r="D395" s="49">
        <v>1.11761</v>
      </c>
      <c r="E395" s="49">
        <v>1.1873199999999999</v>
      </c>
      <c r="F395" s="49">
        <v>0.81470000000000009</v>
      </c>
      <c r="G395" s="49">
        <v>1.0619400000000001</v>
      </c>
      <c r="H395" s="49">
        <v>0.77222999999999997</v>
      </c>
      <c r="I395" s="49">
        <v>0.46688000000000002</v>
      </c>
      <c r="J395" s="49">
        <v>0.81567999999999996</v>
      </c>
      <c r="K395" s="49">
        <v>0.50524000000000002</v>
      </c>
      <c r="L395" s="49">
        <v>0.62370000000000003</v>
      </c>
      <c r="M395" s="62">
        <f t="shared" si="42"/>
        <v>7.3652999999999995</v>
      </c>
      <c r="N395" s="49"/>
      <c r="O395" s="49">
        <v>0.57392999999999994</v>
      </c>
      <c r="P395" s="49">
        <v>0.56780999999999993</v>
      </c>
      <c r="Q395" s="49">
        <v>0.37930000000000003</v>
      </c>
      <c r="R395" s="49">
        <f t="shared" si="43"/>
        <v>8.8863399999999988</v>
      </c>
      <c r="S395" s="225">
        <v>606</v>
      </c>
    </row>
    <row r="396" spans="1:19" outlineLevel="1">
      <c r="A396" s="62"/>
      <c r="B396" s="523">
        <v>3201120282</v>
      </c>
      <c r="C396" s="225" t="s">
        <v>130</v>
      </c>
      <c r="D396" s="49">
        <v>34.218820000000001</v>
      </c>
      <c r="E396" s="49">
        <v>37.50544</v>
      </c>
      <c r="F396" s="49">
        <v>31.49381</v>
      </c>
      <c r="G396" s="49">
        <v>30.515610000000002</v>
      </c>
      <c r="H396" s="49">
        <v>31.035769999999999</v>
      </c>
      <c r="I396" s="49">
        <v>30.627479999999998</v>
      </c>
      <c r="J396" s="49">
        <v>30.3033</v>
      </c>
      <c r="K396" s="49">
        <v>33.143769999999996</v>
      </c>
      <c r="L396" s="49">
        <v>30.68618</v>
      </c>
      <c r="M396" s="62">
        <f t="shared" si="42"/>
        <v>289.53017999999997</v>
      </c>
      <c r="N396" s="49"/>
      <c r="O396" s="49">
        <v>32.635339999999999</v>
      </c>
      <c r="P396" s="49">
        <v>33.133879999999998</v>
      </c>
      <c r="Q396" s="49">
        <v>34.74062</v>
      </c>
      <c r="R396" s="49">
        <f t="shared" si="43"/>
        <v>390.04001999999997</v>
      </c>
      <c r="S396" s="225">
        <v>606</v>
      </c>
    </row>
    <row r="397" spans="1:19" outlineLevel="1">
      <c r="A397" s="62"/>
      <c r="B397" s="523">
        <v>3201120292</v>
      </c>
      <c r="C397" s="225" t="s">
        <v>131</v>
      </c>
      <c r="D397" s="49">
        <v>913.64360999999997</v>
      </c>
      <c r="E397" s="49">
        <v>2612.3077699999999</v>
      </c>
      <c r="F397" s="49">
        <v>3338.2292900000002</v>
      </c>
      <c r="G397" s="49">
        <v>3406.6117599999998</v>
      </c>
      <c r="H397" s="49">
        <v>3215.7581</v>
      </c>
      <c r="I397" s="49">
        <v>3446.4555599999999</v>
      </c>
      <c r="J397" s="49">
        <v>2003.30853</v>
      </c>
      <c r="K397" s="49">
        <v>3287.8428699999999</v>
      </c>
      <c r="L397" s="49">
        <v>1084.50047</v>
      </c>
      <c r="M397" s="62">
        <f t="shared" si="42"/>
        <v>23308.657959999997</v>
      </c>
      <c r="N397" s="49"/>
      <c r="O397" s="49">
        <v>1287.68307</v>
      </c>
      <c r="P397" s="49">
        <v>1084.4021699999998</v>
      </c>
      <c r="Q397" s="49">
        <v>3107.826</v>
      </c>
      <c r="R397" s="49">
        <f t="shared" si="43"/>
        <v>28788.569199999998</v>
      </c>
      <c r="S397" s="225">
        <v>606</v>
      </c>
    </row>
    <row r="398" spans="1:19" outlineLevel="1">
      <c r="A398" s="62"/>
      <c r="B398" s="523">
        <v>3201120293</v>
      </c>
      <c r="C398" s="225" t="s">
        <v>123</v>
      </c>
      <c r="D398" s="49">
        <v>0</v>
      </c>
      <c r="E398" s="49">
        <v>0</v>
      </c>
      <c r="F398" s="49">
        <v>160.54542999999998</v>
      </c>
      <c r="G398" s="49">
        <v>66.826750000000004</v>
      </c>
      <c r="H398" s="49">
        <v>64.057839999999999</v>
      </c>
      <c r="I398" s="49">
        <v>0</v>
      </c>
      <c r="J398" s="49">
        <v>123.44938999999999</v>
      </c>
      <c r="K398" s="49">
        <v>293.35174999999998</v>
      </c>
      <c r="L398" s="49">
        <v>176.11337</v>
      </c>
      <c r="M398" s="62">
        <f t="shared" si="42"/>
        <v>884.34453000000008</v>
      </c>
      <c r="N398" s="49"/>
      <c r="O398" s="49">
        <v>74.568830000000005</v>
      </c>
      <c r="P398" s="49">
        <v>106.49144</v>
      </c>
      <c r="Q398" s="49">
        <v>298.89881000000003</v>
      </c>
      <c r="R398" s="49">
        <f t="shared" si="43"/>
        <v>1364.3036100000002</v>
      </c>
      <c r="S398" s="225">
        <v>606</v>
      </c>
    </row>
    <row r="399" spans="1:19" outlineLevel="1">
      <c r="A399" s="62"/>
      <c r="B399" s="523">
        <v>3201120330</v>
      </c>
      <c r="C399" s="225" t="s">
        <v>134</v>
      </c>
      <c r="D399" s="49">
        <v>188.61429999999999</v>
      </c>
      <c r="E399" s="49">
        <v>206.76241000000002</v>
      </c>
      <c r="F399" s="49">
        <v>200.86389000000003</v>
      </c>
      <c r="G399" s="49">
        <v>194.62504999999999</v>
      </c>
      <c r="H399" s="49">
        <v>197.94255999999999</v>
      </c>
      <c r="I399" s="49">
        <v>195.33851000000001</v>
      </c>
      <c r="J399" s="49">
        <v>193.27096</v>
      </c>
      <c r="K399" s="49">
        <v>211.38714000000002</v>
      </c>
      <c r="L399" s="49">
        <v>195.71293</v>
      </c>
      <c r="M399" s="62">
        <f t="shared" si="42"/>
        <v>1784.51775</v>
      </c>
      <c r="N399" s="49"/>
      <c r="O399" s="49">
        <v>208.14444</v>
      </c>
      <c r="P399" s="49">
        <v>211.32405</v>
      </c>
      <c r="Q399" s="49">
        <v>221.57167999999999</v>
      </c>
      <c r="R399" s="49">
        <f t="shared" si="43"/>
        <v>2425.5579200000002</v>
      </c>
      <c r="S399" s="225">
        <v>606</v>
      </c>
    </row>
    <row r="400" spans="1:19" outlineLevel="1">
      <c r="A400" s="62"/>
      <c r="B400" s="523">
        <v>3201120340</v>
      </c>
      <c r="C400" s="225" t="s">
        <v>135</v>
      </c>
      <c r="D400" s="49">
        <v>0</v>
      </c>
      <c r="E400" s="49">
        <v>0</v>
      </c>
      <c r="F400" s="49">
        <v>0</v>
      </c>
      <c r="G400" s="49">
        <v>0</v>
      </c>
      <c r="H400" s="49">
        <v>0</v>
      </c>
      <c r="I400" s="49">
        <v>0</v>
      </c>
      <c r="J400" s="49">
        <v>0</v>
      </c>
      <c r="K400" s="49">
        <v>26.128679999999999</v>
      </c>
      <c r="L400" s="49">
        <v>0</v>
      </c>
      <c r="M400" s="62">
        <f t="shared" si="42"/>
        <v>26.128679999999999</v>
      </c>
      <c r="N400" s="49"/>
      <c r="O400" s="49">
        <v>25.727869999999999</v>
      </c>
      <c r="P400" s="49">
        <v>0</v>
      </c>
      <c r="Q400" s="49">
        <v>0</v>
      </c>
      <c r="R400" s="49">
        <f t="shared" si="43"/>
        <v>51.856549999999999</v>
      </c>
      <c r="S400" s="225">
        <v>606</v>
      </c>
    </row>
    <row r="401" spans="1:19" outlineLevel="1">
      <c r="A401" s="62"/>
      <c r="B401" s="523">
        <v>3201140030</v>
      </c>
      <c r="C401" s="225" t="s">
        <v>102</v>
      </c>
      <c r="D401" s="49">
        <v>8.3846399999999992</v>
      </c>
      <c r="E401" s="49">
        <v>15.522540000000001</v>
      </c>
      <c r="F401" s="49">
        <v>10.84925</v>
      </c>
      <c r="G401" s="49">
        <v>28.736139999999999</v>
      </c>
      <c r="H401" s="49">
        <v>20.84909</v>
      </c>
      <c r="I401" s="49">
        <v>27.2469</v>
      </c>
      <c r="J401" s="49">
        <v>8.8813500000000012</v>
      </c>
      <c r="K401" s="49">
        <v>26.909179999999999</v>
      </c>
      <c r="L401" s="49">
        <v>4.1589600000000004</v>
      </c>
      <c r="M401" s="62">
        <f t="shared" si="42"/>
        <v>151.53805</v>
      </c>
      <c r="N401" s="49"/>
      <c r="O401" s="49">
        <v>0</v>
      </c>
      <c r="P401" s="49">
        <v>22.807639999999999</v>
      </c>
      <c r="Q401" s="49">
        <v>6.9358999999999993</v>
      </c>
      <c r="R401" s="49">
        <f t="shared" si="43"/>
        <v>181.28158999999999</v>
      </c>
      <c r="S401" s="225">
        <v>190</v>
      </c>
    </row>
    <row r="402" spans="1:19" outlineLevel="1">
      <c r="A402" s="62"/>
      <c r="B402" s="523">
        <v>3202010050</v>
      </c>
      <c r="C402" s="225" t="s">
        <v>138</v>
      </c>
      <c r="D402" s="49">
        <v>11971.40602</v>
      </c>
      <c r="E402" s="49">
        <v>9366.6602400000011</v>
      </c>
      <c r="F402" s="49">
        <v>9746.5884100000003</v>
      </c>
      <c r="G402" s="49">
        <v>9158.0170999999991</v>
      </c>
      <c r="H402" s="49">
        <v>9406.2263399999993</v>
      </c>
      <c r="I402" s="49">
        <v>12720.931460000002</v>
      </c>
      <c r="J402" s="49">
        <v>9065.1686699999991</v>
      </c>
      <c r="K402" s="49">
        <v>9906.4454499999993</v>
      </c>
      <c r="L402" s="49">
        <v>8922.2295699999995</v>
      </c>
      <c r="M402" s="62">
        <f t="shared" ref="M402:M430" si="44">(SUM(D402:L402))</f>
        <v>90263.673259999996</v>
      </c>
      <c r="N402" s="49"/>
      <c r="O402" s="49">
        <v>10035.313960000001</v>
      </c>
      <c r="P402" s="49">
        <v>9681.5931799999998</v>
      </c>
      <c r="Q402" s="49">
        <v>10306.81394</v>
      </c>
      <c r="R402" s="49">
        <f t="shared" si="43"/>
        <v>120287.39434</v>
      </c>
      <c r="S402" s="225">
        <v>301</v>
      </c>
    </row>
    <row r="403" spans="1:19" outlineLevel="1">
      <c r="A403" s="62"/>
      <c r="B403" s="523">
        <v>3202010150</v>
      </c>
      <c r="C403" s="225" t="s">
        <v>139</v>
      </c>
      <c r="D403" s="49">
        <v>1897.6091399999998</v>
      </c>
      <c r="E403" s="49">
        <v>1342.4597099999999</v>
      </c>
      <c r="F403" s="49">
        <v>1421.16427</v>
      </c>
      <c r="G403" s="49">
        <v>1388.4239700000001</v>
      </c>
      <c r="H403" s="49">
        <v>1566.5915500000001</v>
      </c>
      <c r="I403" s="49">
        <v>1897.5933600000001</v>
      </c>
      <c r="J403" s="49">
        <v>1280.15579</v>
      </c>
      <c r="K403" s="49">
        <v>1445.9623300000001</v>
      </c>
      <c r="L403" s="49">
        <v>1270.90904</v>
      </c>
      <c r="M403" s="62">
        <f t="shared" si="44"/>
        <v>13510.869160000002</v>
      </c>
      <c r="N403" s="49"/>
      <c r="O403" s="49">
        <v>1476.7741799999999</v>
      </c>
      <c r="P403" s="49">
        <v>1412.81233</v>
      </c>
      <c r="Q403" s="49">
        <v>-1933.2246200000002</v>
      </c>
      <c r="R403" s="49">
        <f t="shared" si="43"/>
        <v>14467.231050000002</v>
      </c>
      <c r="S403" s="225">
        <v>301</v>
      </c>
    </row>
    <row r="404" spans="1:19" outlineLevel="1">
      <c r="A404" s="62"/>
      <c r="B404" s="523">
        <v>3202020060</v>
      </c>
      <c r="C404" s="225" t="s">
        <v>140</v>
      </c>
      <c r="D404" s="49">
        <v>241.92178000000001</v>
      </c>
      <c r="E404" s="49">
        <v>267.58882</v>
      </c>
      <c r="F404" s="49">
        <v>280.85846999999995</v>
      </c>
      <c r="G404" s="49">
        <v>277.38471000000004</v>
      </c>
      <c r="H404" s="49">
        <v>276.82544000000001</v>
      </c>
      <c r="I404" s="49">
        <v>252.68870000000001</v>
      </c>
      <c r="J404" s="49">
        <v>271.57477</v>
      </c>
      <c r="K404" s="49">
        <v>310.82915000000003</v>
      </c>
      <c r="L404" s="49">
        <v>267.65009999999995</v>
      </c>
      <c r="M404" s="62">
        <f t="shared" si="44"/>
        <v>2447.3219399999998</v>
      </c>
      <c r="N404" s="49"/>
      <c r="O404" s="49">
        <v>318.58385999999996</v>
      </c>
      <c r="P404" s="49">
        <v>289.64798999999999</v>
      </c>
      <c r="Q404" s="49">
        <v>318.33282000000003</v>
      </c>
      <c r="R404" s="49">
        <f t="shared" si="43"/>
        <v>3373.8866099999996</v>
      </c>
      <c r="S404" s="225">
        <v>301</v>
      </c>
    </row>
    <row r="405" spans="1:19" outlineLevel="1">
      <c r="A405" s="62"/>
      <c r="B405" s="523">
        <v>3202030010</v>
      </c>
      <c r="C405" s="225" t="s">
        <v>141</v>
      </c>
      <c r="D405" s="49">
        <v>2.2811999999999997</v>
      </c>
      <c r="E405" s="49">
        <v>12.079450000000001</v>
      </c>
      <c r="F405" s="49">
        <v>3.5489699999999997</v>
      </c>
      <c r="G405" s="49">
        <v>4.6054599999999999</v>
      </c>
      <c r="H405" s="49">
        <v>0</v>
      </c>
      <c r="I405" s="49">
        <v>6.8626400000000007</v>
      </c>
      <c r="J405" s="49">
        <v>3.1505799999999997</v>
      </c>
      <c r="K405" s="49">
        <v>0.91704999999999992</v>
      </c>
      <c r="L405" s="49">
        <v>7.5828199999999999</v>
      </c>
      <c r="M405" s="62">
        <f t="shared" si="44"/>
        <v>41.028170000000003</v>
      </c>
      <c r="N405" s="49"/>
      <c r="O405" s="49">
        <v>0.59104000000000001</v>
      </c>
      <c r="P405" s="49">
        <v>4.03383</v>
      </c>
      <c r="Q405" s="49">
        <v>8.3365299999999998</v>
      </c>
      <c r="R405" s="49">
        <f t="shared" si="43"/>
        <v>53.989570000000001</v>
      </c>
      <c r="S405" s="225">
        <v>301</v>
      </c>
    </row>
    <row r="406" spans="1:19" outlineLevel="1">
      <c r="A406" s="62"/>
      <c r="B406" s="523">
        <v>3202030170</v>
      </c>
      <c r="C406" s="225" t="s">
        <v>142</v>
      </c>
      <c r="D406" s="49">
        <v>0</v>
      </c>
      <c r="E406" s="49">
        <v>0</v>
      </c>
      <c r="F406" s="49">
        <v>0</v>
      </c>
      <c r="G406" s="49">
        <v>62.434150000000002</v>
      </c>
      <c r="H406" s="49">
        <v>269.55234999999999</v>
      </c>
      <c r="I406" s="49">
        <v>0</v>
      </c>
      <c r="J406" s="49">
        <v>63.717489999999998</v>
      </c>
      <c r="K406" s="49">
        <v>15.0794</v>
      </c>
      <c r="L406" s="49">
        <v>0</v>
      </c>
      <c r="M406" s="62">
        <f t="shared" si="44"/>
        <v>410.78339</v>
      </c>
      <c r="N406" s="49"/>
      <c r="O406" s="49">
        <v>0</v>
      </c>
      <c r="P406" s="49">
        <v>0</v>
      </c>
      <c r="Q406" s="49">
        <v>0</v>
      </c>
      <c r="R406" s="49">
        <f t="shared" si="43"/>
        <v>410.78339</v>
      </c>
      <c r="S406" s="225">
        <v>301</v>
      </c>
    </row>
    <row r="407" spans="1:19" outlineLevel="1">
      <c r="A407" s="62"/>
      <c r="B407" s="523">
        <v>3203000015</v>
      </c>
      <c r="C407" s="225" t="s">
        <v>148</v>
      </c>
      <c r="D407" s="49">
        <v>4385.4552000000003</v>
      </c>
      <c r="E407" s="49">
        <v>3415.00173</v>
      </c>
      <c r="F407" s="49">
        <v>3574.3065699999997</v>
      </c>
      <c r="G407" s="49">
        <v>3385.4306099999999</v>
      </c>
      <c r="H407" s="49">
        <v>3493.20444</v>
      </c>
      <c r="I407" s="49">
        <v>4631.3202999999994</v>
      </c>
      <c r="J407" s="49">
        <v>3308.4892599999998</v>
      </c>
      <c r="K407" s="49">
        <v>3619.24208</v>
      </c>
      <c r="L407" s="49">
        <v>3266.1758100000002</v>
      </c>
      <c r="M407" s="62">
        <f t="shared" si="44"/>
        <v>33078.625999999997</v>
      </c>
      <c r="N407" s="49"/>
      <c r="O407" s="49">
        <v>3655.39597</v>
      </c>
      <c r="P407" s="49">
        <v>3516.1436600000002</v>
      </c>
      <c r="Q407" s="49">
        <v>2999.9155000000001</v>
      </c>
      <c r="R407" s="49">
        <f t="shared" si="43"/>
        <v>43250.081129999999</v>
      </c>
      <c r="S407" s="225">
        <v>301</v>
      </c>
    </row>
    <row r="408" spans="1:19" outlineLevel="1">
      <c r="A408" s="62"/>
      <c r="B408" s="523">
        <v>3203000016</v>
      </c>
      <c r="C408" s="225" t="s">
        <v>149</v>
      </c>
      <c r="D408" s="49">
        <v>0</v>
      </c>
      <c r="E408" s="49">
        <v>0</v>
      </c>
      <c r="F408" s="49">
        <v>0</v>
      </c>
      <c r="G408" s="49">
        <v>0</v>
      </c>
      <c r="H408" s="49">
        <v>39.680889999999998</v>
      </c>
      <c r="I408" s="49">
        <v>0</v>
      </c>
      <c r="J408" s="49">
        <v>0</v>
      </c>
      <c r="K408" s="49">
        <v>0</v>
      </c>
      <c r="L408" s="49">
        <v>0</v>
      </c>
      <c r="M408" s="62">
        <f t="shared" si="44"/>
        <v>39.680889999999998</v>
      </c>
      <c r="N408" s="49"/>
      <c r="O408" s="49">
        <v>0</v>
      </c>
      <c r="P408" s="49">
        <v>0</v>
      </c>
      <c r="Q408" s="49">
        <v>0</v>
      </c>
      <c r="R408" s="49">
        <f t="shared" si="43"/>
        <v>39.680889999999998</v>
      </c>
      <c r="S408" s="225">
        <v>301</v>
      </c>
    </row>
    <row r="409" spans="1:19" outlineLevel="1">
      <c r="A409" s="62"/>
      <c r="B409" s="523">
        <v>3203000125</v>
      </c>
      <c r="C409" s="225" t="s">
        <v>150</v>
      </c>
      <c r="D409" s="49">
        <v>235.20345999999998</v>
      </c>
      <c r="E409" s="49">
        <v>183.1601</v>
      </c>
      <c r="F409" s="49">
        <v>191.77612999999999</v>
      </c>
      <c r="G409" s="49">
        <v>181.61099999999999</v>
      </c>
      <c r="H409" s="49">
        <v>187.65196</v>
      </c>
      <c r="I409" s="49">
        <v>248.63654</v>
      </c>
      <c r="J409" s="49">
        <v>177.84488000000002</v>
      </c>
      <c r="K409" s="49">
        <v>194.54840999999999</v>
      </c>
      <c r="L409" s="49">
        <v>175.34189999999998</v>
      </c>
      <c r="M409" s="62">
        <f t="shared" si="44"/>
        <v>1775.7743799999998</v>
      </c>
      <c r="N409" s="49"/>
      <c r="O409" s="49">
        <v>197.18698999999998</v>
      </c>
      <c r="P409" s="49">
        <v>190.60459</v>
      </c>
      <c r="Q409" s="49">
        <v>202.96621999999999</v>
      </c>
      <c r="R409" s="49">
        <f t="shared" si="43"/>
        <v>2366.5321799999997</v>
      </c>
      <c r="S409" s="225">
        <v>301</v>
      </c>
    </row>
    <row r="410" spans="1:19" outlineLevel="1">
      <c r="A410" s="62"/>
      <c r="B410" s="523">
        <v>3204000010</v>
      </c>
      <c r="C410" s="225" t="s">
        <v>152</v>
      </c>
      <c r="D410" s="49">
        <v>221.91764999999998</v>
      </c>
      <c r="E410" s="49">
        <v>243.27014000000003</v>
      </c>
      <c r="F410" s="49">
        <v>236.33013</v>
      </c>
      <c r="G410" s="49">
        <v>228.98892000000001</v>
      </c>
      <c r="H410" s="49">
        <v>238.21107999999998</v>
      </c>
      <c r="I410" s="49">
        <v>235.07727</v>
      </c>
      <c r="J410" s="49">
        <v>279.95226000000002</v>
      </c>
      <c r="K410" s="49">
        <v>254.39161999999999</v>
      </c>
      <c r="L410" s="49">
        <v>235.52787000000001</v>
      </c>
      <c r="M410" s="62">
        <f t="shared" si="44"/>
        <v>2173.6669400000001</v>
      </c>
      <c r="N410" s="49"/>
      <c r="O410" s="49">
        <v>250.48839000000001</v>
      </c>
      <c r="P410" s="49">
        <v>254.31485000000001</v>
      </c>
      <c r="Q410" s="49">
        <v>266.6472</v>
      </c>
      <c r="R410" s="49">
        <f t="shared" si="43"/>
        <v>2945.1173800000001</v>
      </c>
      <c r="S410" s="225">
        <v>401</v>
      </c>
    </row>
    <row r="411" spans="1:19" outlineLevel="1">
      <c r="A411" s="62"/>
      <c r="B411" s="523">
        <v>3204000020</v>
      </c>
      <c r="C411" s="225" t="s">
        <v>153</v>
      </c>
      <c r="D411" s="49">
        <v>418.60166999999996</v>
      </c>
      <c r="E411" s="49">
        <v>310.21772999999996</v>
      </c>
      <c r="F411" s="49">
        <v>304.69418999999999</v>
      </c>
      <c r="G411" s="49">
        <v>267.71728999999999</v>
      </c>
      <c r="H411" s="49">
        <v>299.19466</v>
      </c>
      <c r="I411" s="49">
        <v>286.55761000000001</v>
      </c>
      <c r="J411" s="49">
        <v>277.48521</v>
      </c>
      <c r="K411" s="49">
        <v>419.63804999999996</v>
      </c>
      <c r="L411" s="49">
        <v>294.90877</v>
      </c>
      <c r="M411" s="62">
        <f t="shared" si="44"/>
        <v>2879.0151799999999</v>
      </c>
      <c r="N411" s="49"/>
      <c r="O411" s="49">
        <v>290.23824000000002</v>
      </c>
      <c r="P411" s="49">
        <v>357.34881000000001</v>
      </c>
      <c r="Q411" s="49">
        <v>436.04169000000002</v>
      </c>
      <c r="R411" s="49">
        <f t="shared" si="43"/>
        <v>3962.64392</v>
      </c>
      <c r="S411" s="225">
        <v>401</v>
      </c>
    </row>
    <row r="412" spans="1:19" outlineLevel="1">
      <c r="A412" s="62"/>
      <c r="B412" s="523">
        <v>3204000090</v>
      </c>
      <c r="C412" s="225" t="s">
        <v>154</v>
      </c>
      <c r="D412" s="49">
        <v>74.908940000000001</v>
      </c>
      <c r="E412" s="49">
        <v>82.116529999999997</v>
      </c>
      <c r="F412" s="49">
        <v>79.773910000000001</v>
      </c>
      <c r="G412" s="49">
        <v>77.296130000000005</v>
      </c>
      <c r="H412" s="49">
        <v>78.613690000000005</v>
      </c>
      <c r="I412" s="49">
        <v>77.57947999999999</v>
      </c>
      <c r="J412" s="49">
        <v>76.758350000000007</v>
      </c>
      <c r="K412" s="49">
        <v>83.95326</v>
      </c>
      <c r="L412" s="49">
        <v>77.728189999999998</v>
      </c>
      <c r="M412" s="62">
        <f t="shared" si="44"/>
        <v>708.72847999999999</v>
      </c>
      <c r="N412" s="49"/>
      <c r="O412" s="49">
        <v>84.322360000000003</v>
      </c>
      <c r="P412" s="49">
        <v>83.928210000000007</v>
      </c>
      <c r="Q412" s="49">
        <v>87.998089999999991</v>
      </c>
      <c r="R412" s="49">
        <f t="shared" si="43"/>
        <v>964.97713999999996</v>
      </c>
      <c r="S412" s="225">
        <v>401</v>
      </c>
    </row>
    <row r="413" spans="1:19" outlineLevel="1">
      <c r="A413" s="62"/>
      <c r="B413" s="523">
        <v>3204000130</v>
      </c>
      <c r="C413" s="225" t="s">
        <v>157</v>
      </c>
      <c r="D413" s="49">
        <v>21.33727</v>
      </c>
      <c r="E413" s="49">
        <v>23.3903</v>
      </c>
      <c r="F413" s="49">
        <v>22.723020000000002</v>
      </c>
      <c r="G413" s="49">
        <v>22.017240000000001</v>
      </c>
      <c r="H413" s="49">
        <v>22.39254</v>
      </c>
      <c r="I413" s="49">
        <v>45.745379999999997</v>
      </c>
      <c r="J413" s="49">
        <v>39.641750000000002</v>
      </c>
      <c r="K413" s="49">
        <v>93.747119999999995</v>
      </c>
      <c r="L413" s="49">
        <v>39.908290000000001</v>
      </c>
      <c r="M413" s="62">
        <f t="shared" si="44"/>
        <v>330.90291000000002</v>
      </c>
      <c r="N413" s="49"/>
      <c r="O413" s="49">
        <v>60.748769999999993</v>
      </c>
      <c r="P413" s="49">
        <v>119.54709</v>
      </c>
      <c r="Q413" s="49">
        <v>160.17814999999999</v>
      </c>
      <c r="R413" s="49">
        <f t="shared" si="43"/>
        <v>671.37692000000004</v>
      </c>
      <c r="S413" s="225">
        <v>401</v>
      </c>
    </row>
    <row r="414" spans="1:19" outlineLevel="1">
      <c r="A414" s="62"/>
      <c r="B414" s="523">
        <v>3205010080</v>
      </c>
      <c r="C414" s="225" t="s">
        <v>176</v>
      </c>
      <c r="D414" s="49">
        <v>136.16422</v>
      </c>
      <c r="E414" s="49">
        <v>32.146080000000005</v>
      </c>
      <c r="F414" s="49">
        <v>5.9734600000000002</v>
      </c>
      <c r="G414" s="49">
        <v>0</v>
      </c>
      <c r="H414" s="49">
        <v>0</v>
      </c>
      <c r="I414" s="49">
        <v>0</v>
      </c>
      <c r="J414" s="49">
        <v>0</v>
      </c>
      <c r="K414" s="49">
        <v>0</v>
      </c>
      <c r="L414" s="49">
        <v>371.76120000000003</v>
      </c>
      <c r="M414" s="62">
        <f t="shared" si="44"/>
        <v>546.04496000000006</v>
      </c>
      <c r="N414" s="49"/>
      <c r="O414" s="49">
        <v>261.30736999999999</v>
      </c>
      <c r="P414" s="49">
        <v>15.49933</v>
      </c>
      <c r="Q414" s="49">
        <v>1.7477</v>
      </c>
      <c r="R414" s="49">
        <f t="shared" si="43"/>
        <v>824.59936000000005</v>
      </c>
      <c r="S414" s="225">
        <v>606</v>
      </c>
    </row>
    <row r="415" spans="1:19" outlineLevel="1">
      <c r="A415" s="62"/>
      <c r="B415" s="523">
        <v>3205010081</v>
      </c>
      <c r="C415" s="225" t="s">
        <v>177</v>
      </c>
      <c r="D415" s="49">
        <v>0</v>
      </c>
      <c r="E415" s="49">
        <v>0</v>
      </c>
      <c r="F415" s="49">
        <v>0</v>
      </c>
      <c r="G415" s="49">
        <v>0</v>
      </c>
      <c r="H415" s="49">
        <v>1.56132</v>
      </c>
      <c r="I415" s="49">
        <v>0</v>
      </c>
      <c r="J415" s="49">
        <v>0</v>
      </c>
      <c r="K415" s="49">
        <v>0</v>
      </c>
      <c r="L415" s="49">
        <v>0</v>
      </c>
      <c r="M415" s="62">
        <f t="shared" si="44"/>
        <v>1.56132</v>
      </c>
      <c r="N415" s="49"/>
      <c r="O415" s="49">
        <v>1.6417899999999999</v>
      </c>
      <c r="P415" s="49">
        <v>0</v>
      </c>
      <c r="Q415" s="49">
        <v>0</v>
      </c>
      <c r="R415" s="49">
        <f t="shared" si="43"/>
        <v>3.2031099999999997</v>
      </c>
      <c r="S415" s="225">
        <v>606</v>
      </c>
    </row>
    <row r="416" spans="1:19" outlineLevel="1">
      <c r="A416" s="62"/>
      <c r="B416" s="523">
        <v>3205010900</v>
      </c>
      <c r="C416" s="225" t="s">
        <v>194</v>
      </c>
      <c r="D416" s="49">
        <v>0</v>
      </c>
      <c r="E416" s="49">
        <v>0</v>
      </c>
      <c r="F416" s="49">
        <v>0</v>
      </c>
      <c r="G416" s="49">
        <v>0.62508000000000008</v>
      </c>
      <c r="H416" s="49">
        <v>0</v>
      </c>
      <c r="I416" s="49">
        <v>0</v>
      </c>
      <c r="J416" s="49">
        <v>0</v>
      </c>
      <c r="K416" s="49">
        <v>1.8272599999999999</v>
      </c>
      <c r="L416" s="49">
        <v>0</v>
      </c>
      <c r="M416" s="62">
        <f t="shared" si="44"/>
        <v>2.45234</v>
      </c>
      <c r="N416" s="49"/>
      <c r="O416" s="49">
        <v>2.4264800000000002</v>
      </c>
      <c r="P416" s="49">
        <v>0</v>
      </c>
      <c r="Q416" s="49">
        <v>0</v>
      </c>
      <c r="R416" s="49">
        <f t="shared" si="43"/>
        <v>4.8788200000000002</v>
      </c>
      <c r="S416" s="225">
        <v>606</v>
      </c>
    </row>
    <row r="417" spans="1:19" outlineLevel="1">
      <c r="A417" s="62"/>
      <c r="B417" s="523">
        <v>3205010120</v>
      </c>
      <c r="C417" s="225" t="s">
        <v>179</v>
      </c>
      <c r="D417" s="49">
        <v>1.9011400000000001</v>
      </c>
      <c r="E417" s="49">
        <v>2.08406</v>
      </c>
      <c r="F417" s="49">
        <v>2.02461</v>
      </c>
      <c r="G417" s="49">
        <v>1.9617200000000001</v>
      </c>
      <c r="H417" s="49">
        <v>1.99516</v>
      </c>
      <c r="I417" s="49">
        <v>1.9689100000000002</v>
      </c>
      <c r="J417" s="49">
        <v>1.94807</v>
      </c>
      <c r="K417" s="49">
        <v>2.1306700000000003</v>
      </c>
      <c r="L417" s="49">
        <v>1.9726900000000001</v>
      </c>
      <c r="M417" s="62">
        <f t="shared" si="44"/>
        <v>17.987030000000001</v>
      </c>
      <c r="N417" s="49"/>
      <c r="O417" s="49">
        <v>2.0979899999999998</v>
      </c>
      <c r="P417" s="49">
        <v>2.1300400000000002</v>
      </c>
      <c r="Q417" s="49">
        <v>2.23333</v>
      </c>
      <c r="R417" s="49">
        <f t="shared" si="43"/>
        <v>24.448390000000003</v>
      </c>
      <c r="S417" s="225">
        <v>606</v>
      </c>
    </row>
    <row r="418" spans="1:19" outlineLevel="1">
      <c r="A418" s="62"/>
      <c r="B418" s="523">
        <v>3205010155</v>
      </c>
      <c r="C418" s="225" t="s">
        <v>181</v>
      </c>
      <c r="D418" s="49">
        <v>628.39918</v>
      </c>
      <c r="E418" s="49">
        <v>0</v>
      </c>
      <c r="F418" s="49">
        <v>0</v>
      </c>
      <c r="G418" s="49">
        <v>0</v>
      </c>
      <c r="H418" s="49">
        <v>349.19135</v>
      </c>
      <c r="I418" s="49">
        <v>0</v>
      </c>
      <c r="J418" s="49">
        <v>70.149169999999998</v>
      </c>
      <c r="K418" s="49">
        <v>935.67545999999993</v>
      </c>
      <c r="L418" s="49">
        <v>178.04397</v>
      </c>
      <c r="M418" s="62">
        <f t="shared" si="44"/>
        <v>2161.4591299999997</v>
      </c>
      <c r="N418" s="49"/>
      <c r="O418" s="49">
        <v>0</v>
      </c>
      <c r="P418" s="49">
        <v>36.927589999999995</v>
      </c>
      <c r="Q418" s="49">
        <v>0</v>
      </c>
      <c r="R418" s="49">
        <f t="shared" si="43"/>
        <v>2198.3867199999995</v>
      </c>
      <c r="S418" s="225">
        <v>606</v>
      </c>
    </row>
    <row r="419" spans="1:19" outlineLevel="1">
      <c r="A419" s="62"/>
      <c r="B419" s="523">
        <v>3205010190</v>
      </c>
      <c r="C419" s="225" t="s">
        <v>184</v>
      </c>
      <c r="D419" s="49">
        <v>59.312980000000003</v>
      </c>
      <c r="E419" s="49">
        <v>65.019959999999998</v>
      </c>
      <c r="F419" s="49">
        <v>62.760040000000004</v>
      </c>
      <c r="G419" s="49">
        <v>55.75611</v>
      </c>
      <c r="H419" s="49">
        <v>56.706510000000002</v>
      </c>
      <c r="I419" s="49">
        <v>55.960500000000003</v>
      </c>
      <c r="J419" s="49">
        <v>55.368190000000006</v>
      </c>
      <c r="K419" s="49">
        <v>39.139830000000003</v>
      </c>
      <c r="L419" s="49">
        <v>43.206420000000001</v>
      </c>
      <c r="M419" s="62">
        <f t="shared" si="44"/>
        <v>493.23054000000008</v>
      </c>
      <c r="N419" s="49"/>
      <c r="O419" s="49">
        <v>83.958780000000004</v>
      </c>
      <c r="P419" s="49">
        <v>67.079300000000003</v>
      </c>
      <c r="Q419" s="49">
        <v>70.332139999999995</v>
      </c>
      <c r="R419" s="49">
        <f t="shared" si="43"/>
        <v>714.60076000000004</v>
      </c>
      <c r="S419" s="225">
        <v>606</v>
      </c>
    </row>
    <row r="420" spans="1:19" outlineLevel="1">
      <c r="A420" s="62"/>
      <c r="B420" s="523">
        <v>3205010250</v>
      </c>
      <c r="C420" s="225" t="s">
        <v>189</v>
      </c>
      <c r="D420" s="49">
        <v>0</v>
      </c>
      <c r="E420" s="49">
        <v>2.00725</v>
      </c>
      <c r="F420" s="49">
        <v>22.863580000000002</v>
      </c>
      <c r="G420" s="49">
        <v>2.0808299999999997</v>
      </c>
      <c r="H420" s="49">
        <v>36.009900000000002</v>
      </c>
      <c r="I420" s="49">
        <v>0</v>
      </c>
      <c r="J420" s="49">
        <v>18.528200000000002</v>
      </c>
      <c r="K420" s="49">
        <v>3.2492299999999998</v>
      </c>
      <c r="L420" s="49">
        <v>40.589580000000005</v>
      </c>
      <c r="M420" s="62">
        <f t="shared" si="44"/>
        <v>125.32857000000001</v>
      </c>
      <c r="N420" s="49"/>
      <c r="O420" s="49">
        <v>12.289010000000001</v>
      </c>
      <c r="P420" s="49">
        <v>29.66245</v>
      </c>
      <c r="Q420" s="49">
        <v>25.360759999999999</v>
      </c>
      <c r="R420" s="49">
        <f t="shared" si="43"/>
        <v>192.64079000000001</v>
      </c>
      <c r="S420" s="225">
        <v>606</v>
      </c>
    </row>
    <row r="421" spans="1:19" outlineLevel="1">
      <c r="A421" s="62"/>
      <c r="B421" s="523">
        <v>3205010259</v>
      </c>
      <c r="C421" s="225" t="s">
        <v>192</v>
      </c>
      <c r="D421" s="49">
        <v>801.41971999999998</v>
      </c>
      <c r="E421" s="49">
        <v>878.53081000000009</v>
      </c>
      <c r="F421" s="49">
        <v>853.4680699999999</v>
      </c>
      <c r="G421" s="49">
        <v>826.95932999999991</v>
      </c>
      <c r="H421" s="49">
        <v>841.05535999999995</v>
      </c>
      <c r="I421" s="49">
        <v>829.99079000000006</v>
      </c>
      <c r="J421" s="49">
        <v>821.20581000000004</v>
      </c>
      <c r="K421" s="49">
        <v>898.18120999999996</v>
      </c>
      <c r="L421" s="49">
        <v>831.58172999999999</v>
      </c>
      <c r="M421" s="62">
        <f t="shared" si="44"/>
        <v>7582.3928299999998</v>
      </c>
      <c r="N421" s="49"/>
      <c r="O421" s="49">
        <v>884.40305000000001</v>
      </c>
      <c r="P421" s="49">
        <v>897.91317000000004</v>
      </c>
      <c r="Q421" s="49">
        <v>941.4551899999999</v>
      </c>
      <c r="R421" s="49">
        <f t="shared" si="43"/>
        <v>10306.16424</v>
      </c>
      <c r="S421" s="225">
        <v>606</v>
      </c>
    </row>
    <row r="422" spans="1:19" outlineLevel="1">
      <c r="A422" s="62"/>
      <c r="B422" s="523">
        <v>3205030130</v>
      </c>
      <c r="C422" s="225" t="s">
        <v>159</v>
      </c>
      <c r="D422" s="49">
        <v>6.0343</v>
      </c>
      <c r="E422" s="49">
        <v>6.6148999999999996</v>
      </c>
      <c r="F422" s="49">
        <v>6.4261899999999992</v>
      </c>
      <c r="G422" s="49">
        <v>5.6454300000000002</v>
      </c>
      <c r="H422" s="49">
        <v>6.0236200000000002</v>
      </c>
      <c r="I422" s="49">
        <v>5.8613500000000007</v>
      </c>
      <c r="J422" s="49">
        <v>5.7993100000000002</v>
      </c>
      <c r="K422" s="49">
        <v>6.3271199999999999</v>
      </c>
      <c r="L422" s="49">
        <v>5.8995699999999998</v>
      </c>
      <c r="M422" s="62">
        <f t="shared" si="44"/>
        <v>54.631789999999995</v>
      </c>
      <c r="N422" s="49"/>
      <c r="O422" s="49">
        <v>6.2743000000000002</v>
      </c>
      <c r="P422" s="49">
        <v>6.4150600000000004</v>
      </c>
      <c r="Q422" s="49">
        <v>6.6625100000000002</v>
      </c>
      <c r="R422" s="49">
        <f t="shared" si="43"/>
        <v>73.98366</v>
      </c>
      <c r="S422" s="225">
        <v>301</v>
      </c>
    </row>
    <row r="423" spans="1:19" outlineLevel="1">
      <c r="A423" s="62"/>
      <c r="B423" s="523">
        <v>3205040099</v>
      </c>
      <c r="C423" s="225" t="s">
        <v>144</v>
      </c>
      <c r="D423" s="49">
        <v>76.675020000000004</v>
      </c>
      <c r="E423" s="49">
        <v>81.013469999999998</v>
      </c>
      <c r="F423" s="49">
        <v>70.094859999999997</v>
      </c>
      <c r="G423" s="49">
        <v>68.038160000000005</v>
      </c>
      <c r="H423" s="49">
        <v>77.4285</v>
      </c>
      <c r="I423" s="49">
        <v>55.572000000000003</v>
      </c>
      <c r="J423" s="49">
        <v>63.535539999999997</v>
      </c>
      <c r="K423" s="49">
        <v>112.77439</v>
      </c>
      <c r="L423" s="49">
        <v>56.397970000000001</v>
      </c>
      <c r="M423" s="62">
        <f t="shared" si="44"/>
        <v>661.52990999999997</v>
      </c>
      <c r="N423" s="49"/>
      <c r="O423" s="49">
        <v>111.67725999999999</v>
      </c>
      <c r="P423" s="49">
        <v>70.31165</v>
      </c>
      <c r="Q423" s="49">
        <v>100.02674</v>
      </c>
      <c r="R423" s="49">
        <f t="shared" si="43"/>
        <v>943.54556000000002</v>
      </c>
      <c r="S423" s="225">
        <v>301</v>
      </c>
    </row>
    <row r="424" spans="1:19" outlineLevel="1">
      <c r="A424" s="62"/>
      <c r="B424" s="523">
        <v>3205040100</v>
      </c>
      <c r="C424" s="225" t="s">
        <v>145</v>
      </c>
      <c r="D424" s="49">
        <v>52.17839</v>
      </c>
      <c r="E424" s="49">
        <v>41.018329999999999</v>
      </c>
      <c r="F424" s="49">
        <v>96.621030000000005</v>
      </c>
      <c r="G424" s="49">
        <v>95.253</v>
      </c>
      <c r="H424" s="49">
        <v>55.739059999999995</v>
      </c>
      <c r="I424" s="49">
        <v>57.634740000000001</v>
      </c>
      <c r="J424" s="49">
        <v>56.8018</v>
      </c>
      <c r="K424" s="49">
        <v>74.102199999999996</v>
      </c>
      <c r="L424" s="49">
        <v>63.301699999999997</v>
      </c>
      <c r="M424" s="62">
        <f t="shared" si="44"/>
        <v>592.65025000000003</v>
      </c>
      <c r="N424" s="49"/>
      <c r="O424" s="49">
        <v>46.011749999999999</v>
      </c>
      <c r="P424" s="49">
        <v>48.320059999999998</v>
      </c>
      <c r="Q424" s="49">
        <v>82.600820000000013</v>
      </c>
      <c r="R424" s="49">
        <f t="shared" si="43"/>
        <v>769.58288000000005</v>
      </c>
      <c r="S424" s="225">
        <v>301</v>
      </c>
    </row>
    <row r="425" spans="1:19" outlineLevel="1">
      <c r="A425" s="62"/>
      <c r="B425" s="663">
        <v>3205060027</v>
      </c>
      <c r="C425" s="225" t="s">
        <v>222</v>
      </c>
      <c r="D425" s="49">
        <v>0</v>
      </c>
      <c r="E425" s="49">
        <v>0</v>
      </c>
      <c r="F425" s="49">
        <v>0</v>
      </c>
      <c r="G425" s="49">
        <v>0</v>
      </c>
      <c r="H425" s="49">
        <v>0</v>
      </c>
      <c r="I425" s="49">
        <v>0</v>
      </c>
      <c r="J425" s="49">
        <v>0</v>
      </c>
      <c r="K425" s="49">
        <v>0</v>
      </c>
      <c r="L425" s="49">
        <v>0</v>
      </c>
      <c r="M425" s="62">
        <f t="shared" si="44"/>
        <v>0</v>
      </c>
      <c r="N425" s="49"/>
      <c r="O425" s="49">
        <v>0</v>
      </c>
      <c r="P425" s="49">
        <v>0</v>
      </c>
      <c r="Q425" s="49">
        <v>0</v>
      </c>
      <c r="R425" s="49">
        <f t="shared" si="43"/>
        <v>0</v>
      </c>
      <c r="S425" s="225">
        <v>606</v>
      </c>
    </row>
    <row r="426" spans="1:19" outlineLevel="1">
      <c r="A426" s="62"/>
      <c r="B426" s="523">
        <v>3205060042</v>
      </c>
      <c r="C426" s="225" t="s">
        <v>226</v>
      </c>
      <c r="D426" s="49">
        <v>0</v>
      </c>
      <c r="E426" s="49">
        <v>0.37163000000000002</v>
      </c>
      <c r="F426" s="49">
        <v>0.37869999999999998</v>
      </c>
      <c r="G426" s="49">
        <v>0.46700999999999998</v>
      </c>
      <c r="H426" s="49">
        <v>0.80065999999999993</v>
      </c>
      <c r="I426" s="49">
        <v>1.0312000000000001</v>
      </c>
      <c r="J426" s="49">
        <v>0.85465999999999998</v>
      </c>
      <c r="K426" s="49">
        <v>0.94199999999999995</v>
      </c>
      <c r="L426" s="49">
        <v>0.61307</v>
      </c>
      <c r="M426" s="62">
        <f t="shared" si="44"/>
        <v>5.4589300000000005</v>
      </c>
      <c r="N426" s="49"/>
      <c r="O426" s="49">
        <v>0.72075999999999996</v>
      </c>
      <c r="P426" s="49">
        <v>0.50707999999999998</v>
      </c>
      <c r="Q426" s="49">
        <v>0.53166999999999998</v>
      </c>
      <c r="R426" s="49">
        <f t="shared" si="43"/>
        <v>7.2184400000000011</v>
      </c>
      <c r="S426" s="225">
        <v>606</v>
      </c>
    </row>
    <row r="427" spans="1:19" ht="13">
      <c r="A427" s="59"/>
      <c r="B427" s="523">
        <v>3206010170</v>
      </c>
      <c r="C427" s="225" t="s">
        <v>146</v>
      </c>
      <c r="D427" s="49">
        <v>12.64931</v>
      </c>
      <c r="E427" s="49">
        <v>16.435290000000002</v>
      </c>
      <c r="F427" s="49">
        <v>17.788040000000002</v>
      </c>
      <c r="G427" s="49">
        <v>17.385540000000002</v>
      </c>
      <c r="H427" s="49">
        <v>17.926269999999999</v>
      </c>
      <c r="I427" s="49">
        <v>18.619679999999999</v>
      </c>
      <c r="J427" s="49">
        <v>21.66216</v>
      </c>
      <c r="K427" s="49">
        <v>25.289480000000001</v>
      </c>
      <c r="L427" s="49">
        <v>22.577110000000001</v>
      </c>
      <c r="M427" s="62">
        <f t="shared" si="44"/>
        <v>170.33288000000002</v>
      </c>
      <c r="N427" s="59"/>
      <c r="O427" s="49">
        <v>27.530999999999999</v>
      </c>
      <c r="P427" s="49">
        <v>25.968610000000002</v>
      </c>
      <c r="Q427" s="49">
        <v>30.206580000000002</v>
      </c>
      <c r="R427" s="49">
        <f t="shared" si="43"/>
        <v>254.03907000000004</v>
      </c>
      <c r="S427" s="225">
        <v>301</v>
      </c>
    </row>
    <row r="428" spans="1:19" ht="13">
      <c r="A428" s="59"/>
      <c r="B428" s="523">
        <v>3304000018</v>
      </c>
      <c r="C428" s="225" t="s">
        <v>163</v>
      </c>
      <c r="D428" s="49">
        <v>0.91049999999999998</v>
      </c>
      <c r="E428" s="49">
        <v>0.90151000000000003</v>
      </c>
      <c r="F428" s="49">
        <v>0.96962999999999999</v>
      </c>
      <c r="G428" s="49">
        <v>0.90920000000000001</v>
      </c>
      <c r="H428" s="49">
        <v>0.95552999999999999</v>
      </c>
      <c r="I428" s="49">
        <v>0.91254000000000002</v>
      </c>
      <c r="J428" s="49">
        <v>0.93298000000000003</v>
      </c>
      <c r="K428" s="49">
        <v>1.0204299999999999</v>
      </c>
      <c r="L428" s="49">
        <v>0.91428999999999994</v>
      </c>
      <c r="M428" s="62">
        <f t="shared" si="44"/>
        <v>8.4266099999999984</v>
      </c>
      <c r="N428" s="59"/>
      <c r="O428" s="49">
        <v>1.00478</v>
      </c>
      <c r="P428" s="49">
        <v>0</v>
      </c>
      <c r="Q428" s="49">
        <v>0</v>
      </c>
      <c r="R428" s="49">
        <f t="shared" si="43"/>
        <v>9.4313899999999986</v>
      </c>
      <c r="S428" s="225">
        <v>606</v>
      </c>
    </row>
    <row r="429" spans="1:19" ht="13">
      <c r="A429" s="59"/>
      <c r="B429" s="523">
        <v>3304000019</v>
      </c>
      <c r="C429" s="225" t="s">
        <v>164</v>
      </c>
      <c r="D429" s="49">
        <v>1.8193900000000001</v>
      </c>
      <c r="E429" s="49">
        <v>0.13678000000000001</v>
      </c>
      <c r="F429" s="49">
        <v>1.38053</v>
      </c>
      <c r="G429" s="49">
        <v>2.9555199999999999</v>
      </c>
      <c r="H429" s="49">
        <v>1.7072799999999999</v>
      </c>
      <c r="I429" s="49">
        <v>1.63045</v>
      </c>
      <c r="J429" s="49">
        <v>3.0366900000000001</v>
      </c>
      <c r="K429" s="49">
        <v>2.0143499999999999</v>
      </c>
      <c r="L429" s="49">
        <v>1.80481</v>
      </c>
      <c r="M429" s="62">
        <f t="shared" si="44"/>
        <v>16.485800000000001</v>
      </c>
      <c r="N429" s="59"/>
      <c r="O429" s="49">
        <v>1.9834499999999999</v>
      </c>
      <c r="P429" s="49">
        <v>1.9487399999999999</v>
      </c>
      <c r="Q429" s="49">
        <v>2.1743999999999999</v>
      </c>
      <c r="R429" s="49">
        <f t="shared" si="43"/>
        <v>22.592390000000002</v>
      </c>
      <c r="S429" s="225">
        <v>606</v>
      </c>
    </row>
    <row r="430" spans="1:19" ht="13">
      <c r="A430" s="59"/>
      <c r="B430" s="523">
        <v>3304000015</v>
      </c>
      <c r="C430" s="225" t="s">
        <v>162</v>
      </c>
      <c r="D430" s="49">
        <v>0.80884</v>
      </c>
      <c r="E430" s="49">
        <v>0.68032000000000004</v>
      </c>
      <c r="F430" s="49">
        <v>0.72175999999999996</v>
      </c>
      <c r="G430" s="49">
        <v>0.67676999999999998</v>
      </c>
      <c r="H430" s="49">
        <v>0.71126999999999996</v>
      </c>
      <c r="I430" s="49">
        <v>0.67926999999999993</v>
      </c>
      <c r="J430" s="49">
        <v>0.74451999999999996</v>
      </c>
      <c r="K430" s="49">
        <v>0.83333000000000002</v>
      </c>
      <c r="L430" s="49">
        <v>0.74664999999999992</v>
      </c>
      <c r="M430" s="62">
        <f t="shared" si="44"/>
        <v>6.6027299999999993</v>
      </c>
      <c r="N430" s="59"/>
      <c r="O430" s="49">
        <v>0.82055</v>
      </c>
      <c r="P430" s="49">
        <v>0.80620999999999998</v>
      </c>
      <c r="Q430" s="49">
        <v>0.87347000000000008</v>
      </c>
      <c r="R430" s="49">
        <f t="shared" si="43"/>
        <v>9.1029599999999995</v>
      </c>
      <c r="S430" s="225">
        <v>606</v>
      </c>
    </row>
    <row r="431" spans="1:19" ht="13">
      <c r="A431" s="59"/>
      <c r="B431" s="509" t="s">
        <v>546</v>
      </c>
      <c r="C431" s="519"/>
      <c r="D431" s="466">
        <f>SUM(D373:D430)</f>
        <v>25594.083470000009</v>
      </c>
      <c r="E431" s="466">
        <f t="shared" ref="E431:L431" si="45">SUM(E373:E430)</f>
        <v>23940.769820000005</v>
      </c>
      <c r="F431" s="466">
        <f t="shared" si="45"/>
        <v>24522.792849999998</v>
      </c>
      <c r="G431" s="466">
        <f t="shared" si="45"/>
        <v>24993.676709999996</v>
      </c>
      <c r="H431" s="466">
        <f t="shared" si="45"/>
        <v>25005.398660000003</v>
      </c>
      <c r="I431" s="466">
        <f t="shared" si="45"/>
        <v>30252.584720000003</v>
      </c>
      <c r="J431" s="466">
        <f t="shared" si="45"/>
        <v>23639.921729999998</v>
      </c>
      <c r="K431" s="466">
        <f t="shared" si="45"/>
        <v>28190.554109999994</v>
      </c>
      <c r="L431" s="466">
        <f t="shared" si="45"/>
        <v>22990.16159</v>
      </c>
      <c r="M431" s="466">
        <f>SUM(M373:M430)</f>
        <v>229129.94365999996</v>
      </c>
      <c r="N431" s="59"/>
      <c r="O431" s="466">
        <f>SUM(O373:O430)</f>
        <v>26766.178429999996</v>
      </c>
      <c r="P431" s="466">
        <f t="shared" ref="P431:Q431" si="46">SUM(P373:P430)</f>
        <v>26267.407519999993</v>
      </c>
      <c r="Q431" s="466">
        <f t="shared" si="46"/>
        <v>31552.916899999993</v>
      </c>
      <c r="R431" s="466">
        <f>SUM(R373:R430)</f>
        <v>313716.44650999992</v>
      </c>
      <c r="S431" s="519"/>
    </row>
    <row r="432" spans="1:19" ht="13">
      <c r="A432" s="59"/>
      <c r="B432" s="126"/>
      <c r="C432" s="662"/>
      <c r="D432" s="198"/>
      <c r="E432" s="198"/>
      <c r="F432" s="198"/>
      <c r="G432" s="198"/>
      <c r="H432" s="198"/>
      <c r="I432" s="198"/>
      <c r="J432" s="198"/>
      <c r="K432" s="198"/>
      <c r="L432" s="198"/>
      <c r="M432" s="198"/>
      <c r="N432" s="59"/>
      <c r="O432" s="59"/>
      <c r="P432" s="59"/>
      <c r="Q432" s="135"/>
    </row>
    <row r="433" spans="2:17">
      <c r="O433" s="135"/>
      <c r="P433" s="135"/>
      <c r="Q433" s="135"/>
    </row>
    <row r="434" spans="2:17" ht="13">
      <c r="B434" s="463" t="s">
        <v>566</v>
      </c>
      <c r="D434" s="137"/>
    </row>
    <row r="435" spans="2:17">
      <c r="B435" s="116" t="s">
        <v>816</v>
      </c>
      <c r="D435" s="137"/>
    </row>
    <row r="436" spans="2:17" ht="13">
      <c r="B436" s="490"/>
      <c r="C436" s="518" t="s">
        <v>72</v>
      </c>
      <c r="D436" s="520" t="s">
        <v>663</v>
      </c>
      <c r="E436" s="520" t="s">
        <v>664</v>
      </c>
      <c r="F436" s="521" t="s">
        <v>578</v>
      </c>
      <c r="G436" s="521" t="s">
        <v>579</v>
      </c>
    </row>
    <row r="437" spans="2:17" outlineLevel="1">
      <c r="B437" s="116">
        <v>3201030010</v>
      </c>
      <c r="C437" s="116" t="s">
        <v>260</v>
      </c>
      <c r="D437" s="137">
        <v>94.654579999999996</v>
      </c>
      <c r="E437" s="49">
        <v>277.92194000000001</v>
      </c>
      <c r="F437" s="306" t="s">
        <v>507</v>
      </c>
      <c r="G437" s="110">
        <v>190</v>
      </c>
      <c r="I437" s="116"/>
      <c r="J437" s="116"/>
      <c r="K437" s="49"/>
    </row>
    <row r="438" spans="2:17" outlineLevel="1">
      <c r="B438" s="116">
        <v>3201040030</v>
      </c>
      <c r="C438" s="116" t="s">
        <v>261</v>
      </c>
      <c r="D438" s="137">
        <v>16.199280000000002</v>
      </c>
      <c r="E438" s="49">
        <v>16.168890000000001</v>
      </c>
      <c r="F438" s="306" t="s">
        <v>507</v>
      </c>
      <c r="G438" s="110">
        <v>190</v>
      </c>
      <c r="I438" s="116"/>
      <c r="J438" s="116"/>
      <c r="K438" s="49"/>
    </row>
    <row r="439" spans="2:17" outlineLevel="1">
      <c r="B439" s="116">
        <v>3201040040</v>
      </c>
      <c r="C439" s="116" t="s">
        <v>262</v>
      </c>
      <c r="D439" s="137">
        <v>1113.39879</v>
      </c>
      <c r="E439" s="49">
        <v>1545.0765900000001</v>
      </c>
      <c r="F439" s="306" t="s">
        <v>507</v>
      </c>
      <c r="G439" s="110">
        <v>190</v>
      </c>
      <c r="I439" s="116"/>
      <c r="J439" s="116"/>
      <c r="K439" s="49"/>
    </row>
    <row r="440" spans="2:17" outlineLevel="1">
      <c r="B440" s="116">
        <v>3201060010</v>
      </c>
      <c r="C440" s="116" t="s">
        <v>263</v>
      </c>
      <c r="D440" s="137">
        <v>21.255130000000001</v>
      </c>
      <c r="E440" s="49">
        <v>21.215259999999997</v>
      </c>
      <c r="F440" s="306" t="s">
        <v>507</v>
      </c>
      <c r="G440" s="110">
        <v>190</v>
      </c>
      <c r="I440" s="116"/>
      <c r="J440" s="116"/>
      <c r="K440" s="49"/>
    </row>
    <row r="441" spans="2:17" outlineLevel="1">
      <c r="B441" s="116">
        <v>3201070010</v>
      </c>
      <c r="C441" s="116" t="s">
        <v>343</v>
      </c>
      <c r="D441" s="137">
        <v>21.203389999999999</v>
      </c>
      <c r="E441" s="49">
        <v>21.163619999999998</v>
      </c>
      <c r="F441" s="306" t="s">
        <v>507</v>
      </c>
      <c r="G441" s="110">
        <v>190</v>
      </c>
      <c r="I441" s="116"/>
      <c r="J441" s="116"/>
      <c r="K441" s="49"/>
    </row>
    <row r="442" spans="2:17" outlineLevel="1">
      <c r="B442" s="116">
        <v>3201090010</v>
      </c>
      <c r="C442" s="116" t="s">
        <v>264</v>
      </c>
      <c r="D442" s="137">
        <v>6.9059200000000001</v>
      </c>
      <c r="E442" s="49">
        <v>18.390419999999999</v>
      </c>
      <c r="F442" s="306" t="s">
        <v>507</v>
      </c>
      <c r="G442" s="110">
        <v>190</v>
      </c>
      <c r="I442" s="116"/>
      <c r="J442" s="116"/>
      <c r="K442" s="49"/>
    </row>
    <row r="443" spans="2:17" outlineLevel="1">
      <c r="B443" s="116">
        <v>3201100010</v>
      </c>
      <c r="C443" s="116" t="s">
        <v>265</v>
      </c>
      <c r="D443" s="137">
        <v>0.56533</v>
      </c>
      <c r="E443" s="49">
        <v>1.10327</v>
      </c>
      <c r="F443" s="306" t="s">
        <v>507</v>
      </c>
      <c r="G443" s="110">
        <v>190</v>
      </c>
      <c r="I443" s="116"/>
      <c r="J443" s="116"/>
      <c r="K443" s="49"/>
    </row>
    <row r="444" spans="2:17" outlineLevel="1">
      <c r="B444" s="116">
        <v>3201110015</v>
      </c>
      <c r="C444" s="116" t="s">
        <v>266</v>
      </c>
      <c r="D444" s="137">
        <v>586.16521999999998</v>
      </c>
      <c r="E444" s="49">
        <v>743.21531000000004</v>
      </c>
      <c r="F444" s="306" t="s">
        <v>507</v>
      </c>
      <c r="G444" s="110">
        <v>999</v>
      </c>
      <c r="I444" s="116"/>
      <c r="J444" s="116"/>
      <c r="K444" s="49"/>
    </row>
    <row r="445" spans="2:17" outlineLevel="1">
      <c r="B445" s="116">
        <v>3201110025</v>
      </c>
      <c r="C445" s="116" t="s">
        <v>574</v>
      </c>
      <c r="D445" s="137">
        <v>0</v>
      </c>
      <c r="E445" s="49">
        <v>175.05280999999999</v>
      </c>
      <c r="F445" s="306" t="s">
        <v>507</v>
      </c>
      <c r="I445" s="116"/>
      <c r="J445" s="116"/>
      <c r="K445" s="49"/>
    </row>
    <row r="446" spans="2:17" outlineLevel="1">
      <c r="B446" s="116">
        <v>3201120270</v>
      </c>
      <c r="C446" s="116" t="s">
        <v>267</v>
      </c>
      <c r="D446" s="137">
        <v>18.687889999999999</v>
      </c>
      <c r="E446" s="49">
        <v>19.404209999999999</v>
      </c>
      <c r="F446" s="306" t="s">
        <v>507</v>
      </c>
      <c r="G446" s="110">
        <v>606</v>
      </c>
      <c r="I446" s="116"/>
      <c r="J446" s="116"/>
      <c r="K446" s="49"/>
    </row>
    <row r="447" spans="2:17" outlineLevel="1">
      <c r="B447" s="116">
        <v>3201130105</v>
      </c>
      <c r="C447" s="116" t="s">
        <v>575</v>
      </c>
      <c r="D447" s="137">
        <v>0</v>
      </c>
      <c r="E447" s="49">
        <v>15.711139999999999</v>
      </c>
      <c r="F447" s="306" t="s">
        <v>507</v>
      </c>
      <c r="I447" s="116"/>
      <c r="J447" s="116"/>
      <c r="K447" s="49"/>
    </row>
    <row r="448" spans="2:17" outlineLevel="1">
      <c r="B448" s="116">
        <v>3201140030</v>
      </c>
      <c r="C448" s="116" t="s">
        <v>576</v>
      </c>
      <c r="D448" s="137">
        <v>0</v>
      </c>
      <c r="E448" s="49">
        <v>0</v>
      </c>
      <c r="F448" s="306" t="s">
        <v>507</v>
      </c>
      <c r="G448" s="110">
        <v>190</v>
      </c>
      <c r="I448" s="116"/>
      <c r="J448" s="116"/>
      <c r="K448" s="49"/>
    </row>
    <row r="449" spans="1:11" outlineLevel="1">
      <c r="B449" s="116">
        <v>3205010120</v>
      </c>
      <c r="C449" s="116" t="s">
        <v>268</v>
      </c>
      <c r="D449" s="137">
        <v>6.5740500000000006</v>
      </c>
      <c r="E449" s="49">
        <v>8.7489599999999985</v>
      </c>
      <c r="F449" s="306" t="s">
        <v>507</v>
      </c>
      <c r="G449" s="110">
        <v>606</v>
      </c>
      <c r="I449" s="116"/>
      <c r="J449" s="116"/>
      <c r="K449" s="49"/>
    </row>
    <row r="450" spans="1:11">
      <c r="B450" s="116">
        <v>3205010150</v>
      </c>
      <c r="C450" s="116" t="s">
        <v>269</v>
      </c>
      <c r="D450" s="137">
        <v>62348.058969999998</v>
      </c>
      <c r="E450" s="49">
        <v>83318.876999999993</v>
      </c>
      <c r="F450" s="306" t="s">
        <v>507</v>
      </c>
      <c r="G450" s="110">
        <v>606</v>
      </c>
      <c r="I450" s="116"/>
      <c r="J450" s="116"/>
      <c r="K450" s="49"/>
    </row>
    <row r="451" spans="1:11" outlineLevel="1">
      <c r="B451" s="116">
        <v>3205010250</v>
      </c>
      <c r="C451" s="116" t="s">
        <v>577</v>
      </c>
      <c r="D451" s="137">
        <v>0</v>
      </c>
      <c r="E451" s="49">
        <v>0</v>
      </c>
      <c r="F451" s="306" t="s">
        <v>507</v>
      </c>
      <c r="G451" s="110">
        <v>606</v>
      </c>
      <c r="I451" s="116"/>
      <c r="J451" s="116"/>
      <c r="K451" s="49"/>
    </row>
    <row r="452" spans="1:11" outlineLevel="1">
      <c r="B452" s="116">
        <v>3304000015</v>
      </c>
      <c r="C452" s="116" t="s">
        <v>270</v>
      </c>
      <c r="D452" s="137">
        <v>58.913139999999999</v>
      </c>
      <c r="E452" s="49">
        <v>80.251179999999991</v>
      </c>
      <c r="F452" s="306" t="s">
        <v>507</v>
      </c>
      <c r="G452" s="110">
        <v>606</v>
      </c>
      <c r="I452" s="116"/>
      <c r="J452" s="116"/>
      <c r="K452" s="49"/>
    </row>
    <row r="453" spans="1:11" ht="13">
      <c r="B453" s="476"/>
      <c r="C453" s="509" t="s">
        <v>546</v>
      </c>
      <c r="D453" s="510">
        <f>SUM(D437:D452)</f>
        <v>64292.581689999992</v>
      </c>
      <c r="E453" s="510">
        <f>SUM(E437:E452)</f>
        <v>86262.300600000002</v>
      </c>
      <c r="F453" s="314"/>
      <c r="G453" s="314"/>
      <c r="I453" s="116"/>
      <c r="J453" s="116"/>
      <c r="K453" s="49"/>
    </row>
    <row r="454" spans="1:11">
      <c r="D454" s="177"/>
      <c r="I454" s="116"/>
      <c r="J454" s="116"/>
      <c r="K454" s="49"/>
    </row>
    <row r="455" spans="1:11" ht="13">
      <c r="B455" s="163"/>
      <c r="D455" s="177"/>
      <c r="I455" s="116"/>
      <c r="J455" s="116"/>
      <c r="K455" s="49"/>
    </row>
    <row r="456" spans="1:11" ht="13">
      <c r="B456" s="7" t="s">
        <v>675</v>
      </c>
    </row>
    <row r="457" spans="1:11" s="116" customFormat="1" ht="13">
      <c r="A457" s="670"/>
      <c r="B457" s="671" t="s">
        <v>729</v>
      </c>
    </row>
    <row r="458" spans="1:11" ht="26">
      <c r="A458" s="118"/>
      <c r="B458" s="677" t="s">
        <v>676</v>
      </c>
      <c r="C458" s="677" t="s">
        <v>677</v>
      </c>
      <c r="D458" s="677" t="s">
        <v>678</v>
      </c>
      <c r="E458" s="678" t="s">
        <v>679</v>
      </c>
      <c r="F458" s="678" t="s">
        <v>680</v>
      </c>
      <c r="G458" s="678" t="s">
        <v>681</v>
      </c>
      <c r="H458" s="678" t="s">
        <v>682</v>
      </c>
      <c r="I458" s="678" t="s">
        <v>683</v>
      </c>
      <c r="J458" s="678" t="s">
        <v>684</v>
      </c>
      <c r="K458" s="678" t="s">
        <v>685</v>
      </c>
    </row>
    <row r="459" spans="1:11">
      <c r="B459" s="643" t="s">
        <v>686</v>
      </c>
      <c r="C459" s="169" t="s">
        <v>687</v>
      </c>
      <c r="D459" s="169" t="s">
        <v>688</v>
      </c>
      <c r="E459" s="169" t="s">
        <v>689</v>
      </c>
      <c r="F459" s="169" t="s">
        <v>690</v>
      </c>
      <c r="G459" s="169" t="s">
        <v>691</v>
      </c>
      <c r="H459" s="172">
        <v>99</v>
      </c>
      <c r="I459" s="169"/>
      <c r="J459" s="169"/>
      <c r="K459" s="169"/>
    </row>
    <row r="460" spans="1:11">
      <c r="B460" s="185" t="s">
        <v>692</v>
      </c>
      <c r="C460" s="135" t="s">
        <v>693</v>
      </c>
      <c r="D460" s="135" t="s">
        <v>694</v>
      </c>
      <c r="E460" s="135" t="s">
        <v>695</v>
      </c>
      <c r="F460" s="135"/>
      <c r="G460" s="135"/>
      <c r="H460" s="62">
        <v>1677</v>
      </c>
      <c r="I460" s="135"/>
      <c r="J460" s="135"/>
      <c r="K460" s="135"/>
    </row>
    <row r="461" spans="1:11">
      <c r="B461" s="185" t="s">
        <v>696</v>
      </c>
      <c r="C461" s="135" t="s">
        <v>697</v>
      </c>
      <c r="D461" s="135" t="s">
        <v>694</v>
      </c>
      <c r="E461" s="135" t="s">
        <v>695</v>
      </c>
      <c r="F461" s="135"/>
      <c r="G461" s="135"/>
      <c r="H461" s="62">
        <v>11389</v>
      </c>
      <c r="I461" s="135"/>
      <c r="J461" s="135"/>
      <c r="K461" s="135"/>
    </row>
    <row r="462" spans="1:11">
      <c r="B462" s="185" t="s">
        <v>698</v>
      </c>
      <c r="C462" s="135" t="s">
        <v>699</v>
      </c>
      <c r="D462" s="135" t="s">
        <v>700</v>
      </c>
      <c r="E462" s="135" t="s">
        <v>699</v>
      </c>
      <c r="F462" s="135"/>
      <c r="G462" s="135"/>
      <c r="H462" s="62">
        <v>22618</v>
      </c>
      <c r="I462" s="135"/>
      <c r="J462" s="135"/>
      <c r="K462" s="135"/>
    </row>
    <row r="463" spans="1:11">
      <c r="B463" s="185">
        <v>91241700</v>
      </c>
      <c r="C463" s="135" t="s">
        <v>701</v>
      </c>
      <c r="D463" s="135" t="s">
        <v>702</v>
      </c>
      <c r="E463" s="135" t="s">
        <v>703</v>
      </c>
      <c r="F463" s="135"/>
      <c r="G463" s="135"/>
      <c r="H463" s="62">
        <v>488</v>
      </c>
      <c r="I463" s="135"/>
      <c r="J463" s="135"/>
      <c r="K463" s="135"/>
    </row>
    <row r="464" spans="1:11">
      <c r="B464" s="185" t="s">
        <v>704</v>
      </c>
      <c r="C464" s="135" t="s">
        <v>705</v>
      </c>
      <c r="D464" s="135" t="s">
        <v>706</v>
      </c>
      <c r="E464" s="135" t="s">
        <v>707</v>
      </c>
      <c r="F464" s="135"/>
      <c r="G464" s="135"/>
      <c r="H464" s="62">
        <v>46641</v>
      </c>
      <c r="I464" s="135"/>
      <c r="J464" s="135"/>
      <c r="K464" s="135"/>
    </row>
    <row r="465" spans="2:11">
      <c r="B465" s="185">
        <v>91240104</v>
      </c>
      <c r="C465" s="135" t="s">
        <v>708</v>
      </c>
      <c r="D465" s="135" t="s">
        <v>709</v>
      </c>
      <c r="E465" s="135" t="s">
        <v>710</v>
      </c>
      <c r="F465" s="135" t="s">
        <v>711</v>
      </c>
      <c r="G465" s="135" t="s">
        <v>712</v>
      </c>
      <c r="H465" s="62">
        <v>23</v>
      </c>
      <c r="I465" s="135" t="s">
        <v>713</v>
      </c>
      <c r="J465" s="135">
        <v>606</v>
      </c>
      <c r="K465" s="135" t="s">
        <v>43</v>
      </c>
    </row>
    <row r="466" spans="2:11">
      <c r="B466" s="185">
        <v>91240104</v>
      </c>
      <c r="C466" s="135" t="s">
        <v>708</v>
      </c>
      <c r="D466" s="135" t="s">
        <v>714</v>
      </c>
      <c r="E466" s="135" t="s">
        <v>715</v>
      </c>
      <c r="F466" s="135" t="s">
        <v>690</v>
      </c>
      <c r="G466" s="135" t="s">
        <v>691</v>
      </c>
      <c r="H466" s="62">
        <v>25</v>
      </c>
      <c r="I466" s="135" t="s">
        <v>713</v>
      </c>
      <c r="J466" s="135">
        <v>301</v>
      </c>
      <c r="K466" s="135" t="s">
        <v>50</v>
      </c>
    </row>
    <row r="467" spans="2:11">
      <c r="B467" s="185">
        <v>91240104</v>
      </c>
      <c r="C467" s="135" t="s">
        <v>708</v>
      </c>
      <c r="D467" s="135" t="s">
        <v>714</v>
      </c>
      <c r="E467" s="135" t="s">
        <v>715</v>
      </c>
      <c r="F467" s="135" t="s">
        <v>690</v>
      </c>
      <c r="G467" s="135" t="s">
        <v>691</v>
      </c>
      <c r="H467" s="62">
        <v>25</v>
      </c>
      <c r="I467" s="135" t="s">
        <v>713</v>
      </c>
      <c r="J467" s="135">
        <v>401</v>
      </c>
      <c r="K467" s="135" t="s">
        <v>52</v>
      </c>
    </row>
    <row r="468" spans="2:11">
      <c r="B468" s="185">
        <v>91240104</v>
      </c>
      <c r="C468" s="135" t="s">
        <v>708</v>
      </c>
      <c r="D468" s="135" t="s">
        <v>714</v>
      </c>
      <c r="E468" s="135" t="s">
        <v>715</v>
      </c>
      <c r="F468" s="135" t="s">
        <v>690</v>
      </c>
      <c r="G468" s="135" t="s">
        <v>691</v>
      </c>
      <c r="H468" s="62">
        <v>71039</v>
      </c>
      <c r="I468" s="135" t="s">
        <v>713</v>
      </c>
      <c r="J468" s="135">
        <v>606</v>
      </c>
      <c r="K468" s="135" t="s">
        <v>43</v>
      </c>
    </row>
    <row r="469" spans="2:11">
      <c r="B469" s="185">
        <v>91240104</v>
      </c>
      <c r="C469" s="135" t="s">
        <v>708</v>
      </c>
      <c r="D469" s="135" t="s">
        <v>714</v>
      </c>
      <c r="E469" s="135" t="s">
        <v>715</v>
      </c>
      <c r="F469" s="135" t="s">
        <v>690</v>
      </c>
      <c r="G469" s="135" t="s">
        <v>691</v>
      </c>
      <c r="H469" s="62">
        <v>19</v>
      </c>
      <c r="I469" s="135" t="s">
        <v>713</v>
      </c>
      <c r="J469" s="135">
        <v>701</v>
      </c>
      <c r="K469" s="135" t="s">
        <v>45</v>
      </c>
    </row>
    <row r="470" spans="2:11">
      <c r="B470" s="185">
        <v>91240104</v>
      </c>
      <c r="C470" s="135" t="s">
        <v>708</v>
      </c>
      <c r="D470" s="135" t="s">
        <v>714</v>
      </c>
      <c r="E470" s="135" t="s">
        <v>715</v>
      </c>
      <c r="F470" s="135" t="s">
        <v>690</v>
      </c>
      <c r="G470" s="135" t="s">
        <v>691</v>
      </c>
      <c r="H470" s="62">
        <v>247</v>
      </c>
      <c r="I470" s="135" t="s">
        <v>713</v>
      </c>
      <c r="J470" s="135">
        <v>999</v>
      </c>
      <c r="K470" s="135" t="s">
        <v>257</v>
      </c>
    </row>
    <row r="471" spans="2:11">
      <c r="B471" s="185" t="s">
        <v>716</v>
      </c>
      <c r="C471" s="135" t="s">
        <v>717</v>
      </c>
      <c r="D471" s="135" t="s">
        <v>718</v>
      </c>
      <c r="E471" s="185" t="s">
        <v>719</v>
      </c>
      <c r="F471" s="135"/>
      <c r="G471" s="135"/>
      <c r="H471" s="62">
        <v>-29651</v>
      </c>
      <c r="I471" s="135"/>
      <c r="J471" s="135"/>
      <c r="K471" s="135"/>
    </row>
    <row r="472" spans="2:11">
      <c r="B472" s="185" t="s">
        <v>720</v>
      </c>
      <c r="C472" s="135" t="s">
        <v>721</v>
      </c>
      <c r="D472" s="135" t="s">
        <v>718</v>
      </c>
      <c r="E472" s="185" t="s">
        <v>719</v>
      </c>
      <c r="F472" s="135"/>
      <c r="G472" s="135"/>
      <c r="H472" s="62">
        <v>-3363</v>
      </c>
      <c r="I472" s="135"/>
      <c r="J472" s="135"/>
      <c r="K472" s="135"/>
    </row>
    <row r="473" spans="2:11">
      <c r="B473" s="185">
        <v>91142513</v>
      </c>
      <c r="C473" s="135" t="s">
        <v>722</v>
      </c>
      <c r="D473" s="135" t="s">
        <v>723</v>
      </c>
      <c r="E473" s="185" t="s">
        <v>724</v>
      </c>
      <c r="F473" s="135"/>
      <c r="G473" s="135"/>
      <c r="H473" s="62">
        <v>-14113</v>
      </c>
      <c r="I473" s="135"/>
      <c r="J473" s="135"/>
      <c r="K473" s="135"/>
    </row>
    <row r="474" spans="2:11">
      <c r="B474" s="185">
        <v>91140114</v>
      </c>
      <c r="C474" s="135" t="s">
        <v>725</v>
      </c>
      <c r="D474" s="135" t="s">
        <v>726</v>
      </c>
      <c r="E474" s="185" t="s">
        <v>727</v>
      </c>
      <c r="F474" s="135" t="s">
        <v>690</v>
      </c>
      <c r="G474" s="135" t="s">
        <v>691</v>
      </c>
      <c r="H474" s="62">
        <v>-98</v>
      </c>
      <c r="I474" s="135" t="s">
        <v>713</v>
      </c>
      <c r="J474" s="135">
        <v>606</v>
      </c>
      <c r="K474" s="135" t="s">
        <v>43</v>
      </c>
    </row>
    <row r="475" spans="2:11">
      <c r="B475" s="311">
        <v>91140114</v>
      </c>
      <c r="C475" s="78" t="s">
        <v>725</v>
      </c>
      <c r="D475" s="78" t="s">
        <v>726</v>
      </c>
      <c r="E475" s="311" t="s">
        <v>727</v>
      </c>
      <c r="F475" s="78" t="s">
        <v>690</v>
      </c>
      <c r="G475" s="78" t="s">
        <v>691</v>
      </c>
      <c r="H475" s="63">
        <v>-342</v>
      </c>
      <c r="I475" s="78" t="s">
        <v>713</v>
      </c>
      <c r="J475" s="78">
        <v>703</v>
      </c>
      <c r="K475" s="78" t="s">
        <v>728</v>
      </c>
    </row>
    <row r="476" spans="2:11" ht="13">
      <c r="B476" s="403"/>
      <c r="C476" s="179"/>
      <c r="D476" s="34"/>
    </row>
    <row r="477" spans="2:11" ht="14.5">
      <c r="B477" s="403"/>
      <c r="C477" s="179"/>
      <c r="D477" s="34"/>
      <c r="G477" s="364" t="s">
        <v>253</v>
      </c>
      <c r="H477" s="466">
        <f>SUM(H459:H475)</f>
        <v>106723</v>
      </c>
      <c r="I477"/>
    </row>
    <row r="478" spans="2:11" ht="13">
      <c r="B478" s="403"/>
      <c r="C478" s="179"/>
      <c r="D478" s="34"/>
      <c r="G478" s="672" t="s">
        <v>359</v>
      </c>
      <c r="H478" s="49">
        <v>107277</v>
      </c>
      <c r="I478" s="673" t="s">
        <v>282</v>
      </c>
    </row>
    <row r="479" spans="2:11" ht="13">
      <c r="B479" s="403"/>
      <c r="C479" s="179"/>
      <c r="D479" s="34"/>
      <c r="G479" s="674" t="s">
        <v>27</v>
      </c>
      <c r="H479" s="675">
        <f>H478-H477</f>
        <v>554</v>
      </c>
      <c r="I479" s="676" t="s">
        <v>11</v>
      </c>
    </row>
    <row r="480" spans="2:11" ht="13">
      <c r="B480" s="403"/>
      <c r="C480" s="179"/>
      <c r="D480" s="34"/>
    </row>
    <row r="481" spans="2:4" ht="13">
      <c r="B481" s="403"/>
      <c r="C481" s="179"/>
      <c r="D481" s="34"/>
    </row>
    <row r="482" spans="2:4" ht="13">
      <c r="B482" s="403"/>
      <c r="C482" s="179"/>
      <c r="D482" s="34"/>
    </row>
    <row r="483" spans="2:4" ht="13">
      <c r="B483" s="403"/>
      <c r="C483" s="179"/>
      <c r="D483" s="34"/>
    </row>
    <row r="484" spans="2:4" ht="13">
      <c r="B484" s="403"/>
      <c r="C484" s="179"/>
      <c r="D484" s="34"/>
    </row>
    <row r="485" spans="2:4" ht="13">
      <c r="B485" s="403"/>
      <c r="C485" s="179"/>
      <c r="D485" s="34"/>
    </row>
    <row r="486" spans="2:4" ht="13">
      <c r="B486" s="403"/>
      <c r="C486" s="179"/>
      <c r="D486" s="34"/>
    </row>
    <row r="487" spans="2:4" ht="13">
      <c r="B487" s="403"/>
      <c r="C487" s="179"/>
      <c r="D487" s="34"/>
    </row>
    <row r="488" spans="2:4" ht="13">
      <c r="B488" s="403"/>
      <c r="C488" s="179"/>
      <c r="D488" s="34"/>
    </row>
    <row r="489" spans="2:4" ht="13">
      <c r="B489" s="403"/>
      <c r="C489" s="179"/>
      <c r="D489" s="34"/>
    </row>
    <row r="490" spans="2:4" ht="13">
      <c r="B490" s="403"/>
      <c r="C490" s="179"/>
      <c r="D490" s="34"/>
    </row>
    <row r="491" spans="2:4" ht="13">
      <c r="B491" s="403"/>
      <c r="C491" s="179"/>
      <c r="D491" s="34"/>
    </row>
    <row r="492" spans="2:4" ht="13">
      <c r="B492" s="403"/>
      <c r="C492" s="179"/>
      <c r="D492" s="34"/>
    </row>
    <row r="493" spans="2:4" ht="13">
      <c r="B493" s="403"/>
      <c r="C493" s="179"/>
      <c r="D493" s="34"/>
    </row>
    <row r="502" spans="2:4">
      <c r="B502" s="110"/>
      <c r="C502" s="110"/>
      <c r="D502" s="110"/>
    </row>
    <row r="503" spans="2:4">
      <c r="B503" s="110"/>
      <c r="C503" s="110"/>
      <c r="D503" s="110"/>
    </row>
    <row r="504" spans="2:4">
      <c r="B504" s="110"/>
      <c r="C504" s="110"/>
      <c r="D504" s="110"/>
    </row>
    <row r="505" spans="2:4">
      <c r="B505" s="110"/>
      <c r="C505" s="110"/>
      <c r="D505" s="110"/>
    </row>
    <row r="506" spans="2:4">
      <c r="B506" s="110"/>
      <c r="C506" s="110"/>
      <c r="D506" s="110"/>
    </row>
    <row r="507" spans="2:4">
      <c r="B507" s="110"/>
      <c r="C507" s="110"/>
      <c r="D507" s="110"/>
    </row>
    <row r="508" spans="2:4">
      <c r="B508" s="110"/>
      <c r="C508" s="110"/>
      <c r="D508" s="110"/>
    </row>
    <row r="509" spans="2:4" s="116" customFormat="1"/>
    <row r="510" spans="2:4" s="116" customFormat="1"/>
    <row r="511" spans="2:4" s="116" customFormat="1"/>
    <row r="512" spans="2:4" s="116" customFormat="1"/>
    <row r="513" s="116" customFormat="1"/>
    <row r="514" s="116" customFormat="1"/>
    <row r="515" s="116" customFormat="1"/>
    <row r="516" s="116" customFormat="1"/>
    <row r="517" s="116" customFormat="1"/>
    <row r="518" s="116" customFormat="1"/>
    <row r="519" s="116" customFormat="1"/>
    <row r="520" s="116" customFormat="1"/>
    <row r="521" s="116" customFormat="1"/>
    <row r="522" s="116" customFormat="1"/>
    <row r="523" s="116" customFormat="1"/>
    <row r="524" s="116" customFormat="1"/>
    <row r="525" s="116" customFormat="1"/>
    <row r="526" s="116" customFormat="1"/>
    <row r="527" s="116" customFormat="1"/>
    <row r="528" s="116" customFormat="1"/>
    <row r="529" s="116" customFormat="1"/>
    <row r="530" s="116" customFormat="1"/>
    <row r="531" s="116" customFormat="1"/>
    <row r="532" s="116" customFormat="1"/>
    <row r="533" s="116" customFormat="1"/>
    <row r="534" s="116" customFormat="1"/>
    <row r="535" s="116" customFormat="1"/>
    <row r="536" s="116" customFormat="1"/>
    <row r="537" s="116" customFormat="1"/>
    <row r="538" s="116" customFormat="1"/>
    <row r="539" s="116" customFormat="1"/>
    <row r="540" s="116" customFormat="1"/>
    <row r="541" s="116" customFormat="1"/>
    <row r="542" s="116" customFormat="1"/>
    <row r="545" spans="2:4">
      <c r="B545" s="110"/>
      <c r="C545" s="110"/>
      <c r="D545" s="110"/>
    </row>
    <row r="546" spans="2:4">
      <c r="B546" s="110"/>
      <c r="C546" s="110"/>
      <c r="D546" s="110"/>
    </row>
    <row r="547" spans="2:4">
      <c r="B547" s="110"/>
      <c r="C547" s="110"/>
      <c r="D547" s="110"/>
    </row>
    <row r="548" spans="2:4">
      <c r="B548" s="110"/>
      <c r="C548" s="110"/>
      <c r="D548" s="110"/>
    </row>
    <row r="549" spans="2:4">
      <c r="B549" s="110"/>
      <c r="C549" s="110"/>
      <c r="D549" s="110"/>
    </row>
    <row r="550" spans="2:4">
      <c r="B550" s="110"/>
      <c r="C550" s="110"/>
      <c r="D550" s="110"/>
    </row>
    <row r="551" spans="2:4">
      <c r="B551" s="110"/>
      <c r="C551" s="110"/>
      <c r="D551" s="110"/>
    </row>
    <row r="552" spans="2:4">
      <c r="B552" s="110"/>
      <c r="C552" s="110"/>
      <c r="D552" s="110"/>
    </row>
    <row r="553" spans="2:4">
      <c r="B553" s="110"/>
      <c r="C553" s="110"/>
      <c r="D553" s="110"/>
    </row>
    <row r="554" spans="2:4">
      <c r="B554" s="110"/>
      <c r="C554" s="110"/>
      <c r="D554" s="110"/>
    </row>
    <row r="555" spans="2:4">
      <c r="B555" s="110"/>
      <c r="C555" s="110"/>
      <c r="D555" s="110"/>
    </row>
    <row r="556" spans="2:4">
      <c r="B556" s="110"/>
      <c r="C556" s="110"/>
      <c r="D556" s="110"/>
    </row>
    <row r="557" spans="2:4">
      <c r="B557" s="110"/>
      <c r="C557" s="110"/>
      <c r="D557" s="110"/>
    </row>
    <row r="558" spans="2:4">
      <c r="B558" s="110"/>
      <c r="C558" s="110"/>
      <c r="D558" s="110"/>
    </row>
    <row r="559" spans="2:4">
      <c r="B559" s="110"/>
      <c r="C559" s="110"/>
      <c r="D559" s="110"/>
    </row>
    <row r="560" spans="2:4">
      <c r="B560" s="110"/>
      <c r="C560" s="110"/>
      <c r="D560" s="110"/>
    </row>
    <row r="561" spans="2:4">
      <c r="B561" s="110"/>
      <c r="C561" s="110"/>
      <c r="D561" s="110"/>
    </row>
    <row r="562" spans="2:4">
      <c r="B562" s="110"/>
      <c r="C562" s="110"/>
      <c r="D562" s="110"/>
    </row>
  </sheetData>
  <autoFilter ref="A66:AD259" xr:uid="{00000000-0009-0000-0000-000008000000}"/>
  <mergeCells count="2">
    <mergeCell ref="Q65:R65"/>
    <mergeCell ref="AB65:AC6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ВД0 Рабочая программа</vt:lpstr>
      <vt:lpstr>ВД0.1 Раскрытие</vt:lpstr>
      <vt:lpstr>ВД1 Свод</vt:lpstr>
      <vt:lpstr>ВД2 Свод ошибок</vt:lpstr>
      <vt:lpstr>ВД3 Материальные расходы</vt:lpstr>
      <vt:lpstr>ВД4 Профессиональные услуги</vt:lpstr>
      <vt:lpstr>ВД5 Услуги УК</vt:lpstr>
      <vt:lpstr>ВД6 Прочие расходы</vt:lpstr>
      <vt:lpstr>ВД7 Сверка</vt:lpstr>
    </vt:vector>
  </TitlesOfParts>
  <Company>Ernst &amp; Young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A Gorbunova</dc:creator>
  <cp:lastModifiedBy>Grigory E Kovshov</cp:lastModifiedBy>
  <dcterms:created xsi:type="dcterms:W3CDTF">2017-11-08T05:47:41Z</dcterms:created>
  <dcterms:modified xsi:type="dcterms:W3CDTF">2019-11-26T10:40:31Z</dcterms:modified>
</cp:coreProperties>
</file>