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ITMO\Physics\"/>
    </mc:Choice>
  </mc:AlternateContent>
  <xr:revisionPtr revIDLastSave="0" documentId="13_ncr:1_{77FDBD4D-8A76-4A30-A63E-3DB432FA188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Основные расчеты" sheetId="1" r:id="rId1"/>
    <sheet name="Лист2" sheetId="2" state="hidden" r:id="rId2"/>
    <sheet name="Доп расчёты" sheetId="3" r:id="rId3"/>
    <sheet name="Итог" sheetId="4" r:id="rId4"/>
  </sheets>
  <definedNames>
    <definedName name="_xlnm._FilterDatabase" localSheetId="0" hidden="1">'Основные расчеты'!$B$2:$B$53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J20" i="1"/>
  <c r="H2" i="1"/>
  <c r="I20" i="1"/>
  <c r="B1" i="4" l="1"/>
  <c r="D5" i="3"/>
  <c r="E5" i="3" s="1"/>
  <c r="D4" i="3"/>
  <c r="E4" i="3" s="1"/>
  <c r="D3" i="3"/>
  <c r="E3" i="3" s="1"/>
  <c r="F20" i="1"/>
  <c r="F37" i="1"/>
  <c r="F36" i="1"/>
  <c r="F35" i="1"/>
  <c r="G34" i="1" s="1"/>
  <c r="H34" i="1" s="1"/>
  <c r="F34" i="1"/>
  <c r="F33" i="1"/>
  <c r="F32" i="1"/>
  <c r="F31" i="1"/>
  <c r="G30" i="1" s="1"/>
  <c r="H30" i="1" s="1"/>
  <c r="F30" i="1"/>
  <c r="F29" i="1"/>
  <c r="G28" i="1" s="1"/>
  <c r="H28" i="1" s="1"/>
  <c r="F28" i="1"/>
  <c r="F27" i="1"/>
  <c r="G26" i="1" s="1"/>
  <c r="H26" i="1" s="1"/>
  <c r="F26" i="1"/>
  <c r="F25" i="1"/>
  <c r="G24" i="1" s="1"/>
  <c r="H24" i="1" s="1"/>
  <c r="F24" i="1"/>
  <c r="F23" i="1"/>
  <c r="G22" i="1" s="1"/>
  <c r="H22" i="1" s="1"/>
  <c r="F22" i="1"/>
  <c r="F21" i="1"/>
  <c r="C58" i="1"/>
  <c r="D58" i="1" s="1"/>
  <c r="D4" i="2"/>
  <c r="D6" i="2"/>
  <c r="D8" i="2"/>
  <c r="D10" i="2"/>
  <c r="D12" i="2"/>
  <c r="D14" i="2"/>
  <c r="D2" i="2"/>
  <c r="G36" i="1" l="1"/>
  <c r="H36" i="1" s="1"/>
  <c r="I30" i="1"/>
  <c r="G32" i="1"/>
  <c r="H32" i="1" s="1"/>
  <c r="I36" i="1"/>
  <c r="I34" i="1"/>
  <c r="I32" i="1"/>
  <c r="G20" i="1"/>
  <c r="H20" i="1" s="1"/>
  <c r="I28" i="1"/>
  <c r="I26" i="1"/>
  <c r="I24" i="1"/>
  <c r="I22" i="1"/>
  <c r="C3" i="1"/>
  <c r="D3" i="1" s="1"/>
  <c r="C21" i="1"/>
  <c r="D21" i="1" s="1"/>
  <c r="C86" i="1"/>
  <c r="D86" i="1" s="1"/>
  <c r="C101" i="1"/>
  <c r="D101" i="1" s="1"/>
  <c r="C85" i="1"/>
  <c r="D85" i="1" s="1"/>
  <c r="C69" i="1"/>
  <c r="D69" i="1" s="1"/>
  <c r="C57" i="1"/>
  <c r="D57" i="1" s="1"/>
  <c r="C71" i="1"/>
  <c r="D71" i="1" s="1"/>
  <c r="C50" i="1"/>
  <c r="D50" i="1" s="1"/>
  <c r="C70" i="1"/>
  <c r="D70" i="1" s="1"/>
  <c r="C84" i="1"/>
  <c r="D84" i="1" s="1"/>
  <c r="C68" i="1"/>
  <c r="D68" i="1" s="1"/>
  <c r="C73" i="1"/>
  <c r="D73" i="1" s="1"/>
  <c r="C100" i="1"/>
  <c r="D100" i="1" s="1"/>
  <c r="C99" i="1"/>
  <c r="D99" i="1" s="1"/>
  <c r="C83" i="1"/>
  <c r="D83" i="1" s="1"/>
  <c r="C67" i="1"/>
  <c r="D67" i="1" s="1"/>
  <c r="C82" i="1"/>
  <c r="D82" i="1" s="1"/>
  <c r="C97" i="1"/>
  <c r="D97" i="1" s="1"/>
  <c r="C81" i="1"/>
  <c r="D81" i="1" s="1"/>
  <c r="C65" i="1"/>
  <c r="D65" i="1" s="1"/>
  <c r="C98" i="1"/>
  <c r="D98" i="1" s="1"/>
  <c r="C66" i="1"/>
  <c r="D66" i="1" s="1"/>
  <c r="C96" i="1"/>
  <c r="D96" i="1" s="1"/>
  <c r="C80" i="1"/>
  <c r="D80" i="1" s="1"/>
  <c r="C64" i="1"/>
  <c r="D64" i="1" s="1"/>
  <c r="C87" i="1"/>
  <c r="D87" i="1" s="1"/>
  <c r="C95" i="1"/>
  <c r="D95" i="1" s="1"/>
  <c r="C79" i="1"/>
  <c r="D79" i="1" s="1"/>
  <c r="C63" i="1"/>
  <c r="D63" i="1" s="1"/>
  <c r="C56" i="1"/>
  <c r="D56" i="1" s="1"/>
  <c r="C78" i="1"/>
  <c r="D78" i="1" s="1"/>
  <c r="C93" i="1"/>
  <c r="D93" i="1" s="1"/>
  <c r="C61" i="1"/>
  <c r="D61" i="1" s="1"/>
  <c r="C89" i="1"/>
  <c r="D89" i="1" s="1"/>
  <c r="C72" i="1"/>
  <c r="D72" i="1" s="1"/>
  <c r="C94" i="1"/>
  <c r="D94" i="1" s="1"/>
  <c r="C62" i="1"/>
  <c r="D62" i="1" s="1"/>
  <c r="C77" i="1"/>
  <c r="D77" i="1" s="1"/>
  <c r="C92" i="1"/>
  <c r="D92" i="1" s="1"/>
  <c r="C76" i="1"/>
  <c r="D76" i="1" s="1"/>
  <c r="C60" i="1"/>
  <c r="D60" i="1" s="1"/>
  <c r="C88" i="1"/>
  <c r="D88" i="1" s="1"/>
  <c r="C75" i="1"/>
  <c r="D75" i="1" s="1"/>
  <c r="C59" i="1"/>
  <c r="D59" i="1" s="1"/>
  <c r="C91" i="1"/>
  <c r="D91" i="1" s="1"/>
  <c r="C90" i="1"/>
  <c r="D90" i="1" s="1"/>
  <c r="C74" i="1"/>
  <c r="D74" i="1" s="1"/>
  <c r="C53" i="1"/>
  <c r="D53" i="1" s="1"/>
  <c r="C54" i="1"/>
  <c r="D54" i="1" s="1"/>
  <c r="C52" i="1"/>
  <c r="D52" i="1" s="1"/>
  <c r="C55" i="1"/>
  <c r="D55" i="1" s="1"/>
  <c r="C47" i="1"/>
  <c r="D47" i="1" s="1"/>
  <c r="C6" i="2"/>
  <c r="C14" i="2"/>
  <c r="C8" i="2"/>
  <c r="C4" i="2"/>
  <c r="C10" i="2"/>
  <c r="C2" i="2"/>
  <c r="C12" i="2"/>
  <c r="C4" i="1"/>
  <c r="D4" i="1" s="1"/>
  <c r="C42" i="1"/>
  <c r="D42" i="1" s="1"/>
  <c r="C26" i="1"/>
  <c r="D26" i="1" s="1"/>
  <c r="C39" i="1"/>
  <c r="D39" i="1" s="1"/>
  <c r="C18" i="1"/>
  <c r="D18" i="1" s="1"/>
  <c r="C31" i="1"/>
  <c r="D31" i="1" s="1"/>
  <c r="C34" i="1"/>
  <c r="D34" i="1" s="1"/>
  <c r="C10" i="1"/>
  <c r="D10" i="1" s="1"/>
  <c r="C7" i="1"/>
  <c r="D7" i="1" s="1"/>
  <c r="C46" i="1"/>
  <c r="D46" i="1" s="1"/>
  <c r="C38" i="1"/>
  <c r="D38" i="1" s="1"/>
  <c r="C30" i="1"/>
  <c r="D30" i="1" s="1"/>
  <c r="C22" i="1"/>
  <c r="D22" i="1" s="1"/>
  <c r="C14" i="1"/>
  <c r="D14" i="1" s="1"/>
  <c r="C6" i="1"/>
  <c r="D6" i="1" s="1"/>
  <c r="C23" i="1"/>
  <c r="D23" i="1" s="1"/>
  <c r="C15" i="1"/>
  <c r="D15" i="1" s="1"/>
  <c r="C51" i="1"/>
  <c r="D51" i="1" s="1"/>
  <c r="C43" i="1"/>
  <c r="D43" i="1" s="1"/>
  <c r="C35" i="1"/>
  <c r="D35" i="1" s="1"/>
  <c r="C27" i="1"/>
  <c r="D27" i="1" s="1"/>
  <c r="C19" i="1"/>
  <c r="D19" i="1" s="1"/>
  <c r="C11" i="1"/>
  <c r="D11" i="1" s="1"/>
  <c r="C49" i="1"/>
  <c r="D49" i="1" s="1"/>
  <c r="C41" i="1"/>
  <c r="D41" i="1" s="1"/>
  <c r="C37" i="1"/>
  <c r="D37" i="1" s="1"/>
  <c r="C33" i="1"/>
  <c r="D33" i="1" s="1"/>
  <c r="C29" i="1"/>
  <c r="D29" i="1" s="1"/>
  <c r="C25" i="1"/>
  <c r="D25" i="1" s="1"/>
  <c r="C17" i="1"/>
  <c r="D17" i="1" s="1"/>
  <c r="C13" i="1"/>
  <c r="D13" i="1" s="1"/>
  <c r="C9" i="1"/>
  <c r="D9" i="1" s="1"/>
  <c r="C5" i="1"/>
  <c r="D5" i="1" s="1"/>
  <c r="C45" i="1"/>
  <c r="D45" i="1" s="1"/>
  <c r="C2" i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C16" i="1"/>
  <c r="D16" i="1" s="1"/>
  <c r="C12" i="1"/>
  <c r="D12" i="1" s="1"/>
  <c r="C8" i="1"/>
  <c r="D8" i="1" s="1"/>
  <c r="D2" i="1" l="1"/>
  <c r="B7" i="3" s="1"/>
  <c r="H3" i="1" l="1"/>
  <c r="J28" i="1" s="1"/>
  <c r="H4" i="1"/>
  <c r="B3" i="4" s="1"/>
  <c r="B4" i="3" l="1"/>
  <c r="E14" i="2"/>
  <c r="B5" i="3"/>
  <c r="E2" i="2"/>
  <c r="J30" i="1"/>
  <c r="E8" i="2"/>
  <c r="E10" i="2"/>
  <c r="C4" i="3"/>
  <c r="E6" i="2"/>
  <c r="E4" i="2"/>
  <c r="E12" i="2"/>
  <c r="J32" i="1"/>
  <c r="J36" i="1"/>
  <c r="J34" i="1"/>
  <c r="J22" i="1"/>
  <c r="B2" i="4"/>
  <c r="J26" i="1"/>
  <c r="J24" i="1"/>
  <c r="C5" i="3"/>
  <c r="B3" i="3"/>
  <c r="C3" i="3"/>
  <c r="B4" i="4"/>
  <c r="B10" i="3"/>
  <c r="B11" i="3" l="1"/>
  <c r="C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Таня</author>
  </authors>
  <commentList>
    <comment ref="A16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Определить границы интервалов в зависимости от шага рапределения на листе 1. Но так как измерений 50, то интервалов должно быть 7
</t>
        </r>
      </text>
    </comment>
    <comment ref="B16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 xml:space="preserve">Посчитать количество значений t, входящих в каждый из интервалов
</t>
        </r>
      </text>
    </comment>
    <comment ref="H16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На данном графике нужно провести между точками плавную кривую, а также постоить гистограмму, как на рисунке справа. Столбы гистограммы ограничиваются границами интервалов. График кривой строим по "синему" ряду, а гистограмму по "оранжевому" ряду.</t>
        </r>
      </text>
    </comment>
  </commentList>
</comments>
</file>

<file path=xl/sharedStrings.xml><?xml version="1.0" encoding="utf-8"?>
<sst xmlns="http://schemas.openxmlformats.org/spreadsheetml/2006/main" count="45" uniqueCount="38">
  <si>
    <t>№</t>
  </si>
  <si>
    <t>ti, с</t>
  </si>
  <si>
    <t>ti-(t)N, с</t>
  </si>
  <si>
    <t>P</t>
  </si>
  <si>
    <t>Интервал, с</t>
  </si>
  <si>
    <t>от</t>
  </si>
  <si>
    <t>до</t>
  </si>
  <si>
    <t>Среднеквадратичное отклонение среднего значения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</si>
  <si>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N</t>
    </r>
  </si>
  <si>
    <t>границы интервалов, с</t>
  </si>
  <si>
    <t>(ti-(t)N)^2, с^2</t>
  </si>
  <si>
    <r>
      <t>(t)</t>
    </r>
    <r>
      <rPr>
        <sz val="8"/>
        <color theme="1"/>
        <rFont val="Calibri"/>
        <family val="2"/>
        <charset val="204"/>
        <scheme val="minor"/>
      </rPr>
      <t>N</t>
    </r>
  </si>
  <si>
    <r>
      <rPr>
        <sz val="14"/>
        <color theme="1"/>
        <rFont val="Calibri"/>
        <family val="2"/>
        <charset val="204"/>
        <scheme val="minor"/>
      </rPr>
      <t>σ</t>
    </r>
    <r>
      <rPr>
        <sz val="9"/>
        <color theme="1"/>
        <rFont val="Calibri"/>
        <family val="2"/>
        <charset val="204"/>
        <scheme val="minor"/>
      </rPr>
      <t>N</t>
    </r>
  </si>
  <si>
    <t>ΔN/(N*Δt), 1/c</t>
  </si>
  <si>
    <t>t, c</t>
  </si>
  <si>
    <t>ρ0, 1/c</t>
  </si>
  <si>
    <t>⟨𝑡⟩𝑁 ± 𝜎N</t>
  </si>
  <si>
    <t>⟨𝑡⟩𝑁 ± 2𝜎N</t>
  </si>
  <si>
    <t>⟨𝑡⟩𝑁 ± 3𝜎N</t>
  </si>
  <si>
    <t>Название</t>
  </si>
  <si>
    <t>Обозначение</t>
  </si>
  <si>
    <t>Значение</t>
  </si>
  <si>
    <t>Границы интервалов, с</t>
  </si>
  <si>
    <t>ρ, 1/c</t>
  </si>
  <si>
    <t>Математическое ожидание</t>
  </si>
  <si>
    <t>Среднеквадратичное отклонение</t>
  </si>
  <si>
    <t xml:space="preserve"> 𝜌 𝑚𝑎х</t>
  </si>
  <si>
    <t>Интервалы</t>
  </si>
  <si>
    <t>∆t</t>
  </si>
  <si>
    <t>ΔN</t>
  </si>
  <si>
    <t>ΔN/N</t>
  </si>
  <si>
    <t>Коэффициент Стьюдента для 100 измерений и дов вер 0.95</t>
  </si>
  <si>
    <t xml:space="preserve">Δt </t>
  </si>
  <si>
    <t>Доверительный интервал</t>
  </si>
  <si>
    <t>Максимальное значение плотности распределения</t>
  </si>
  <si>
    <t>Выборочное среднеарифметическое значение</t>
  </si>
  <si>
    <t>[5,13; 5,17]</t>
  </si>
  <si>
    <t>Макс.Пл-ть нормального распр-я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</si>
</sst>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/>
    </xf>
    <xf numFmtId="2" fontId="0" fillId="0" borderId="2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плотности распределения </a:t>
            </a:r>
            <a:r>
              <a:rPr lang="en-US"/>
              <a:t>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84331342317915"/>
          <c:y val="0.13670454545454547"/>
          <c:w val="0.86179751673353411"/>
          <c:h val="0.6913132307325220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'Основные расчеты'!$I$20:$I$37</c:f>
              <c:numCache>
                <c:formatCode>General</c:formatCode>
                <c:ptCount val="18"/>
                <c:pt idx="0">
                  <c:v>4.92</c:v>
                </c:pt>
                <c:pt idx="2">
                  <c:v>4.9800000000000004</c:v>
                </c:pt>
                <c:pt idx="4">
                  <c:v>5.0299999999999994</c:v>
                </c:pt>
                <c:pt idx="6">
                  <c:v>5.0749999999999993</c:v>
                </c:pt>
                <c:pt idx="8">
                  <c:v>5.125</c:v>
                </c:pt>
                <c:pt idx="10">
                  <c:v>5.1750000000000007</c:v>
                </c:pt>
                <c:pt idx="12">
                  <c:v>5.2249999999999996</c:v>
                </c:pt>
                <c:pt idx="14">
                  <c:v>5.2750000000000004</c:v>
                </c:pt>
                <c:pt idx="16">
                  <c:v>5.32</c:v>
                </c:pt>
              </c:numCache>
            </c:numRef>
          </c:xVal>
          <c:yVal>
            <c:numRef>
              <c:f>'Основные расчеты'!$J$20:$J$37</c:f>
              <c:numCache>
                <c:formatCode>General</c:formatCode>
                <c:ptCount val="18"/>
                <c:pt idx="0">
                  <c:v>0.21299999999999999</c:v>
                </c:pt>
                <c:pt idx="2">
                  <c:v>0.80400000000000005</c:v>
                </c:pt>
                <c:pt idx="4">
                  <c:v>1.8049999999999999</c:v>
                </c:pt>
                <c:pt idx="6">
                  <c:v>2.9620000000000002</c:v>
                </c:pt>
                <c:pt idx="8">
                  <c:v>3.9689999999999999</c:v>
                </c:pt>
                <c:pt idx="10">
                  <c:v>4.0570000000000004</c:v>
                </c:pt>
                <c:pt idx="12">
                  <c:v>3.161</c:v>
                </c:pt>
                <c:pt idx="14">
                  <c:v>1.8779999999999999</c:v>
                </c:pt>
                <c:pt idx="16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6-4918-9EE6-D57B8D3F9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9187472"/>
        <c:axId val="269187056"/>
      </c:scatterChart>
      <c:valAx>
        <c:axId val="2691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87056"/>
        <c:crosses val="autoZero"/>
        <c:crossBetween val="midCat"/>
      </c:valAx>
      <c:valAx>
        <c:axId val="2691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p(t), 1/c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плотности распределения </a:t>
            </a:r>
            <a:r>
              <a:rPr lang="en-US"/>
              <a:t>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Лист2!$D$2:$D$15</c:f>
              <c:numCache>
                <c:formatCode>General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xVal>
          <c:yVal>
            <c:numRef>
              <c:f>Лист2!$C$2:$C$15</c:f>
              <c:numCache>
                <c:formatCode>0.00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8-4173-94EA-054507262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Лист2!$D$2:$D$15</c:f>
              <c:numCache>
                <c:formatCode>General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xVal>
          <c:yVal>
            <c:numRef>
              <c:f>Лист2!$E$2:$E$15</c:f>
              <c:numCache>
                <c:formatCode>General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8-4173-94EA-05450726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87472"/>
        <c:axId val="269187056"/>
      </c:scatterChart>
      <c:valAx>
        <c:axId val="2691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87056"/>
        <c:crosses val="autoZero"/>
        <c:crossBetween val="midCat"/>
      </c:valAx>
      <c:valAx>
        <c:axId val="2691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p(t), 1/c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1247775</xdr:colOff>
      <xdr:row>45</xdr:row>
      <xdr:rowOff>128587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53200" y="8701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5</xdr:col>
      <xdr:colOff>739140</xdr:colOff>
      <xdr:row>66</xdr:row>
      <xdr:rowOff>167640</xdr:rowOff>
    </xdr:from>
    <xdr:to>
      <xdr:col>9</xdr:col>
      <xdr:colOff>281940</xdr:colOff>
      <xdr:row>85</xdr:row>
      <xdr:rowOff>45720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E604EEB-424C-485C-A783-A3BA4A00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95250</xdr:rowOff>
    </xdr:from>
    <xdr:to>
      <xdr:col>19</xdr:col>
      <xdr:colOff>447675</xdr:colOff>
      <xdr:row>13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95250"/>
          <a:ext cx="3419475" cy="2514600"/>
        </a:xfrm>
        <a:prstGeom prst="rect">
          <a:avLst/>
        </a:prstGeom>
      </xdr:spPr>
    </xdr:pic>
    <xdr:clientData/>
  </xdr:twoCellAnchor>
  <xdr:twoCellAnchor>
    <xdr:from>
      <xdr:col>5</xdr:col>
      <xdr:colOff>276224</xdr:colOff>
      <xdr:row>0</xdr:row>
      <xdr:rowOff>0</xdr:rowOff>
    </xdr:from>
    <xdr:to>
      <xdr:col>13</xdr:col>
      <xdr:colOff>590549</xdr:colOff>
      <xdr:row>14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selection activeCell="G10" sqref="G10"/>
    </sheetView>
  </sheetViews>
  <sheetFormatPr defaultRowHeight="14.4" x14ac:dyDescent="0.3"/>
  <cols>
    <col min="3" max="3" width="25.6640625" customWidth="1"/>
    <col min="4" max="4" width="17.33203125" customWidth="1"/>
    <col min="6" max="6" width="32.44140625" customWidth="1"/>
    <col min="7" max="7" width="14.33203125" customWidth="1"/>
    <col min="8" max="8" width="21" customWidth="1"/>
    <col min="9" max="9" width="12.109375" customWidth="1"/>
    <col min="14" max="14" width="14.6640625" customWidth="1"/>
  </cols>
  <sheetData>
    <row r="1" spans="1:12" x14ac:dyDescent="0.3">
      <c r="A1" s="14" t="s">
        <v>0</v>
      </c>
      <c r="B1" s="14" t="s">
        <v>1</v>
      </c>
      <c r="C1" s="14" t="s">
        <v>2</v>
      </c>
      <c r="D1" s="14" t="s">
        <v>10</v>
      </c>
      <c r="F1" s="14" t="s">
        <v>19</v>
      </c>
      <c r="G1" s="14" t="s">
        <v>20</v>
      </c>
      <c r="H1" s="14" t="s">
        <v>21</v>
      </c>
      <c r="L1" s="14" t="s">
        <v>1</v>
      </c>
    </row>
    <row r="2" spans="1:12" ht="37.200000000000003" customHeight="1" x14ac:dyDescent="0.3">
      <c r="A2" s="1">
        <v>1</v>
      </c>
      <c r="B2" s="2">
        <v>5.0599999999999996</v>
      </c>
      <c r="C2" s="2">
        <f>ROUNDUP(B2-H$2,2)</f>
        <v>-9.9999999999999992E-2</v>
      </c>
      <c r="D2" s="1">
        <f t="shared" ref="D2:D33" si="0">C2*C2</f>
        <v>9.9999999999999985E-3</v>
      </c>
      <c r="F2" s="1" t="s">
        <v>24</v>
      </c>
      <c r="G2" s="5" t="s">
        <v>11</v>
      </c>
      <c r="H2" s="2">
        <f>SUM(B2:B101)/COUNTA(A2:A101)</f>
        <v>5.1539999999999999</v>
      </c>
      <c r="J2" s="4"/>
      <c r="L2" s="2">
        <v>4.8899999999999997</v>
      </c>
    </row>
    <row r="3" spans="1:12" ht="18" x14ac:dyDescent="0.35">
      <c r="A3" s="1">
        <v>2</v>
      </c>
      <c r="B3" s="2">
        <v>5.31</v>
      </c>
      <c r="C3" s="2">
        <f>ROUNDUP(B3-H$2,2)</f>
        <v>0.16</v>
      </c>
      <c r="D3" s="1">
        <f t="shared" si="0"/>
        <v>2.5600000000000001E-2</v>
      </c>
      <c r="F3" s="1" t="s">
        <v>25</v>
      </c>
      <c r="G3" s="5" t="s">
        <v>12</v>
      </c>
      <c r="H3" s="3">
        <f>SQRT(1/(COUNTA(A2:A101)-1)*SUM(D2:D101))</f>
        <v>9.6021883027787053E-2</v>
      </c>
      <c r="J3" s="4"/>
      <c r="L3" s="2">
        <v>4.92</v>
      </c>
    </row>
    <row r="4" spans="1:12" x14ac:dyDescent="0.3">
      <c r="A4" s="1">
        <v>3</v>
      </c>
      <c r="B4" s="2">
        <v>5.03</v>
      </c>
      <c r="C4" s="2">
        <f>ROUNDUP(B4-H$2,2)</f>
        <v>-0.13</v>
      </c>
      <c r="D4" s="1">
        <f t="shared" si="0"/>
        <v>1.6900000000000002E-2</v>
      </c>
      <c r="F4" s="1" t="s">
        <v>37</v>
      </c>
      <c r="G4" s="5" t="s">
        <v>26</v>
      </c>
      <c r="H4" s="1">
        <f>1/(SQRTPI(2)*H3)</f>
        <v>4.1547016973827287</v>
      </c>
      <c r="L4" s="2">
        <v>4.95</v>
      </c>
    </row>
    <row r="5" spans="1:12" x14ac:dyDescent="0.3">
      <c r="A5" s="1">
        <v>4</v>
      </c>
      <c r="B5" s="2">
        <v>5.0999999999999996</v>
      </c>
      <c r="C5" s="2">
        <f>ROUNDUP(B5-H$2,2)</f>
        <v>-6.0000000000000005E-2</v>
      </c>
      <c r="D5" s="1">
        <f t="shared" si="0"/>
        <v>3.6000000000000008E-3</v>
      </c>
      <c r="F5" s="34" t="s">
        <v>27</v>
      </c>
      <c r="G5" s="29" t="s">
        <v>28</v>
      </c>
      <c r="H5" s="30">
        <f>(L101-L2)/10</f>
        <v>4.5000000000000019E-2</v>
      </c>
      <c r="L5" s="2">
        <v>4.96</v>
      </c>
    </row>
    <row r="6" spans="1:12" x14ac:dyDescent="0.3">
      <c r="A6" s="1">
        <v>5</v>
      </c>
      <c r="B6" s="2">
        <v>5.33</v>
      </c>
      <c r="C6" s="2">
        <f>ROUNDUP(B6-H$2,2)</f>
        <v>0.18000000000000002</v>
      </c>
      <c r="D6" s="1">
        <f t="shared" si="0"/>
        <v>3.2400000000000005E-2</v>
      </c>
      <c r="F6" s="31"/>
      <c r="G6" s="35"/>
      <c r="H6" s="35"/>
      <c r="I6" s="31"/>
      <c r="J6" s="4"/>
      <c r="L6" s="2">
        <v>4.9800000000000004</v>
      </c>
    </row>
    <row r="7" spans="1:12" x14ac:dyDescent="0.3">
      <c r="A7" s="1">
        <v>6</v>
      </c>
      <c r="B7" s="2">
        <v>5.12</v>
      </c>
      <c r="C7" s="2">
        <f>ROUNDUP(B7-H$2,2)</f>
        <v>-0.04</v>
      </c>
      <c r="D7" s="1">
        <f t="shared" si="0"/>
        <v>1.6000000000000001E-3</v>
      </c>
      <c r="F7" s="31"/>
      <c r="G7" s="32"/>
      <c r="H7" s="31"/>
      <c r="I7" s="31"/>
      <c r="J7" s="4"/>
      <c r="L7" s="2">
        <v>4.99</v>
      </c>
    </row>
    <row r="8" spans="1:12" x14ac:dyDescent="0.3">
      <c r="A8" s="1">
        <v>7</v>
      </c>
      <c r="B8" s="2">
        <v>5.01</v>
      </c>
      <c r="C8" s="2">
        <f>ROUNDUP(B8-H$2,2)</f>
        <v>-0.15000000000000002</v>
      </c>
      <c r="D8" s="1">
        <f t="shared" si="0"/>
        <v>2.2500000000000006E-2</v>
      </c>
      <c r="F8" s="33"/>
      <c r="G8" s="32"/>
      <c r="H8" s="31"/>
      <c r="I8" s="31"/>
      <c r="J8" s="4"/>
      <c r="K8" s="4"/>
      <c r="L8" s="2">
        <v>5.01</v>
      </c>
    </row>
    <row r="9" spans="1:12" x14ac:dyDescent="0.3">
      <c r="A9" s="1">
        <v>8</v>
      </c>
      <c r="B9" s="2">
        <v>5.21</v>
      </c>
      <c r="C9" s="2">
        <f>ROUNDUP(B9-H$2,2)</f>
        <v>6.0000000000000005E-2</v>
      </c>
      <c r="D9" s="1">
        <f t="shared" si="0"/>
        <v>3.6000000000000008E-3</v>
      </c>
      <c r="F9" s="31"/>
      <c r="G9" s="32"/>
      <c r="H9" s="31"/>
      <c r="I9" s="31"/>
      <c r="J9" s="4"/>
      <c r="L9" s="2">
        <v>5.03</v>
      </c>
    </row>
    <row r="10" spans="1:12" x14ac:dyDescent="0.3">
      <c r="A10" s="1">
        <v>9</v>
      </c>
      <c r="B10" s="2">
        <v>5.08</v>
      </c>
      <c r="C10" s="2">
        <f>ROUNDUP(B10-H$2,2)</f>
        <v>-0.08</v>
      </c>
      <c r="D10" s="1">
        <f t="shared" si="0"/>
        <v>6.4000000000000003E-3</v>
      </c>
      <c r="F10" s="31"/>
      <c r="G10" s="31"/>
      <c r="H10" s="31"/>
      <c r="I10" s="31"/>
      <c r="J10" s="4"/>
      <c r="L10" s="2">
        <v>5.03</v>
      </c>
    </row>
    <row r="11" spans="1:12" x14ac:dyDescent="0.3">
      <c r="A11" s="1">
        <v>10</v>
      </c>
      <c r="B11" s="2">
        <v>5.16</v>
      </c>
      <c r="C11" s="2">
        <f>ROUNDUP(B11-H$2,2)</f>
        <v>0.01</v>
      </c>
      <c r="D11" s="1">
        <f t="shared" si="0"/>
        <v>1E-4</v>
      </c>
      <c r="J11" s="4"/>
      <c r="L11" s="2">
        <v>5.04</v>
      </c>
    </row>
    <row r="12" spans="1:12" x14ac:dyDescent="0.3">
      <c r="A12" s="1">
        <v>11</v>
      </c>
      <c r="B12" s="2">
        <v>4.92</v>
      </c>
      <c r="C12" s="2">
        <f>ROUNDUP(B12-H$2,2)</f>
        <v>-0.24000000000000002</v>
      </c>
      <c r="D12" s="1">
        <f t="shared" si="0"/>
        <v>5.7600000000000012E-2</v>
      </c>
      <c r="J12" s="4"/>
      <c r="L12" s="2">
        <v>5.04</v>
      </c>
    </row>
    <row r="13" spans="1:12" x14ac:dyDescent="0.3">
      <c r="A13" s="1">
        <v>12</v>
      </c>
      <c r="B13" s="2">
        <v>5.16</v>
      </c>
      <c r="C13" s="2">
        <f>ROUNDUP(B13-H$2,2)</f>
        <v>0.01</v>
      </c>
      <c r="D13" s="1">
        <f t="shared" si="0"/>
        <v>1E-4</v>
      </c>
      <c r="J13" s="4"/>
      <c r="L13" s="2">
        <v>5.05</v>
      </c>
    </row>
    <row r="14" spans="1:12" x14ac:dyDescent="0.3">
      <c r="A14" s="1">
        <v>13</v>
      </c>
      <c r="B14" s="2">
        <v>5.08</v>
      </c>
      <c r="C14" s="2">
        <f>ROUNDUP(B14-H$2,2)</f>
        <v>-0.08</v>
      </c>
      <c r="D14" s="1">
        <f t="shared" si="0"/>
        <v>6.4000000000000003E-3</v>
      </c>
      <c r="J14" s="4"/>
      <c r="L14" s="2">
        <v>5.0599999999999996</v>
      </c>
    </row>
    <row r="15" spans="1:12" x14ac:dyDescent="0.3">
      <c r="A15" s="1">
        <v>14</v>
      </c>
      <c r="B15" s="2">
        <v>5.14</v>
      </c>
      <c r="C15" s="2">
        <f>ROUNDUP(B15-H$2,2)</f>
        <v>-0.02</v>
      </c>
      <c r="D15" s="1">
        <f t="shared" si="0"/>
        <v>4.0000000000000002E-4</v>
      </c>
      <c r="J15" s="4"/>
      <c r="L15" s="2">
        <v>5.07</v>
      </c>
    </row>
    <row r="16" spans="1:12" x14ac:dyDescent="0.3">
      <c r="A16" s="1">
        <v>15</v>
      </c>
      <c r="B16" s="2">
        <v>5.16</v>
      </c>
      <c r="C16" s="2">
        <f>ROUNDUP(B16-H$2,2)</f>
        <v>0.01</v>
      </c>
      <c r="D16" s="1">
        <f t="shared" si="0"/>
        <v>1E-4</v>
      </c>
      <c r="J16" s="4"/>
      <c r="L16" s="2">
        <v>5.07</v>
      </c>
    </row>
    <row r="17" spans="1:12" x14ac:dyDescent="0.3">
      <c r="A17" s="1">
        <v>16</v>
      </c>
      <c r="B17" s="2">
        <v>5.23</v>
      </c>
      <c r="C17" s="2">
        <f>ROUNDUP(B17-H$2,2)</f>
        <v>0.08</v>
      </c>
      <c r="D17" s="1">
        <f t="shared" si="0"/>
        <v>6.4000000000000003E-3</v>
      </c>
      <c r="J17" s="4"/>
      <c r="L17" s="2">
        <v>5.07</v>
      </c>
    </row>
    <row r="18" spans="1:12" x14ac:dyDescent="0.3">
      <c r="A18" s="1">
        <v>17</v>
      </c>
      <c r="B18" s="2">
        <v>5.09</v>
      </c>
      <c r="C18" s="2">
        <f>ROUNDUP(B18-H$2,2)</f>
        <v>-6.9999999999999993E-2</v>
      </c>
      <c r="D18" s="1">
        <f t="shared" si="0"/>
        <v>4.899999999999999E-3</v>
      </c>
      <c r="J18" s="4"/>
      <c r="L18" s="2">
        <v>5.07</v>
      </c>
    </row>
    <row r="19" spans="1:12" x14ac:dyDescent="0.3">
      <c r="A19" s="1">
        <v>18</v>
      </c>
      <c r="B19" s="2">
        <v>5.23</v>
      </c>
      <c r="C19" s="2">
        <f>ROUNDUP(B19-H$2,2)</f>
        <v>0.08</v>
      </c>
      <c r="D19" s="1">
        <f t="shared" si="0"/>
        <v>6.4000000000000003E-3</v>
      </c>
      <c r="F19" s="15" t="s">
        <v>22</v>
      </c>
      <c r="G19" s="16" t="s">
        <v>8</v>
      </c>
      <c r="H19" s="15" t="s">
        <v>13</v>
      </c>
      <c r="I19" s="15" t="s">
        <v>14</v>
      </c>
      <c r="J19" s="17" t="s">
        <v>23</v>
      </c>
      <c r="L19" s="2">
        <v>5.08</v>
      </c>
    </row>
    <row r="20" spans="1:12" x14ac:dyDescent="0.3">
      <c r="A20" s="1">
        <v>19</v>
      </c>
      <c r="B20" s="2">
        <v>5.34</v>
      </c>
      <c r="C20" s="2">
        <f>ROUNDUP(B20-H$2,2)</f>
        <v>0.19</v>
      </c>
      <c r="D20" s="1">
        <f t="shared" si="0"/>
        <v>3.61E-2</v>
      </c>
      <c r="F20" s="2">
        <f>L2</f>
        <v>4.8899999999999997</v>
      </c>
      <c r="G20" s="20">
        <f>COUNTIFS(L:L,"&lt;"&amp;F21,L:L,"&gt;="&amp;F20)</f>
        <v>2</v>
      </c>
      <c r="H20" s="22">
        <f>G20/(100*$H$5)</f>
        <v>0.44444444444444425</v>
      </c>
      <c r="I20" s="20">
        <f>(F20+F21)/2</f>
        <v>4.92</v>
      </c>
      <c r="J20" s="20">
        <f>ROUND(1/($H$3*SQRTPI(2))*EXP((-1)*(I20-$H$2)*(I20-$H$2)/2/$H$3/$H$3),3)</f>
        <v>0.21299999999999999</v>
      </c>
      <c r="L20" s="2">
        <v>5.08</v>
      </c>
    </row>
    <row r="21" spans="1:12" x14ac:dyDescent="0.3">
      <c r="A21" s="1">
        <v>20</v>
      </c>
      <c r="B21" s="2">
        <v>5.2</v>
      </c>
      <c r="C21" s="2">
        <f>ROUNDUP(B21-H$2,2)</f>
        <v>0.05</v>
      </c>
      <c r="D21" s="1">
        <f t="shared" si="0"/>
        <v>2.5000000000000005E-3</v>
      </c>
      <c r="F21" s="2">
        <f>L4</f>
        <v>4.95</v>
      </c>
      <c r="G21" s="21"/>
      <c r="H21" s="23"/>
      <c r="I21" s="21"/>
      <c r="J21" s="21"/>
      <c r="L21" s="2">
        <v>5.09</v>
      </c>
    </row>
    <row r="22" spans="1:12" x14ac:dyDescent="0.3">
      <c r="A22" s="1">
        <v>21</v>
      </c>
      <c r="B22" s="2">
        <v>5.15</v>
      </c>
      <c r="C22" s="2">
        <f>ROUNDUP(B22-H$2,2)</f>
        <v>-0.01</v>
      </c>
      <c r="D22" s="1">
        <f t="shared" si="0"/>
        <v>1E-4</v>
      </c>
      <c r="F22" s="2">
        <f>L4</f>
        <v>4.95</v>
      </c>
      <c r="G22" s="20">
        <f>COUNTIFS(L:L,"&lt;"&amp;F23,L:L,"&gt;="&amp;F22)</f>
        <v>4</v>
      </c>
      <c r="H22" s="22">
        <f>G22/(100*$H$5)</f>
        <v>0.88888888888888851</v>
      </c>
      <c r="I22" s="20">
        <f t="shared" ref="I22" si="1">(F22+F23)/2</f>
        <v>4.9800000000000004</v>
      </c>
      <c r="J22" s="20">
        <f>ROUND(1/($H$3*SQRTPI(2))*EXP((-1)*(I22-$H$2)*(I22-$H$2)/2/$H$3/$H$3),3)</f>
        <v>0.80400000000000005</v>
      </c>
      <c r="L22" s="2">
        <v>5.09</v>
      </c>
    </row>
    <row r="23" spans="1:12" x14ac:dyDescent="0.3">
      <c r="A23" s="1">
        <v>22</v>
      </c>
      <c r="B23" s="2">
        <v>5.21</v>
      </c>
      <c r="C23" s="2">
        <f>ROUNDUP(B23-H$2,2)</f>
        <v>6.0000000000000005E-2</v>
      </c>
      <c r="D23" s="1">
        <f t="shared" si="0"/>
        <v>3.6000000000000008E-3</v>
      </c>
      <c r="F23" s="2">
        <f>L8</f>
        <v>5.01</v>
      </c>
      <c r="G23" s="21"/>
      <c r="H23" s="23"/>
      <c r="I23" s="21"/>
      <c r="J23" s="21"/>
      <c r="L23" s="2">
        <v>5.09</v>
      </c>
    </row>
    <row r="24" spans="1:12" x14ac:dyDescent="0.3">
      <c r="A24" s="1">
        <v>23</v>
      </c>
      <c r="B24" s="2">
        <v>5.17</v>
      </c>
      <c r="C24" s="2">
        <f>ROUNDUP(B24-H$2,2)</f>
        <v>0.02</v>
      </c>
      <c r="D24" s="1">
        <f t="shared" si="0"/>
        <v>4.0000000000000002E-4</v>
      </c>
      <c r="F24" s="2">
        <f>L8</f>
        <v>5.01</v>
      </c>
      <c r="G24" s="20">
        <f>COUNTIFS(L:L,"&lt;"&amp;F25,L:L,"&gt;="&amp;F24)</f>
        <v>5</v>
      </c>
      <c r="H24" s="22">
        <f>G24/(100*$H$5)</f>
        <v>1.1111111111111107</v>
      </c>
      <c r="I24" s="20">
        <f t="shared" ref="I24" si="2">(F24+F25)/2</f>
        <v>5.0299999999999994</v>
      </c>
      <c r="J24" s="20">
        <f>ROUND(1/($H$3*SQRTPI(2))*EXP((-1)*(I24-$H$2)*(I24-$H$2)/2/$H$3/$H$3),3)</f>
        <v>1.8049999999999999</v>
      </c>
      <c r="L24" s="2">
        <v>5.09</v>
      </c>
    </row>
    <row r="25" spans="1:12" x14ac:dyDescent="0.3">
      <c r="A25" s="1">
        <v>24</v>
      </c>
      <c r="B25" s="2">
        <v>5.21</v>
      </c>
      <c r="C25" s="2">
        <f>ROUNDUP(B25-H$2,2)</f>
        <v>6.0000000000000005E-2</v>
      </c>
      <c r="D25" s="1">
        <f t="shared" si="0"/>
        <v>3.6000000000000008E-3</v>
      </c>
      <c r="F25" s="2">
        <f>L13</f>
        <v>5.05</v>
      </c>
      <c r="G25" s="21"/>
      <c r="H25" s="23"/>
      <c r="I25" s="21"/>
      <c r="J25" s="21"/>
      <c r="L25" s="2">
        <v>5.0999999999999996</v>
      </c>
    </row>
    <row r="26" spans="1:12" x14ac:dyDescent="0.3">
      <c r="A26" s="1">
        <v>25</v>
      </c>
      <c r="B26" s="2">
        <v>5.21</v>
      </c>
      <c r="C26" s="2">
        <f>ROUNDUP(B26-H$2,2)</f>
        <v>6.0000000000000005E-2</v>
      </c>
      <c r="D26" s="1">
        <f t="shared" si="0"/>
        <v>3.6000000000000008E-3</v>
      </c>
      <c r="F26" s="2">
        <f>L13</f>
        <v>5.05</v>
      </c>
      <c r="G26" s="20">
        <f>COUNTIFS(L:L,"&lt;"&amp;F27,L:L,"&gt;="&amp;F26)</f>
        <v>12</v>
      </c>
      <c r="H26" s="22">
        <f>G26/(100*$H$5)</f>
        <v>2.6666666666666656</v>
      </c>
      <c r="I26" s="20">
        <f t="shared" ref="I26" si="3">(F26+F27)/2</f>
        <v>5.0749999999999993</v>
      </c>
      <c r="J26" s="20">
        <f>ROUND(1/($H$3*SQRTPI(2))*EXP((-1)*(I26-$H$2)*(I26-$H$2)/2/$H$3/$H$3),3)</f>
        <v>2.9620000000000002</v>
      </c>
      <c r="L26" s="2">
        <v>5.0999999999999996</v>
      </c>
    </row>
    <row r="27" spans="1:12" x14ac:dyDescent="0.3">
      <c r="A27" s="1">
        <v>26</v>
      </c>
      <c r="B27" s="2">
        <v>5.3</v>
      </c>
      <c r="C27" s="2">
        <f>ROUNDUP(B27-H$2,2)</f>
        <v>0.15000000000000002</v>
      </c>
      <c r="D27" s="1">
        <f t="shared" si="0"/>
        <v>2.2500000000000006E-2</v>
      </c>
      <c r="F27" s="2">
        <f>L25</f>
        <v>5.0999999999999996</v>
      </c>
      <c r="G27" s="21"/>
      <c r="H27" s="23"/>
      <c r="I27" s="21"/>
      <c r="J27" s="21"/>
      <c r="L27" s="2">
        <v>5.0999999999999996</v>
      </c>
    </row>
    <row r="28" spans="1:12" x14ac:dyDescent="0.3">
      <c r="A28" s="1">
        <v>27</v>
      </c>
      <c r="B28" s="2">
        <v>5.31</v>
      </c>
      <c r="C28" s="2">
        <f>ROUNDUP(B28-H$2,2)</f>
        <v>0.16</v>
      </c>
      <c r="D28" s="1">
        <f t="shared" si="0"/>
        <v>2.5600000000000001E-2</v>
      </c>
      <c r="F28" s="2">
        <f>L25</f>
        <v>5.0999999999999996</v>
      </c>
      <c r="G28" s="20">
        <f>COUNTIFS(L:L,"&lt;"&amp;F29,L:L,"&gt;="&amp;F28)</f>
        <v>24</v>
      </c>
      <c r="H28" s="22">
        <f>G28/(100*$H$5)</f>
        <v>5.3333333333333313</v>
      </c>
      <c r="I28" s="20">
        <f t="shared" ref="I28" si="4">(F28+F29)/2</f>
        <v>5.125</v>
      </c>
      <c r="J28" s="20">
        <f>ROUND(1/($H$3*SQRTPI(2))*EXP((-1)*(I28-$H$2)*(I28-$H$2)/2/$H$3/$H$3),3)</f>
        <v>3.9689999999999999</v>
      </c>
      <c r="L28" s="2">
        <v>5.0999999999999996</v>
      </c>
    </row>
    <row r="29" spans="1:12" x14ac:dyDescent="0.3">
      <c r="A29" s="1">
        <v>28</v>
      </c>
      <c r="B29" s="2">
        <v>5.29</v>
      </c>
      <c r="C29" s="2">
        <f>ROUNDUP(B29-H$2,2)</f>
        <v>0.14000000000000001</v>
      </c>
      <c r="D29" s="1">
        <f t="shared" si="0"/>
        <v>1.9600000000000003E-2</v>
      </c>
      <c r="F29" s="2">
        <f>L49</f>
        <v>5.15</v>
      </c>
      <c r="G29" s="21"/>
      <c r="H29" s="23"/>
      <c r="I29" s="21"/>
      <c r="J29" s="21"/>
      <c r="L29" s="2">
        <v>5.1100000000000003</v>
      </c>
    </row>
    <row r="30" spans="1:12" x14ac:dyDescent="0.3">
      <c r="A30" s="1">
        <v>29</v>
      </c>
      <c r="B30" s="2">
        <v>5.27</v>
      </c>
      <c r="C30" s="2">
        <f>ROUNDUP(B30-H$2,2)</f>
        <v>0.12</v>
      </c>
      <c r="D30" s="1">
        <f t="shared" si="0"/>
        <v>1.44E-2</v>
      </c>
      <c r="F30" s="2">
        <f>L49</f>
        <v>5.15</v>
      </c>
      <c r="G30" s="20">
        <f>COUNTIFS(L:L,"&lt;"&amp;F31,L:L,"&gt;="&amp;F30)</f>
        <v>17</v>
      </c>
      <c r="H30" s="22">
        <f>G30/(100*$H$5)</f>
        <v>3.7777777777777763</v>
      </c>
      <c r="I30" s="20">
        <f t="shared" ref="I30" si="5">(F30+F31)/2</f>
        <v>5.1750000000000007</v>
      </c>
      <c r="J30" s="20">
        <f>ROUND(1/($H$3*SQRTPI(2))*EXP((-1)*(I30-$H$2)*(I30-$H$2)/2/$H$3/$H$3),3)</f>
        <v>4.0570000000000004</v>
      </c>
      <c r="L30" s="2">
        <v>5.1100000000000003</v>
      </c>
    </row>
    <row r="31" spans="1:12" x14ac:dyDescent="0.3">
      <c r="A31" s="1">
        <v>30</v>
      </c>
      <c r="B31" s="2">
        <v>5.25</v>
      </c>
      <c r="C31" s="2">
        <f>ROUNDUP(B31-H$2,2)</f>
        <v>9.9999999999999992E-2</v>
      </c>
      <c r="D31" s="1">
        <f t="shared" si="0"/>
        <v>9.9999999999999985E-3</v>
      </c>
      <c r="F31" s="2">
        <f>L66</f>
        <v>5.2</v>
      </c>
      <c r="G31" s="21"/>
      <c r="H31" s="23"/>
      <c r="I31" s="21"/>
      <c r="J31" s="21"/>
      <c r="L31" s="2">
        <v>5.1100000000000003</v>
      </c>
    </row>
    <row r="32" spans="1:12" x14ac:dyDescent="0.3">
      <c r="A32" s="1">
        <v>31</v>
      </c>
      <c r="B32" s="2">
        <v>5.13</v>
      </c>
      <c r="C32" s="2">
        <f>ROUNDUP(B32-H$2,2)</f>
        <v>-0.03</v>
      </c>
      <c r="D32" s="1">
        <f t="shared" si="0"/>
        <v>8.9999999999999998E-4</v>
      </c>
      <c r="F32" s="2">
        <f>L66</f>
        <v>5.2</v>
      </c>
      <c r="G32" s="20">
        <f>COUNTIFS(L:L,"&lt;"&amp;F33,L:L,"&gt;="&amp;F32)</f>
        <v>18</v>
      </c>
      <c r="H32" s="22">
        <f>G32/(100*$H$5)</f>
        <v>3.9999999999999982</v>
      </c>
      <c r="I32" s="20">
        <f t="shared" ref="I32" si="6">(F32+F33)/2</f>
        <v>5.2249999999999996</v>
      </c>
      <c r="J32" s="20">
        <f>ROUND(1/($H$3*SQRTPI(2))*EXP((-1)*(I32-$H$2)*(I32-$H$2)/2/$H$3/$H$3),3)</f>
        <v>3.161</v>
      </c>
      <c r="L32" s="2">
        <v>5.1100000000000003</v>
      </c>
    </row>
    <row r="33" spans="1:12" x14ac:dyDescent="0.3">
      <c r="A33" s="1">
        <v>32</v>
      </c>
      <c r="B33" s="2">
        <v>5.18</v>
      </c>
      <c r="C33" s="2">
        <f>ROUNDUP(B33-H$2,2)</f>
        <v>0.03</v>
      </c>
      <c r="D33" s="1">
        <f t="shared" si="0"/>
        <v>8.9999999999999998E-4</v>
      </c>
      <c r="F33" s="2">
        <f>L84</f>
        <v>5.25</v>
      </c>
      <c r="G33" s="21"/>
      <c r="H33" s="23"/>
      <c r="I33" s="21"/>
      <c r="J33" s="21"/>
      <c r="L33" s="2">
        <v>5.1100000000000003</v>
      </c>
    </row>
    <row r="34" spans="1:12" x14ac:dyDescent="0.3">
      <c r="A34" s="1">
        <v>33</v>
      </c>
      <c r="B34" s="2">
        <v>5.07</v>
      </c>
      <c r="C34" s="2">
        <f>ROUNDUP(B34-H$2,2)</f>
        <v>-0.09</v>
      </c>
      <c r="D34" s="1">
        <f t="shared" ref="D34:D97" si="7">C34*C34</f>
        <v>8.0999999999999996E-3</v>
      </c>
      <c r="F34" s="2">
        <f>L84</f>
        <v>5.25</v>
      </c>
      <c r="G34" s="20">
        <f>COUNTIFS(L:L,"&lt;"&amp;F35,L:L,"&gt;="&amp;F34)</f>
        <v>11</v>
      </c>
      <c r="H34" s="22">
        <f>G34/(100*$H$5)</f>
        <v>2.4444444444444433</v>
      </c>
      <c r="I34" s="20">
        <f t="shared" ref="I34" si="8">(F34+F35)/2</f>
        <v>5.2750000000000004</v>
      </c>
      <c r="J34" s="20">
        <f>ROUND(1/($H$3*SQRTPI(2))*EXP((-1)*(I34-$H$2)*(I34-$H$2)/2/$H$3/$H$3),3)</f>
        <v>1.8779999999999999</v>
      </c>
      <c r="L34" s="2">
        <v>5.1100000000000003</v>
      </c>
    </row>
    <row r="35" spans="1:12" x14ac:dyDescent="0.3">
      <c r="A35" s="1">
        <v>34</v>
      </c>
      <c r="B35" s="2">
        <v>5.3</v>
      </c>
      <c r="C35" s="2">
        <f>ROUNDUP(B35-H$2,2)</f>
        <v>0.15000000000000002</v>
      </c>
      <c r="D35" s="1">
        <f t="shared" si="7"/>
        <v>2.2500000000000006E-2</v>
      </c>
      <c r="F35" s="2">
        <f>L95</f>
        <v>5.3</v>
      </c>
      <c r="G35" s="21"/>
      <c r="H35" s="23"/>
      <c r="I35" s="21"/>
      <c r="J35" s="21"/>
      <c r="L35" s="2">
        <v>5.1100000000000003</v>
      </c>
    </row>
    <row r="36" spans="1:12" x14ac:dyDescent="0.3">
      <c r="A36" s="1">
        <v>35</v>
      </c>
      <c r="B36" s="2">
        <v>5.26</v>
      </c>
      <c r="C36" s="2">
        <f>ROUNDUP(B36-H$2,2)</f>
        <v>0.11</v>
      </c>
      <c r="D36" s="1">
        <f t="shared" si="7"/>
        <v>1.21E-2</v>
      </c>
      <c r="F36" s="2">
        <f>L95</f>
        <v>5.3</v>
      </c>
      <c r="G36" s="24">
        <f>COUNTIFS(L:L,"&lt;="&amp;F37,L:L,"&gt;="&amp;F36)</f>
        <v>7</v>
      </c>
      <c r="H36" s="25">
        <f>G36/(100*$H$5)</f>
        <v>1.5555555555555549</v>
      </c>
      <c r="I36" s="24">
        <f t="shared" ref="I36" si="9">(F36+F37)/2</f>
        <v>5.32</v>
      </c>
      <c r="J36" s="24">
        <f>ROUND(1/($H$3*SQRTPI(2))*EXP((-1)*(I36-$H$2)*(I36-$H$2)/2/$H$3/$H$3),3)</f>
        <v>0.93200000000000005</v>
      </c>
      <c r="L36" s="2">
        <v>5.12</v>
      </c>
    </row>
    <row r="37" spans="1:12" x14ac:dyDescent="0.3">
      <c r="A37" s="1">
        <v>36</v>
      </c>
      <c r="B37" s="2">
        <v>5.2</v>
      </c>
      <c r="C37" s="2">
        <f>ROUNDUP(B37-H$2,2)</f>
        <v>0.05</v>
      </c>
      <c r="D37" s="1">
        <f t="shared" si="7"/>
        <v>2.5000000000000005E-3</v>
      </c>
      <c r="F37" s="2">
        <f>L101</f>
        <v>5.34</v>
      </c>
      <c r="G37" s="24"/>
      <c r="H37" s="25"/>
      <c r="I37" s="24"/>
      <c r="J37" s="24"/>
      <c r="L37" s="2">
        <v>5.12</v>
      </c>
    </row>
    <row r="38" spans="1:12" x14ac:dyDescent="0.3">
      <c r="A38" s="1">
        <v>37</v>
      </c>
      <c r="B38" s="2">
        <v>5.05</v>
      </c>
      <c r="C38" s="2">
        <f>ROUNDUP(B38-H$2,2)</f>
        <v>-0.11</v>
      </c>
      <c r="D38" s="1">
        <f t="shared" si="7"/>
        <v>1.21E-2</v>
      </c>
      <c r="G38" s="26"/>
      <c r="H38" s="27"/>
      <c r="I38" s="26"/>
      <c r="J38" s="26"/>
      <c r="L38" s="2">
        <v>5.12</v>
      </c>
    </row>
    <row r="39" spans="1:12" x14ac:dyDescent="0.3">
      <c r="A39" s="1">
        <v>38</v>
      </c>
      <c r="B39" s="2">
        <v>5.21</v>
      </c>
      <c r="C39" s="2">
        <f>ROUNDUP(B39-H$2,2)</f>
        <v>6.0000000000000005E-2</v>
      </c>
      <c r="D39" s="1">
        <f t="shared" si="7"/>
        <v>3.6000000000000008E-3</v>
      </c>
      <c r="G39" s="26"/>
      <c r="H39" s="27"/>
      <c r="I39" s="26"/>
      <c r="J39" s="26"/>
      <c r="L39" s="2">
        <v>5.12</v>
      </c>
    </row>
    <row r="40" spans="1:12" x14ac:dyDescent="0.3">
      <c r="A40" s="1">
        <v>39</v>
      </c>
      <c r="B40" s="2">
        <v>5.09</v>
      </c>
      <c r="C40" s="2">
        <f>ROUNDUP(B40-H$2,2)</f>
        <v>-6.9999999999999993E-2</v>
      </c>
      <c r="D40" s="1">
        <f t="shared" si="7"/>
        <v>4.899999999999999E-3</v>
      </c>
      <c r="J40" s="4"/>
      <c r="L40" s="2">
        <v>5.13</v>
      </c>
    </row>
    <row r="41" spans="1:12" x14ac:dyDescent="0.3">
      <c r="A41" s="1">
        <v>40</v>
      </c>
      <c r="B41" s="2">
        <v>5.2</v>
      </c>
      <c r="C41" s="2">
        <f>ROUNDUP(B41-H$2,2)</f>
        <v>0.05</v>
      </c>
      <c r="D41" s="1">
        <f t="shared" si="7"/>
        <v>2.5000000000000005E-3</v>
      </c>
      <c r="J41" s="4"/>
      <c r="L41" s="2">
        <v>5.13</v>
      </c>
    </row>
    <row r="42" spans="1:12" x14ac:dyDescent="0.3">
      <c r="A42" s="1">
        <v>41</v>
      </c>
      <c r="B42" s="2">
        <v>5.1100000000000003</v>
      </c>
      <c r="C42" s="2">
        <f>ROUNDUP(B42-H$2,2)</f>
        <v>-0.05</v>
      </c>
      <c r="D42" s="1">
        <f t="shared" si="7"/>
        <v>2.5000000000000005E-3</v>
      </c>
      <c r="J42" s="4"/>
      <c r="L42" s="2">
        <v>5.13</v>
      </c>
    </row>
    <row r="43" spans="1:12" x14ac:dyDescent="0.3">
      <c r="A43" s="1">
        <v>42</v>
      </c>
      <c r="B43" s="2">
        <v>5.29</v>
      </c>
      <c r="C43" s="2">
        <f>ROUNDUP(B43-H$2,2)</f>
        <v>0.14000000000000001</v>
      </c>
      <c r="D43" s="1">
        <f t="shared" si="7"/>
        <v>1.9600000000000003E-2</v>
      </c>
      <c r="J43" s="4"/>
      <c r="L43" s="2">
        <v>5.13</v>
      </c>
    </row>
    <row r="44" spans="1:12" x14ac:dyDescent="0.3">
      <c r="A44" s="1">
        <v>43</v>
      </c>
      <c r="B44" s="2">
        <v>5.2</v>
      </c>
      <c r="C44" s="2">
        <f>ROUNDUP(B44-H$2,2)</f>
        <v>0.05</v>
      </c>
      <c r="D44" s="1">
        <f t="shared" si="7"/>
        <v>2.5000000000000005E-3</v>
      </c>
      <c r="J44" s="4"/>
      <c r="L44" s="2">
        <v>5.14</v>
      </c>
    </row>
    <row r="45" spans="1:12" x14ac:dyDescent="0.3">
      <c r="A45" s="1">
        <v>44</v>
      </c>
      <c r="B45" s="2">
        <v>5.26</v>
      </c>
      <c r="C45" s="2">
        <f>ROUNDUP(B45-H$2,2)</f>
        <v>0.11</v>
      </c>
      <c r="D45" s="1">
        <f t="shared" si="7"/>
        <v>1.21E-2</v>
      </c>
      <c r="J45" s="4"/>
      <c r="L45" s="2">
        <v>5.14</v>
      </c>
    </row>
    <row r="46" spans="1:12" x14ac:dyDescent="0.3">
      <c r="A46" s="1">
        <v>45</v>
      </c>
      <c r="B46" s="2">
        <v>5.25</v>
      </c>
      <c r="C46" s="2">
        <f>ROUNDUP(B46-H$2,2)</f>
        <v>9.9999999999999992E-2</v>
      </c>
      <c r="D46" s="1">
        <f t="shared" si="7"/>
        <v>9.9999999999999985E-3</v>
      </c>
      <c r="J46" s="4"/>
      <c r="L46" s="2">
        <v>5.14</v>
      </c>
    </row>
    <row r="47" spans="1:12" x14ac:dyDescent="0.3">
      <c r="A47" s="1">
        <v>46</v>
      </c>
      <c r="B47" s="2">
        <v>5.14</v>
      </c>
      <c r="C47" s="2">
        <f>ROUNDUP(B47-H$2,2)</f>
        <v>-0.02</v>
      </c>
      <c r="D47" s="1">
        <f t="shared" si="7"/>
        <v>4.0000000000000002E-4</v>
      </c>
      <c r="J47" s="4"/>
      <c r="L47" s="2">
        <v>5.14</v>
      </c>
    </row>
    <row r="48" spans="1:12" x14ac:dyDescent="0.3">
      <c r="A48" s="1">
        <v>47</v>
      </c>
      <c r="B48" s="2">
        <v>5.27</v>
      </c>
      <c r="C48" s="2">
        <f>ROUNDUP(B48-H$2,2)</f>
        <v>0.12</v>
      </c>
      <c r="D48" s="1">
        <f t="shared" si="7"/>
        <v>1.44E-2</v>
      </c>
      <c r="J48" s="4"/>
      <c r="L48" s="2">
        <v>5.14</v>
      </c>
    </row>
    <row r="49" spans="1:12" x14ac:dyDescent="0.3">
      <c r="A49" s="1">
        <v>48</v>
      </c>
      <c r="B49" s="2">
        <v>5.26</v>
      </c>
      <c r="C49" s="2">
        <f>ROUNDUP(B49-H$2,2)</f>
        <v>0.11</v>
      </c>
      <c r="D49" s="1">
        <f t="shared" si="7"/>
        <v>1.21E-2</v>
      </c>
      <c r="J49" s="4"/>
      <c r="L49" s="2">
        <v>5.15</v>
      </c>
    </row>
    <row r="50" spans="1:12" x14ac:dyDescent="0.3">
      <c r="A50" s="1">
        <v>49</v>
      </c>
      <c r="B50" s="2">
        <v>5.21</v>
      </c>
      <c r="C50" s="2">
        <f>ROUNDUP(B50-H$2,2)</f>
        <v>6.0000000000000005E-2</v>
      </c>
      <c r="D50" s="1">
        <f t="shared" si="7"/>
        <v>3.6000000000000008E-3</v>
      </c>
      <c r="J50" s="4"/>
      <c r="L50" s="2">
        <v>5.15</v>
      </c>
    </row>
    <row r="51" spans="1:12" x14ac:dyDescent="0.3">
      <c r="A51" s="1">
        <v>50</v>
      </c>
      <c r="B51" s="2">
        <v>5.22</v>
      </c>
      <c r="C51" s="2">
        <f>ROUNDUP(B51-H$2,2)</f>
        <v>6.9999999999999993E-2</v>
      </c>
      <c r="D51" s="1">
        <f t="shared" si="7"/>
        <v>4.899999999999999E-3</v>
      </c>
      <c r="J51" s="4"/>
      <c r="L51" s="2">
        <v>5.15</v>
      </c>
    </row>
    <row r="52" spans="1:12" x14ac:dyDescent="0.3">
      <c r="A52" s="1">
        <v>51</v>
      </c>
      <c r="B52" s="2">
        <v>5.0999999999999996</v>
      </c>
      <c r="C52" s="2">
        <f>ROUNDUP(B52-H$2,2)</f>
        <v>-6.0000000000000005E-2</v>
      </c>
      <c r="D52" s="1">
        <f t="shared" si="7"/>
        <v>3.6000000000000008E-3</v>
      </c>
      <c r="L52" s="2">
        <v>5.16</v>
      </c>
    </row>
    <row r="53" spans="1:12" x14ac:dyDescent="0.3">
      <c r="A53" s="1">
        <v>52</v>
      </c>
      <c r="B53" s="2">
        <v>5.07</v>
      </c>
      <c r="C53" s="2">
        <f>ROUNDUP(B53-H$2,2)</f>
        <v>-0.09</v>
      </c>
      <c r="D53" s="1">
        <f t="shared" si="7"/>
        <v>8.0999999999999996E-3</v>
      </c>
      <c r="L53" s="2">
        <v>5.16</v>
      </c>
    </row>
    <row r="54" spans="1:12" x14ac:dyDescent="0.3">
      <c r="A54" s="1">
        <v>53</v>
      </c>
      <c r="B54" s="2">
        <v>5.15</v>
      </c>
      <c r="C54" s="2">
        <f>ROUNDUP(B54-H$2,2)</f>
        <v>-0.01</v>
      </c>
      <c r="D54" s="1">
        <f t="shared" si="7"/>
        <v>1E-4</v>
      </c>
      <c r="L54" s="2">
        <v>5.16</v>
      </c>
    </row>
    <row r="55" spans="1:12" x14ac:dyDescent="0.3">
      <c r="A55" s="1">
        <v>54</v>
      </c>
      <c r="B55" s="2">
        <v>5.09</v>
      </c>
      <c r="C55" s="2">
        <f>ROUNDUP(B55-H$2,2)</f>
        <v>-6.9999999999999993E-2</v>
      </c>
      <c r="D55" s="1">
        <f t="shared" si="7"/>
        <v>4.899999999999999E-3</v>
      </c>
      <c r="L55" s="2">
        <v>5.16</v>
      </c>
    </row>
    <row r="56" spans="1:12" x14ac:dyDescent="0.3">
      <c r="A56" s="1">
        <v>55</v>
      </c>
      <c r="B56" s="2">
        <v>5.0999999999999996</v>
      </c>
      <c r="C56" s="2">
        <f>ROUNDUP(B56-H$2,2)</f>
        <v>-6.0000000000000005E-2</v>
      </c>
      <c r="D56" s="1">
        <f t="shared" si="7"/>
        <v>3.6000000000000008E-3</v>
      </c>
      <c r="L56" s="2">
        <v>5.17</v>
      </c>
    </row>
    <row r="57" spans="1:12" x14ac:dyDescent="0.3">
      <c r="A57" s="1">
        <v>56</v>
      </c>
      <c r="B57" s="2">
        <v>5.09</v>
      </c>
      <c r="C57" s="2">
        <f>ROUNDUP(B57-H$2,2)</f>
        <v>-6.9999999999999993E-2</v>
      </c>
      <c r="D57" s="1">
        <f t="shared" si="7"/>
        <v>4.899999999999999E-3</v>
      </c>
      <c r="L57" s="2">
        <v>5.17</v>
      </c>
    </row>
    <row r="58" spans="1:12" x14ac:dyDescent="0.3">
      <c r="A58" s="1">
        <v>57</v>
      </c>
      <c r="B58" s="2">
        <v>5.21</v>
      </c>
      <c r="C58" s="2">
        <f>ROUNDUP(B58-H$2,2)</f>
        <v>6.0000000000000005E-2</v>
      </c>
      <c r="D58" s="1">
        <f t="shared" si="7"/>
        <v>3.6000000000000008E-3</v>
      </c>
      <c r="L58" s="2">
        <v>5.17</v>
      </c>
    </row>
    <row r="59" spans="1:12" x14ac:dyDescent="0.3">
      <c r="A59" s="1">
        <v>58</v>
      </c>
      <c r="B59" s="2">
        <v>5.19</v>
      </c>
      <c r="C59" s="2">
        <f>ROUNDUP(B59-H$2,2)</f>
        <v>0.04</v>
      </c>
      <c r="D59" s="1">
        <f t="shared" si="7"/>
        <v>1.6000000000000001E-3</v>
      </c>
      <c r="L59" s="2">
        <v>5.17</v>
      </c>
    </row>
    <row r="60" spans="1:12" x14ac:dyDescent="0.3">
      <c r="A60" s="1">
        <v>59</v>
      </c>
      <c r="B60" s="2">
        <v>5.2</v>
      </c>
      <c r="C60" s="2">
        <f>ROUNDUP(B60-H$2,2)</f>
        <v>0.05</v>
      </c>
      <c r="D60" s="1">
        <f t="shared" si="7"/>
        <v>2.5000000000000005E-3</v>
      </c>
      <c r="L60" s="2">
        <v>5.18</v>
      </c>
    </row>
    <row r="61" spans="1:12" x14ac:dyDescent="0.3">
      <c r="A61" s="1">
        <v>60</v>
      </c>
      <c r="B61" s="2">
        <v>5.16</v>
      </c>
      <c r="C61" s="2">
        <f>ROUNDUP(B61-H$2,2)</f>
        <v>0.01</v>
      </c>
      <c r="D61" s="1">
        <f t="shared" si="7"/>
        <v>1E-4</v>
      </c>
      <c r="L61" s="2">
        <v>5.18</v>
      </c>
    </row>
    <row r="62" spans="1:12" x14ac:dyDescent="0.3">
      <c r="A62" s="1">
        <v>61</v>
      </c>
      <c r="B62" s="2">
        <v>5.04</v>
      </c>
      <c r="C62" s="2">
        <f>ROUNDUP(B62-H$2,2)</f>
        <v>-0.12</v>
      </c>
      <c r="D62" s="1">
        <f t="shared" si="7"/>
        <v>1.44E-2</v>
      </c>
      <c r="L62" s="2">
        <v>5.18</v>
      </c>
    </row>
    <row r="63" spans="1:12" x14ac:dyDescent="0.3">
      <c r="A63" s="1">
        <v>62</v>
      </c>
      <c r="B63" s="2">
        <v>5.13</v>
      </c>
      <c r="C63" s="2">
        <f>ROUNDUP(B63-H$2,2)</f>
        <v>-0.03</v>
      </c>
      <c r="D63" s="1">
        <f t="shared" si="7"/>
        <v>8.9999999999999998E-4</v>
      </c>
      <c r="L63" s="2">
        <v>5.18</v>
      </c>
    </row>
    <row r="64" spans="1:12" x14ac:dyDescent="0.3">
      <c r="A64" s="1">
        <v>63</v>
      </c>
      <c r="B64" s="2">
        <v>5.21</v>
      </c>
      <c r="C64" s="2">
        <f>ROUNDUP(B64-H$2,2)</f>
        <v>6.0000000000000005E-2</v>
      </c>
      <c r="D64" s="1">
        <f t="shared" si="7"/>
        <v>3.6000000000000008E-3</v>
      </c>
      <c r="L64" s="2">
        <v>5.19</v>
      </c>
    </row>
    <row r="65" spans="1:12" x14ac:dyDescent="0.3">
      <c r="A65" s="1">
        <v>64</v>
      </c>
      <c r="B65" s="2">
        <v>5.13</v>
      </c>
      <c r="C65" s="2">
        <f>ROUNDUP(B65-H$2,2)</f>
        <v>-0.03</v>
      </c>
      <c r="D65" s="1">
        <f t="shared" si="7"/>
        <v>8.9999999999999998E-4</v>
      </c>
      <c r="L65" s="2">
        <v>5.19</v>
      </c>
    </row>
    <row r="66" spans="1:12" x14ac:dyDescent="0.3">
      <c r="A66" s="1">
        <v>65</v>
      </c>
      <c r="B66" s="2">
        <v>4.8899999999999997</v>
      </c>
      <c r="C66" s="2">
        <f>ROUNDUP(B66-H$2,2)</f>
        <v>-0.27</v>
      </c>
      <c r="D66" s="1">
        <f t="shared" si="7"/>
        <v>7.2900000000000006E-2</v>
      </c>
      <c r="L66" s="2">
        <v>5.2</v>
      </c>
    </row>
    <row r="67" spans="1:12" x14ac:dyDescent="0.3">
      <c r="A67" s="1">
        <v>66</v>
      </c>
      <c r="B67" s="2">
        <v>5.14</v>
      </c>
      <c r="C67" s="2">
        <f>ROUNDUP(B67-H$2,2)</f>
        <v>-0.02</v>
      </c>
      <c r="D67" s="1">
        <f t="shared" si="7"/>
        <v>4.0000000000000002E-4</v>
      </c>
      <c r="L67" s="2">
        <v>5.2</v>
      </c>
    </row>
    <row r="68" spans="1:12" x14ac:dyDescent="0.3">
      <c r="A68" s="1">
        <v>67</v>
      </c>
      <c r="B68" s="2">
        <v>5.15</v>
      </c>
      <c r="C68" s="2">
        <f>ROUNDUP(B68-H$2,2)</f>
        <v>-0.01</v>
      </c>
      <c r="D68" s="1">
        <f t="shared" si="7"/>
        <v>1E-4</v>
      </c>
      <c r="L68" s="2">
        <v>5.2</v>
      </c>
    </row>
    <row r="69" spans="1:12" x14ac:dyDescent="0.3">
      <c r="A69" s="1">
        <v>68</v>
      </c>
      <c r="B69" s="2">
        <v>5.1100000000000003</v>
      </c>
      <c r="C69" s="2">
        <f>ROUNDUP(B69-H$2,2)</f>
        <v>-0.05</v>
      </c>
      <c r="D69" s="1">
        <f t="shared" si="7"/>
        <v>2.5000000000000005E-3</v>
      </c>
      <c r="L69" s="2">
        <v>5.2</v>
      </c>
    </row>
    <row r="70" spans="1:12" x14ac:dyDescent="0.3">
      <c r="A70" s="1">
        <v>69</v>
      </c>
      <c r="B70" s="2">
        <v>5.17</v>
      </c>
      <c r="C70" s="2">
        <f>ROUNDUP(B70-H$2,2)</f>
        <v>0.02</v>
      </c>
      <c r="D70" s="1">
        <f t="shared" si="7"/>
        <v>4.0000000000000002E-4</v>
      </c>
      <c r="L70" s="2">
        <v>5.2</v>
      </c>
    </row>
    <row r="71" spans="1:12" x14ac:dyDescent="0.3">
      <c r="A71" s="1">
        <v>70</v>
      </c>
      <c r="B71" s="2">
        <v>5.33</v>
      </c>
      <c r="C71" s="2">
        <f>ROUNDUP(B71-H$2,2)</f>
        <v>0.18000000000000002</v>
      </c>
      <c r="D71" s="1">
        <f t="shared" si="7"/>
        <v>3.2400000000000005E-2</v>
      </c>
      <c r="L71" s="2">
        <v>5.2</v>
      </c>
    </row>
    <row r="72" spans="1:12" x14ac:dyDescent="0.3">
      <c r="A72" s="1">
        <v>71</v>
      </c>
      <c r="B72" s="2">
        <v>4.96</v>
      </c>
      <c r="C72" s="2">
        <f>ROUNDUP(B72-H$2,2)</f>
        <v>-0.2</v>
      </c>
      <c r="D72" s="1">
        <f t="shared" si="7"/>
        <v>4.0000000000000008E-2</v>
      </c>
      <c r="L72" s="2">
        <v>5.2</v>
      </c>
    </row>
    <row r="73" spans="1:12" x14ac:dyDescent="0.3">
      <c r="A73" s="1">
        <v>72</v>
      </c>
      <c r="B73" s="2">
        <v>5.14</v>
      </c>
      <c r="C73" s="2">
        <f>ROUNDUP(B73-H$2,2)</f>
        <v>-0.02</v>
      </c>
      <c r="D73" s="1">
        <f t="shared" si="7"/>
        <v>4.0000000000000002E-4</v>
      </c>
      <c r="L73" s="2">
        <v>5.21</v>
      </c>
    </row>
    <row r="74" spans="1:12" x14ac:dyDescent="0.3">
      <c r="A74" s="1">
        <v>73</v>
      </c>
      <c r="B74" s="2">
        <v>5.0999999999999996</v>
      </c>
      <c r="C74" s="2">
        <f>ROUNDUP(B74-H$2,2)</f>
        <v>-6.0000000000000005E-2</v>
      </c>
      <c r="D74" s="1">
        <f t="shared" si="7"/>
        <v>3.6000000000000008E-3</v>
      </c>
      <c r="L74" s="2">
        <v>5.21</v>
      </c>
    </row>
    <row r="75" spans="1:12" x14ac:dyDescent="0.3">
      <c r="A75" s="1">
        <v>74</v>
      </c>
      <c r="B75" s="2">
        <v>5.1100000000000003</v>
      </c>
      <c r="C75" s="2">
        <f>ROUNDUP(B75-H$2,2)</f>
        <v>-0.05</v>
      </c>
      <c r="D75" s="1">
        <f t="shared" si="7"/>
        <v>2.5000000000000005E-3</v>
      </c>
      <c r="L75" s="2">
        <v>5.21</v>
      </c>
    </row>
    <row r="76" spans="1:12" x14ac:dyDescent="0.3">
      <c r="A76" s="1">
        <v>75</v>
      </c>
      <c r="B76" s="2">
        <v>5.17</v>
      </c>
      <c r="C76" s="2">
        <f>ROUNDUP(B76-H$2,2)</f>
        <v>0.02</v>
      </c>
      <c r="D76" s="1">
        <f t="shared" si="7"/>
        <v>4.0000000000000002E-4</v>
      </c>
      <c r="L76" s="2">
        <v>5.21</v>
      </c>
    </row>
    <row r="77" spans="1:12" x14ac:dyDescent="0.3">
      <c r="A77" s="1">
        <v>76</v>
      </c>
      <c r="B77" s="2">
        <v>5.19</v>
      </c>
      <c r="C77" s="2">
        <f>ROUNDUP(B77-H$2,2)</f>
        <v>0.04</v>
      </c>
      <c r="D77" s="1">
        <f t="shared" si="7"/>
        <v>1.6000000000000001E-3</v>
      </c>
      <c r="L77" s="2">
        <v>5.21</v>
      </c>
    </row>
    <row r="78" spans="1:12" x14ac:dyDescent="0.3">
      <c r="A78" s="1">
        <v>77</v>
      </c>
      <c r="B78" s="2">
        <v>5.07</v>
      </c>
      <c r="C78" s="2">
        <f>ROUNDUP(B78-H$2,2)</f>
        <v>-0.09</v>
      </c>
      <c r="D78" s="1">
        <f t="shared" si="7"/>
        <v>8.0999999999999996E-3</v>
      </c>
      <c r="L78" s="2">
        <v>5.21</v>
      </c>
    </row>
    <row r="79" spans="1:12" x14ac:dyDescent="0.3">
      <c r="A79" s="1">
        <v>78</v>
      </c>
      <c r="B79" s="2">
        <v>5.18</v>
      </c>
      <c r="C79" s="2">
        <f>ROUNDUP(B79-H$2,2)</f>
        <v>0.03</v>
      </c>
      <c r="D79" s="1">
        <f t="shared" si="7"/>
        <v>8.9999999999999998E-4</v>
      </c>
      <c r="L79" s="2">
        <v>5.21</v>
      </c>
    </row>
    <row r="80" spans="1:12" x14ac:dyDescent="0.3">
      <c r="A80" s="1">
        <v>79</v>
      </c>
      <c r="B80" s="2">
        <v>5.04</v>
      </c>
      <c r="C80" s="2">
        <f>ROUNDUP(B80-H$2,2)</f>
        <v>-0.12</v>
      </c>
      <c r="D80" s="1">
        <f t="shared" si="7"/>
        <v>1.44E-2</v>
      </c>
      <c r="L80" s="2">
        <v>5.21</v>
      </c>
    </row>
    <row r="81" spans="1:12" x14ac:dyDescent="0.3">
      <c r="A81" s="1">
        <v>80</v>
      </c>
      <c r="B81" s="2">
        <v>5.26</v>
      </c>
      <c r="C81" s="2">
        <f>ROUNDUP(B81-H$2,2)</f>
        <v>0.11</v>
      </c>
      <c r="D81" s="1">
        <f t="shared" si="7"/>
        <v>1.21E-2</v>
      </c>
      <c r="L81" s="2">
        <v>5.22</v>
      </c>
    </row>
    <row r="82" spans="1:12" x14ac:dyDescent="0.3">
      <c r="A82" s="1">
        <v>81</v>
      </c>
      <c r="B82" s="2">
        <v>5.1100000000000003</v>
      </c>
      <c r="C82" s="2">
        <f>ROUNDUP(B82-H$2,2)</f>
        <v>-0.05</v>
      </c>
      <c r="D82" s="1">
        <f t="shared" si="7"/>
        <v>2.5000000000000005E-3</v>
      </c>
      <c r="L82" s="2">
        <v>5.23</v>
      </c>
    </row>
    <row r="83" spans="1:12" x14ac:dyDescent="0.3">
      <c r="A83" s="1">
        <v>82</v>
      </c>
      <c r="B83" s="2">
        <v>5.12</v>
      </c>
      <c r="C83" s="2">
        <f>ROUNDUP(B83-H$2,2)</f>
        <v>-0.04</v>
      </c>
      <c r="D83" s="1">
        <f t="shared" si="7"/>
        <v>1.6000000000000001E-3</v>
      </c>
      <c r="L83" s="2">
        <v>5.23</v>
      </c>
    </row>
    <row r="84" spans="1:12" x14ac:dyDescent="0.3">
      <c r="A84" s="1">
        <v>83</v>
      </c>
      <c r="B84" s="2">
        <v>5.18</v>
      </c>
      <c r="C84" s="2">
        <f>ROUNDUP(B84-H$2,2)</f>
        <v>0.03</v>
      </c>
      <c r="D84" s="1">
        <f t="shared" si="7"/>
        <v>8.9999999999999998E-4</v>
      </c>
      <c r="L84" s="2">
        <v>5.25</v>
      </c>
    </row>
    <row r="85" spans="1:12" x14ac:dyDescent="0.3">
      <c r="A85" s="1">
        <v>84</v>
      </c>
      <c r="B85" s="2">
        <v>5.2</v>
      </c>
      <c r="C85" s="2">
        <f>ROUNDUP(B85-H$2,2)</f>
        <v>0.05</v>
      </c>
      <c r="D85" s="1">
        <f t="shared" si="7"/>
        <v>2.5000000000000005E-3</v>
      </c>
      <c r="L85" s="2">
        <v>5.25</v>
      </c>
    </row>
    <row r="86" spans="1:12" x14ac:dyDescent="0.3">
      <c r="A86" s="1">
        <v>85</v>
      </c>
      <c r="B86" s="2">
        <v>5.1100000000000003</v>
      </c>
      <c r="C86" s="2">
        <f>ROUNDUP(B86-H$2,2)</f>
        <v>-0.05</v>
      </c>
      <c r="D86" s="1">
        <f t="shared" si="7"/>
        <v>2.5000000000000005E-3</v>
      </c>
      <c r="L86" s="2">
        <v>5.26</v>
      </c>
    </row>
    <row r="87" spans="1:12" x14ac:dyDescent="0.3">
      <c r="A87" s="1">
        <v>86</v>
      </c>
      <c r="B87" s="2">
        <v>5.27</v>
      </c>
      <c r="C87" s="2">
        <f>ROUNDUP(B87-H$2,2)</f>
        <v>0.12</v>
      </c>
      <c r="D87" s="1">
        <f t="shared" si="7"/>
        <v>1.44E-2</v>
      </c>
      <c r="L87" s="2">
        <v>5.26</v>
      </c>
    </row>
    <row r="88" spans="1:12" x14ac:dyDescent="0.3">
      <c r="A88" s="1">
        <v>87</v>
      </c>
      <c r="B88" s="2">
        <v>5.14</v>
      </c>
      <c r="C88" s="2">
        <f>ROUNDUP(B88-H$2,2)</f>
        <v>-0.02</v>
      </c>
      <c r="D88" s="1">
        <f t="shared" si="7"/>
        <v>4.0000000000000002E-4</v>
      </c>
      <c r="L88" s="2">
        <v>5.26</v>
      </c>
    </row>
    <row r="89" spans="1:12" x14ac:dyDescent="0.3">
      <c r="A89" s="1">
        <v>88</v>
      </c>
      <c r="B89" s="2">
        <v>5.12</v>
      </c>
      <c r="C89" s="2">
        <f>ROUNDUP(B89-H$2,2)</f>
        <v>-0.04</v>
      </c>
      <c r="D89" s="1">
        <f t="shared" si="7"/>
        <v>1.6000000000000001E-3</v>
      </c>
      <c r="L89" s="2">
        <v>5.26</v>
      </c>
    </row>
    <row r="90" spans="1:12" x14ac:dyDescent="0.3">
      <c r="A90" s="1">
        <v>89</v>
      </c>
      <c r="B90" s="2">
        <v>5.13</v>
      </c>
      <c r="C90" s="2">
        <f>ROUNDUP(B90-H$2,2)</f>
        <v>-0.03</v>
      </c>
      <c r="D90" s="1">
        <f t="shared" si="7"/>
        <v>8.9999999999999998E-4</v>
      </c>
      <c r="L90" s="2">
        <v>5.27</v>
      </c>
    </row>
    <row r="91" spans="1:12" x14ac:dyDescent="0.3">
      <c r="A91" s="1">
        <v>90</v>
      </c>
      <c r="B91" s="2">
        <v>5.1100000000000003</v>
      </c>
      <c r="C91" s="2">
        <f>ROUNDUP(B91-H$2,2)</f>
        <v>-0.05</v>
      </c>
      <c r="D91" s="1">
        <f t="shared" si="7"/>
        <v>2.5000000000000005E-3</v>
      </c>
      <c r="L91" s="2">
        <v>5.27</v>
      </c>
    </row>
    <row r="92" spans="1:12" x14ac:dyDescent="0.3">
      <c r="A92" s="1">
        <v>91</v>
      </c>
      <c r="B92" s="2">
        <v>4.95</v>
      </c>
      <c r="C92" s="2">
        <f>ROUNDUP(B92-H$2,2)</f>
        <v>-0.21000000000000002</v>
      </c>
      <c r="D92" s="1">
        <f t="shared" si="7"/>
        <v>4.4100000000000007E-2</v>
      </c>
      <c r="L92" s="2">
        <v>5.27</v>
      </c>
    </row>
    <row r="93" spans="1:12" x14ac:dyDescent="0.3">
      <c r="A93" s="1">
        <v>92</v>
      </c>
      <c r="B93" s="2">
        <v>5.03</v>
      </c>
      <c r="C93" s="2">
        <f>ROUNDUP(B93-H$2,2)</f>
        <v>-0.13</v>
      </c>
      <c r="D93" s="1">
        <f t="shared" si="7"/>
        <v>1.6900000000000002E-2</v>
      </c>
      <c r="L93" s="2">
        <v>5.29</v>
      </c>
    </row>
    <row r="94" spans="1:12" x14ac:dyDescent="0.3">
      <c r="A94" s="1">
        <v>93</v>
      </c>
      <c r="B94" s="2">
        <v>5.12</v>
      </c>
      <c r="C94" s="2">
        <f>ROUNDUP(B94-H$2,2)</f>
        <v>-0.04</v>
      </c>
      <c r="D94" s="1">
        <f t="shared" si="7"/>
        <v>1.6000000000000001E-3</v>
      </c>
      <c r="L94" s="2">
        <v>5.29</v>
      </c>
    </row>
    <row r="95" spans="1:12" x14ac:dyDescent="0.3">
      <c r="A95" s="1">
        <v>94</v>
      </c>
      <c r="B95" s="2">
        <v>5.18</v>
      </c>
      <c r="C95" s="2">
        <f>ROUNDUP(B95-H$2,2)</f>
        <v>0.03</v>
      </c>
      <c r="D95" s="1">
        <f t="shared" si="7"/>
        <v>8.9999999999999998E-4</v>
      </c>
      <c r="L95" s="2">
        <v>5.3</v>
      </c>
    </row>
    <row r="96" spans="1:12" x14ac:dyDescent="0.3">
      <c r="A96" s="1">
        <v>95</v>
      </c>
      <c r="B96" s="2">
        <v>5.07</v>
      </c>
      <c r="C96" s="2">
        <f>ROUNDUP(B96-H$2,2)</f>
        <v>-0.09</v>
      </c>
      <c r="D96" s="1">
        <f t="shared" si="7"/>
        <v>8.0999999999999996E-3</v>
      </c>
      <c r="L96" s="2">
        <v>5.3</v>
      </c>
    </row>
    <row r="97" spans="1:12" x14ac:dyDescent="0.3">
      <c r="A97" s="1">
        <v>96</v>
      </c>
      <c r="B97" s="2">
        <v>5.17</v>
      </c>
      <c r="C97" s="2">
        <f>ROUNDUP(B97-H$2,2)</f>
        <v>0.02</v>
      </c>
      <c r="D97" s="1">
        <f t="shared" si="7"/>
        <v>4.0000000000000002E-4</v>
      </c>
      <c r="L97" s="2">
        <v>5.31</v>
      </c>
    </row>
    <row r="98" spans="1:12" x14ac:dyDescent="0.3">
      <c r="A98" s="1">
        <v>97</v>
      </c>
      <c r="B98" s="2">
        <v>4.99</v>
      </c>
      <c r="C98" s="2">
        <f>ROUNDUP(B98-H$2,2)</f>
        <v>-0.17</v>
      </c>
      <c r="D98" s="1">
        <f t="shared" ref="D98:D101" si="10">C98*C98</f>
        <v>2.8900000000000006E-2</v>
      </c>
      <c r="L98" s="2">
        <v>5.31</v>
      </c>
    </row>
    <row r="99" spans="1:12" x14ac:dyDescent="0.3">
      <c r="A99" s="1">
        <v>98</v>
      </c>
      <c r="B99" s="2">
        <v>5.2</v>
      </c>
      <c r="C99" s="2">
        <f>ROUNDUP(B99-H$2,2)</f>
        <v>0.05</v>
      </c>
      <c r="D99" s="1">
        <f t="shared" si="10"/>
        <v>2.5000000000000005E-3</v>
      </c>
      <c r="L99" s="2">
        <v>5.33</v>
      </c>
    </row>
    <row r="100" spans="1:12" x14ac:dyDescent="0.3">
      <c r="A100" s="1">
        <v>99</v>
      </c>
      <c r="B100" s="2">
        <v>5.1100000000000003</v>
      </c>
      <c r="C100" s="2">
        <f>ROUNDUP(B100-H$2,2)</f>
        <v>-0.05</v>
      </c>
      <c r="D100" s="1">
        <f t="shared" si="10"/>
        <v>2.5000000000000005E-3</v>
      </c>
      <c r="L100" s="2">
        <v>5.33</v>
      </c>
    </row>
    <row r="101" spans="1:12" x14ac:dyDescent="0.3">
      <c r="A101" s="1">
        <v>100</v>
      </c>
      <c r="B101" s="2">
        <v>4.9800000000000004</v>
      </c>
      <c r="C101" s="2">
        <f>ROUNDUP(B101-H$2,2)</f>
        <v>-0.18000000000000002</v>
      </c>
      <c r="D101" s="1">
        <f t="shared" si="10"/>
        <v>3.2400000000000005E-2</v>
      </c>
      <c r="L101" s="2">
        <v>5.34</v>
      </c>
    </row>
  </sheetData>
  <sortState xmlns:xlrd2="http://schemas.microsoft.com/office/spreadsheetml/2017/richdata2" ref="L2:L102">
    <sortCondition ref="L1:L102"/>
  </sortState>
  <mergeCells count="40">
    <mergeCell ref="G36:G37"/>
    <mergeCell ref="H36:H37"/>
    <mergeCell ref="I36:I37"/>
    <mergeCell ref="J36:J37"/>
    <mergeCell ref="G38:G39"/>
    <mergeCell ref="H38:H39"/>
    <mergeCell ref="I38:I39"/>
    <mergeCell ref="J38:J39"/>
    <mergeCell ref="G32:G33"/>
    <mergeCell ref="H32:H33"/>
    <mergeCell ref="I32:I33"/>
    <mergeCell ref="J32:J33"/>
    <mergeCell ref="G34:G35"/>
    <mergeCell ref="H34:H35"/>
    <mergeCell ref="I34:I35"/>
    <mergeCell ref="J34:J35"/>
    <mergeCell ref="G28:G29"/>
    <mergeCell ref="H28:H29"/>
    <mergeCell ref="I28:I29"/>
    <mergeCell ref="J28:J29"/>
    <mergeCell ref="G30:G31"/>
    <mergeCell ref="H30:H31"/>
    <mergeCell ref="I30:I31"/>
    <mergeCell ref="J30:J31"/>
    <mergeCell ref="G24:G25"/>
    <mergeCell ref="H24:H25"/>
    <mergeCell ref="I24:I25"/>
    <mergeCell ref="J24:J25"/>
    <mergeCell ref="G26:G27"/>
    <mergeCell ref="H26:H27"/>
    <mergeCell ref="I26:I27"/>
    <mergeCell ref="J26:J27"/>
    <mergeCell ref="G20:G21"/>
    <mergeCell ref="H20:H21"/>
    <mergeCell ref="I20:I21"/>
    <mergeCell ref="J20:J21"/>
    <mergeCell ref="G22:G23"/>
    <mergeCell ref="H22:H23"/>
    <mergeCell ref="I22:I23"/>
    <mergeCell ref="J22:J23"/>
  </mergeCells>
  <pageMargins left="0.7" right="0.7" top="0.75" bottom="0.75" header="0.3" footer="0.3"/>
  <pageSetup paperSize="9" orientation="portrait" r:id="rId1"/>
  <ignoredErrors>
    <ignoredError sqref="F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activeCell="E14" sqref="A1:E15"/>
    </sheetView>
  </sheetViews>
  <sheetFormatPr defaultRowHeight="14.4" x14ac:dyDescent="0.3"/>
  <cols>
    <col min="1" max="1" width="19.88671875" customWidth="1"/>
    <col min="3" max="3" width="10.6640625" customWidth="1"/>
  </cols>
  <sheetData>
    <row r="1" spans="1:14" x14ac:dyDescent="0.3">
      <c r="A1" s="1" t="s">
        <v>9</v>
      </c>
      <c r="B1" s="5" t="s">
        <v>8</v>
      </c>
      <c r="C1" s="5" t="s">
        <v>13</v>
      </c>
      <c r="D1" s="6" t="s">
        <v>14</v>
      </c>
      <c r="E1" s="13" t="s">
        <v>15</v>
      </c>
      <c r="K1" s="11"/>
      <c r="L1" s="11"/>
      <c r="M1" s="10"/>
      <c r="N1" s="10"/>
    </row>
    <row r="2" spans="1:14" x14ac:dyDescent="0.3">
      <c r="A2" s="1"/>
      <c r="B2" s="20"/>
      <c r="C2" s="22" t="e">
        <f>B2/(50*'Основные расчеты'!$K$8)</f>
        <v>#DIV/0!</v>
      </c>
      <c r="D2" s="20">
        <f>(A2+A3)/2</f>
        <v>0</v>
      </c>
      <c r="E2" s="20">
        <f>ROUND(1/('Основные расчеты'!$H$3*SQRTPI(2))*EXP((-1)*(D2-'Основные расчеты'!$H$2)*(D2-'Основные расчеты'!$H$2)/2/'Основные расчеты'!$H$3/'Основные расчеты'!$H$3),3)</f>
        <v>0</v>
      </c>
      <c r="G2" s="28"/>
      <c r="K2" s="12"/>
      <c r="L2" s="12"/>
      <c r="M2" s="12"/>
      <c r="N2" s="12"/>
    </row>
    <row r="3" spans="1:14" x14ac:dyDescent="0.3">
      <c r="A3" s="1"/>
      <c r="B3" s="21"/>
      <c r="C3" s="23"/>
      <c r="D3" s="21"/>
      <c r="E3" s="21"/>
      <c r="G3" s="28"/>
      <c r="K3" s="12"/>
      <c r="L3" s="12"/>
      <c r="M3" s="12"/>
      <c r="N3" s="12"/>
    </row>
    <row r="4" spans="1:14" x14ac:dyDescent="0.3">
      <c r="A4" s="1"/>
      <c r="B4" s="20"/>
      <c r="C4" s="22" t="e">
        <f>B4/(50*'Основные расчеты'!$K$8)</f>
        <v>#DIV/0!</v>
      </c>
      <c r="D4" s="20">
        <f t="shared" ref="D4" si="0">(A4+A5)/2</f>
        <v>0</v>
      </c>
      <c r="E4" s="20">
        <f>ROUND(1/('Основные расчеты'!$H$3*SQRTPI(2))*EXP((-1)*(D4-'Основные расчеты'!$H$2)*(D4-'Основные расчеты'!$H$2)/2/'Основные расчеты'!$H$3/'Основные расчеты'!$H$3),3)</f>
        <v>0</v>
      </c>
      <c r="G4" s="28"/>
      <c r="K4" s="12"/>
      <c r="L4" s="12"/>
      <c r="M4" s="12"/>
      <c r="N4" s="12"/>
    </row>
    <row r="5" spans="1:14" x14ac:dyDescent="0.3">
      <c r="A5" s="1"/>
      <c r="B5" s="21"/>
      <c r="C5" s="23"/>
      <c r="D5" s="21"/>
      <c r="E5" s="21"/>
      <c r="G5" s="28"/>
      <c r="K5" s="12"/>
      <c r="L5" s="12"/>
      <c r="M5" s="12"/>
      <c r="N5" s="12"/>
    </row>
    <row r="6" spans="1:14" x14ac:dyDescent="0.3">
      <c r="A6" s="1"/>
      <c r="B6" s="20"/>
      <c r="C6" s="22" t="e">
        <f>B6/(50*'Основные расчеты'!$K$8)</f>
        <v>#DIV/0!</v>
      </c>
      <c r="D6" s="20">
        <f t="shared" ref="D6" si="1">(A6+A7)/2</f>
        <v>0</v>
      </c>
      <c r="E6" s="20">
        <f>ROUND(1/('Основные расчеты'!$H$3*SQRTPI(2))*EXP((-1)*(D6-'Основные расчеты'!$H$2)*(D6-'Основные расчеты'!$H$2)/2/'Основные расчеты'!$H$3/'Основные расчеты'!$H$3),3)</f>
        <v>0</v>
      </c>
      <c r="G6" s="28"/>
      <c r="K6" s="12"/>
      <c r="L6" s="12"/>
      <c r="M6" s="12"/>
      <c r="N6" s="12"/>
    </row>
    <row r="7" spans="1:14" x14ac:dyDescent="0.3">
      <c r="A7" s="1"/>
      <c r="B7" s="21"/>
      <c r="C7" s="23"/>
      <c r="D7" s="21"/>
      <c r="E7" s="21"/>
      <c r="G7" s="28"/>
      <c r="K7" s="12"/>
      <c r="L7" s="12"/>
      <c r="M7" s="12"/>
      <c r="N7" s="12"/>
    </row>
    <row r="8" spans="1:14" x14ac:dyDescent="0.3">
      <c r="A8" s="1"/>
      <c r="B8" s="20"/>
      <c r="C8" s="22" t="e">
        <f>B8/(50*'Основные расчеты'!$K$8)</f>
        <v>#DIV/0!</v>
      </c>
      <c r="D8" s="20">
        <f t="shared" ref="D8" si="2">(A8+A9)/2</f>
        <v>0</v>
      </c>
      <c r="E8" s="20">
        <f>ROUND(1/('Основные расчеты'!$H$3*SQRTPI(2))*EXP((-1)*(D8-'Основные расчеты'!$H$2)*(D8-'Основные расчеты'!$H$2)/2/'Основные расчеты'!$H$3/'Основные расчеты'!$H$3),3)</f>
        <v>0</v>
      </c>
      <c r="K8" s="12"/>
      <c r="L8" s="12"/>
      <c r="M8" s="12"/>
      <c r="N8" s="12"/>
    </row>
    <row r="9" spans="1:14" x14ac:dyDescent="0.3">
      <c r="A9" s="1"/>
      <c r="B9" s="21"/>
      <c r="C9" s="23"/>
      <c r="D9" s="21"/>
      <c r="E9" s="21"/>
      <c r="K9" s="12"/>
      <c r="L9" s="12"/>
      <c r="M9" s="12"/>
      <c r="N9" s="12"/>
    </row>
    <row r="10" spans="1:14" x14ac:dyDescent="0.3">
      <c r="A10" s="1"/>
      <c r="B10" s="20"/>
      <c r="C10" s="22" t="e">
        <f>B10/(50*'Основные расчеты'!$K$8)</f>
        <v>#DIV/0!</v>
      </c>
      <c r="D10" s="20">
        <f t="shared" ref="D10" si="3">(A10+A11)/2</f>
        <v>0</v>
      </c>
      <c r="E10" s="20">
        <f>ROUND(1/('Основные расчеты'!$H$3*SQRTPI(2))*EXP((-1)*(D10-'Основные расчеты'!$H$2)*(D10-'Основные расчеты'!$H$2)/2/'Основные расчеты'!$H$3/'Основные расчеты'!$H$3),3)</f>
        <v>0</v>
      </c>
      <c r="K10" s="12"/>
      <c r="L10" s="12"/>
      <c r="M10" s="12"/>
      <c r="N10" s="12"/>
    </row>
    <row r="11" spans="1:14" x14ac:dyDescent="0.3">
      <c r="A11" s="1"/>
      <c r="B11" s="21"/>
      <c r="C11" s="23"/>
      <c r="D11" s="21"/>
      <c r="E11" s="21"/>
      <c r="K11" s="12"/>
      <c r="L11" s="12"/>
      <c r="M11" s="12"/>
      <c r="N11" s="12"/>
    </row>
    <row r="12" spans="1:14" x14ac:dyDescent="0.3">
      <c r="A12" s="1"/>
      <c r="B12" s="20"/>
      <c r="C12" s="22" t="e">
        <f>B12/(50*'Основные расчеты'!$K$8)</f>
        <v>#DIV/0!</v>
      </c>
      <c r="D12" s="20">
        <f t="shared" ref="D12" si="4">(A12+A13)/2</f>
        <v>0</v>
      </c>
      <c r="E12" s="20">
        <f>ROUND(1/('Основные расчеты'!$H$3*SQRTPI(2))*EXP((-1)*(D12-'Основные расчеты'!$H$2)*(D12-'Основные расчеты'!$H$2)/2/'Основные расчеты'!$H$3/'Основные расчеты'!$H$3),3)</f>
        <v>0</v>
      </c>
      <c r="K12" s="12"/>
      <c r="L12" s="12"/>
      <c r="M12" s="12"/>
      <c r="N12" s="12"/>
    </row>
    <row r="13" spans="1:14" x14ac:dyDescent="0.3">
      <c r="A13" s="1"/>
      <c r="B13" s="21"/>
      <c r="C13" s="23"/>
      <c r="D13" s="21"/>
      <c r="E13" s="21"/>
      <c r="K13" s="12"/>
      <c r="L13" s="12"/>
      <c r="M13" s="12"/>
      <c r="N13" s="12"/>
    </row>
    <row r="14" spans="1:14" x14ac:dyDescent="0.3">
      <c r="A14" s="1"/>
      <c r="B14" s="20"/>
      <c r="C14" s="22" t="e">
        <f>B14/(50*'Основные расчеты'!$K$8)</f>
        <v>#DIV/0!</v>
      </c>
      <c r="D14" s="20">
        <f t="shared" ref="D14" si="5">(A14+A15)/2</f>
        <v>0</v>
      </c>
      <c r="E14" s="20">
        <f>ROUND(1/('Основные расчеты'!$H$3*SQRTPI(2))*EXP((-1)*(D14-'Основные расчеты'!$H$2)*(D14-'Основные расчеты'!$H$2)/2/'Основные расчеты'!$H$3/'Основные расчеты'!$H$3),3)</f>
        <v>0</v>
      </c>
      <c r="K14" s="12"/>
      <c r="L14" s="12"/>
      <c r="M14" s="12"/>
      <c r="N14" s="12"/>
    </row>
    <row r="15" spans="1:14" x14ac:dyDescent="0.3">
      <c r="A15" s="1"/>
      <c r="B15" s="21"/>
      <c r="C15" s="23"/>
      <c r="D15" s="21"/>
      <c r="E15" s="21"/>
      <c r="K15" s="12"/>
      <c r="L15" s="12"/>
      <c r="M15" s="12"/>
      <c r="N15" s="12"/>
    </row>
    <row r="16" spans="1:14" x14ac:dyDescent="0.3"/>
    <row r="19" spans="2:5" x14ac:dyDescent="0.3">
      <c r="B19" s="26"/>
      <c r="C19" s="27"/>
      <c r="D19" s="26"/>
      <c r="E19" s="26"/>
    </row>
    <row r="20" spans="2:5" x14ac:dyDescent="0.3">
      <c r="B20" s="26"/>
      <c r="C20" s="27"/>
      <c r="D20" s="26"/>
      <c r="E20" s="26"/>
    </row>
    <row r="21" spans="2:5" x14ac:dyDescent="0.3">
      <c r="B21" s="26"/>
      <c r="C21" s="27"/>
      <c r="D21" s="26"/>
      <c r="E21" s="26"/>
    </row>
    <row r="22" spans="2:5" x14ac:dyDescent="0.3">
      <c r="B22" s="26"/>
      <c r="C22" s="27"/>
      <c r="D22" s="26"/>
      <c r="E22" s="26"/>
    </row>
    <row r="23" spans="2:5" x14ac:dyDescent="0.3">
      <c r="B23" s="26"/>
      <c r="C23" s="27"/>
      <c r="D23" s="26"/>
      <c r="E23" s="26"/>
    </row>
    <row r="24" spans="2:5" x14ac:dyDescent="0.3">
      <c r="B24" s="26"/>
      <c r="C24" s="27"/>
      <c r="D24" s="26"/>
      <c r="E24" s="26"/>
    </row>
    <row r="25" spans="2:5" x14ac:dyDescent="0.3">
      <c r="B25" s="26"/>
      <c r="C25" s="27"/>
      <c r="D25" s="26"/>
      <c r="E25" s="26"/>
    </row>
    <row r="26" spans="2:5" x14ac:dyDescent="0.3">
      <c r="B26" s="26"/>
      <c r="C26" s="27"/>
      <c r="D26" s="26"/>
      <c r="E26" s="26"/>
    </row>
    <row r="27" spans="2:5" x14ac:dyDescent="0.3">
      <c r="B27" s="26"/>
      <c r="C27" s="27"/>
      <c r="D27" s="26"/>
      <c r="E27" s="26"/>
    </row>
    <row r="28" spans="2:5" x14ac:dyDescent="0.3">
      <c r="B28" s="26"/>
      <c r="C28" s="27"/>
      <c r="D28" s="26"/>
      <c r="E28" s="26"/>
    </row>
    <row r="29" spans="2:5" x14ac:dyDescent="0.3">
      <c r="B29" s="26"/>
      <c r="C29" s="27"/>
      <c r="D29" s="26"/>
      <c r="E29" s="26"/>
    </row>
    <row r="30" spans="2:5" x14ac:dyDescent="0.3">
      <c r="B30" s="26"/>
      <c r="C30" s="27"/>
      <c r="D30" s="26"/>
      <c r="E30" s="26"/>
    </row>
    <row r="31" spans="2:5" x14ac:dyDescent="0.3">
      <c r="B31" s="26"/>
      <c r="C31" s="27"/>
      <c r="D31" s="26"/>
      <c r="E31" s="26"/>
    </row>
    <row r="32" spans="2:5" x14ac:dyDescent="0.3">
      <c r="B32" s="26"/>
      <c r="C32" s="27"/>
      <c r="D32" s="26"/>
      <c r="E32" s="26"/>
    </row>
  </sheetData>
  <mergeCells count="59">
    <mergeCell ref="D29:D30"/>
    <mergeCell ref="D31:D32"/>
    <mergeCell ref="E19:E20"/>
    <mergeCell ref="E21:E22"/>
    <mergeCell ref="E23:E24"/>
    <mergeCell ref="E25:E26"/>
    <mergeCell ref="E27:E28"/>
    <mergeCell ref="E29:E30"/>
    <mergeCell ref="E31:E32"/>
    <mergeCell ref="D19:D20"/>
    <mergeCell ref="D21:D22"/>
    <mergeCell ref="D23:D24"/>
    <mergeCell ref="D25:D26"/>
    <mergeCell ref="D27:D28"/>
    <mergeCell ref="B29:B30"/>
    <mergeCell ref="B31:B32"/>
    <mergeCell ref="C19:C20"/>
    <mergeCell ref="C21:C22"/>
    <mergeCell ref="C23:C24"/>
    <mergeCell ref="C25:C26"/>
    <mergeCell ref="C27:C28"/>
    <mergeCell ref="C29:C30"/>
    <mergeCell ref="C31:C32"/>
    <mergeCell ref="B19:B20"/>
    <mergeCell ref="B21:B22"/>
    <mergeCell ref="B23:B24"/>
    <mergeCell ref="B25:B26"/>
    <mergeCell ref="B27:B28"/>
    <mergeCell ref="B8:B9"/>
    <mergeCell ref="C8:C9"/>
    <mergeCell ref="D8:D9"/>
    <mergeCell ref="E6:E7"/>
    <mergeCell ref="D4:D5"/>
    <mergeCell ref="C4:C5"/>
    <mergeCell ref="B4:B5"/>
    <mergeCell ref="B6:B7"/>
    <mergeCell ref="C6:C7"/>
    <mergeCell ref="D6:D7"/>
    <mergeCell ref="B2:B3"/>
    <mergeCell ref="C2:C3"/>
    <mergeCell ref="D2:D3"/>
    <mergeCell ref="E2:E3"/>
    <mergeCell ref="E4:E5"/>
    <mergeCell ref="G2:G3"/>
    <mergeCell ref="G4:G5"/>
    <mergeCell ref="G6:G7"/>
    <mergeCell ref="B14:B15"/>
    <mergeCell ref="C14:C15"/>
    <mergeCell ref="D14:D15"/>
    <mergeCell ref="E14:E15"/>
    <mergeCell ref="B10:B11"/>
    <mergeCell ref="C10:C11"/>
    <mergeCell ref="D10:D11"/>
    <mergeCell ref="E10:E11"/>
    <mergeCell ref="B12:B13"/>
    <mergeCell ref="C12:C13"/>
    <mergeCell ref="D12:D13"/>
    <mergeCell ref="E12:E13"/>
    <mergeCell ref="E8:E9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G12" sqref="G12"/>
    </sheetView>
  </sheetViews>
  <sheetFormatPr defaultRowHeight="14.4" x14ac:dyDescent="0.3"/>
  <cols>
    <col min="1" max="1" width="52" customWidth="1"/>
  </cols>
  <sheetData>
    <row r="1" spans="1:6" x14ac:dyDescent="0.3">
      <c r="A1" s="36"/>
      <c r="B1" s="36" t="s">
        <v>4</v>
      </c>
      <c r="C1" s="36"/>
      <c r="D1" s="36" t="s">
        <v>29</v>
      </c>
      <c r="E1" s="36" t="s">
        <v>30</v>
      </c>
      <c r="F1" s="36" t="s">
        <v>3</v>
      </c>
    </row>
    <row r="2" spans="1:6" x14ac:dyDescent="0.3">
      <c r="A2" s="36"/>
      <c r="B2" s="16" t="s">
        <v>5</v>
      </c>
      <c r="C2" s="16" t="s">
        <v>6</v>
      </c>
      <c r="D2" s="36"/>
      <c r="E2" s="36"/>
      <c r="F2" s="36"/>
    </row>
    <row r="3" spans="1:6" x14ac:dyDescent="0.3">
      <c r="A3" s="6" t="s">
        <v>16</v>
      </c>
      <c r="B3" s="8">
        <f>'Основные расчеты'!$H$2-'Основные расчеты'!$H$3</f>
        <v>5.0579781169722127</v>
      </c>
      <c r="C3" s="8">
        <f>'Основные расчеты'!$H$2+'Основные расчеты'!$H$3</f>
        <v>5.2500218830277872</v>
      </c>
      <c r="D3" s="7">
        <f>SUM('Основные расчеты'!G24:G33)</f>
        <v>76</v>
      </c>
      <c r="E3" s="7">
        <f>D3/100</f>
        <v>0.76</v>
      </c>
      <c r="F3" s="7">
        <v>0.68300000000000005</v>
      </c>
    </row>
    <row r="4" spans="1:6" x14ac:dyDescent="0.3">
      <c r="A4" s="7" t="s">
        <v>17</v>
      </c>
      <c r="B4" s="8">
        <f>'Основные расчеты'!$H$2-(2*'Основные расчеты'!$H$3)</f>
        <v>4.9619562339444254</v>
      </c>
      <c r="C4" s="8">
        <f>'Основные расчеты'!$H$2+(2*'Основные расчеты'!$H$3)</f>
        <v>5.3460437660555744</v>
      </c>
      <c r="D4" s="7">
        <f>SUM('Основные расчеты'!G22:G37)</f>
        <v>98</v>
      </c>
      <c r="E4" s="7">
        <f>D4/100</f>
        <v>0.98</v>
      </c>
      <c r="F4" s="7">
        <v>0.95399999999999996</v>
      </c>
    </row>
    <row r="5" spans="1:6" x14ac:dyDescent="0.3">
      <c r="A5" s="7" t="s">
        <v>18</v>
      </c>
      <c r="B5" s="8">
        <f>'Основные расчеты'!$H$2-(3*'Основные расчеты'!$H$3)</f>
        <v>4.8659343509166391</v>
      </c>
      <c r="C5" s="8">
        <f>'Основные расчеты'!$H$2+(3*'Основные расчеты'!$H$3)</f>
        <v>5.4420656490833608</v>
      </c>
      <c r="D5" s="7">
        <f>SUM('Основные расчеты'!G20:G37)</f>
        <v>100</v>
      </c>
      <c r="E5" s="7">
        <f>D5/100</f>
        <v>1</v>
      </c>
      <c r="F5" s="7">
        <v>0.997</v>
      </c>
    </row>
    <row r="7" spans="1:6" x14ac:dyDescent="0.3">
      <c r="A7" s="9" t="s">
        <v>7</v>
      </c>
      <c r="B7">
        <f>SQRT(SUM('Основные расчеты'!D2:D101 )/(100*(100-1)))</f>
        <v>9.6021883027787042E-3</v>
      </c>
    </row>
    <row r="9" spans="1:6" x14ac:dyDescent="0.3">
      <c r="A9" s="9" t="s">
        <v>31</v>
      </c>
      <c r="B9">
        <v>1.98421695150868</v>
      </c>
    </row>
    <row r="10" spans="1:6" x14ac:dyDescent="0.3">
      <c r="A10" t="s">
        <v>32</v>
      </c>
      <c r="B10">
        <f>B9*B7</f>
        <v>1.9052824801951865E-2</v>
      </c>
    </row>
    <row r="11" spans="1:6" x14ac:dyDescent="0.3">
      <c r="A11" s="9" t="s">
        <v>33</v>
      </c>
      <c r="B11" s="4">
        <f>'Основные расчеты'!H2 - 'Доп расчёты'!B10</f>
        <v>5.1349471751980484</v>
      </c>
      <c r="C11" s="4">
        <f>'Основные расчеты'!H2 + 'Доп расчёты'!B10</f>
        <v>5.1730528248019514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E086-9E0B-4C1E-B4F1-BFF12921AE10}">
  <dimension ref="A1:F9"/>
  <sheetViews>
    <sheetView tabSelected="1" workbookViewId="0">
      <selection activeCell="J11" sqref="J11"/>
    </sheetView>
  </sheetViews>
  <sheetFormatPr defaultRowHeight="14.4" x14ac:dyDescent="0.3"/>
  <cols>
    <col min="1" max="1" width="52.21875" customWidth="1"/>
    <col min="2" max="2" width="15.109375" customWidth="1"/>
  </cols>
  <sheetData>
    <row r="1" spans="1:6" x14ac:dyDescent="0.3">
      <c r="A1" s="14" t="s">
        <v>35</v>
      </c>
      <c r="B1" s="2">
        <f>'Основные расчеты'!H2</f>
        <v>5.1539999999999999</v>
      </c>
    </row>
    <row r="2" spans="1:6" x14ac:dyDescent="0.3">
      <c r="A2" s="14" t="s">
        <v>25</v>
      </c>
      <c r="B2" s="5">
        <f>'Основные расчеты'!H3</f>
        <v>9.6021883027787053E-2</v>
      </c>
      <c r="C2" s="11"/>
    </row>
    <row r="3" spans="1:6" x14ac:dyDescent="0.3">
      <c r="A3" s="14" t="s">
        <v>34</v>
      </c>
      <c r="B3" s="5">
        <f>'Основные расчеты'!H4</f>
        <v>4.1547016973827287</v>
      </c>
      <c r="C3" s="11"/>
      <c r="F3" s="11"/>
    </row>
    <row r="4" spans="1:6" x14ac:dyDescent="0.3">
      <c r="A4" s="14" t="s">
        <v>7</v>
      </c>
      <c r="B4" s="5">
        <f>'Доп расчёты'!B7</f>
        <v>9.6021883027787042E-3</v>
      </c>
      <c r="C4" s="11"/>
    </row>
    <row r="5" spans="1:6" x14ac:dyDescent="0.3">
      <c r="A5" s="14" t="s">
        <v>33</v>
      </c>
      <c r="B5" s="18" t="s">
        <v>36</v>
      </c>
      <c r="C5" s="19"/>
    </row>
    <row r="6" spans="1:6" x14ac:dyDescent="0.3">
      <c r="B6" s="11"/>
      <c r="C6" s="11"/>
    </row>
    <row r="7" spans="1:6" x14ac:dyDescent="0.3">
      <c r="B7" s="11"/>
      <c r="C7" s="11"/>
    </row>
    <row r="8" spans="1:6" x14ac:dyDescent="0.3">
      <c r="B8" s="11"/>
      <c r="C8" s="11"/>
    </row>
    <row r="9" spans="1:6" x14ac:dyDescent="0.3">
      <c r="B9" s="11"/>
      <c r="C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Основные расчеты</vt:lpstr>
      <vt:lpstr>Лист2</vt:lpstr>
      <vt:lpstr>Доп расчёты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Mvideo</cp:lastModifiedBy>
  <cp:lastPrinted>2023-09-17T14:10:46Z</cp:lastPrinted>
  <dcterms:created xsi:type="dcterms:W3CDTF">2021-09-14T09:23:08Z</dcterms:created>
  <dcterms:modified xsi:type="dcterms:W3CDTF">2023-09-17T14:28:37Z</dcterms:modified>
</cp:coreProperties>
</file>