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ysics\Lab_04\"/>
    </mc:Choice>
  </mc:AlternateContent>
  <xr:revisionPtr revIDLastSave="0" documentId="13_ncr:1_{5922BDC3-F690-4EE4-BDAD-5E8CED0A559A}" xr6:coauthVersionLast="47" xr6:coauthVersionMax="47" xr10:uidLastSave="{00000000-0000-0000-0000-000000000000}"/>
  <bookViews>
    <workbookView xWindow="-108" yWindow="-108" windowWidth="23256" windowHeight="12576" activeTab="3" xr2:uid="{AFF16D66-7CD7-473C-839E-8803183A82E3}"/>
  </bookViews>
  <sheets>
    <sheet name="Лист1" sheetId="1" r:id="rId1"/>
    <sheet name="Погрешность t" sheetId="3" r:id="rId2"/>
    <sheet name="Погрешность a" sheetId="4" r:id="rId3"/>
    <sheet name="Погрешность E" sheetId="5" r:id="rId4"/>
    <sheet name="Погрешность М" sheetId="6" r:id="rId5"/>
    <sheet name="Черновик" sheetId="2" r:id="rId6"/>
  </sheets>
  <externalReferences>
    <externalReference r:id="rId7"/>
  </externalReferences>
  <definedNames>
    <definedName name="_xlchart.v1.0" hidden="1">(Лист1!$P$2,Лист1!$P$8,Лист1!$P$14,Лист1!$P$20)</definedName>
    <definedName name="_xlchart.v1.1" hidden="1">(Лист1!$P$3,Лист1!$P$9,Лист1!$P$15,Лист1!$P$21)</definedName>
    <definedName name="_xlchart.v1.10" hidden="1">(Лист1!$Q$7,Лист1!$Q$13,Лист1!$Q$19,Лист1!$Q$25)</definedName>
    <definedName name="_xlchart.v1.11" hidden="1">Лист1!$AC$10:$AC$13</definedName>
    <definedName name="_xlchart.v1.12" hidden="1">Лист1!$AC$14:$AC$17</definedName>
    <definedName name="_xlchart.v1.13" hidden="1">Лист1!$AC$18:$AC$21</definedName>
    <definedName name="_xlchart.v1.14" hidden="1">Лист1!$AC$22:$AC$25</definedName>
    <definedName name="_xlchart.v1.15" hidden="1">Лист1!$AC$2:$AC$5</definedName>
    <definedName name="_xlchart.v1.16" hidden="1">Лист1!$AC$6:$AC$9</definedName>
    <definedName name="_xlchart.v1.17" hidden="1">Лист1!$AE$10:$AE$13</definedName>
    <definedName name="_xlchart.v1.18" hidden="1">Лист1!$AE$14:$AE$17</definedName>
    <definedName name="_xlchart.v1.19" hidden="1">Лист1!$AE$18:$AE$21</definedName>
    <definedName name="_xlchart.v1.2" hidden="1">(Лист1!$P$4,Лист1!$P$10,Лист1!$P$16,Лист1!$P$22)</definedName>
    <definedName name="_xlchart.v1.20" hidden="1">Лист1!$AE$22:$AE$25</definedName>
    <definedName name="_xlchart.v1.21" hidden="1">Лист1!$AE$2:$AE$5</definedName>
    <definedName name="_xlchart.v1.22" hidden="1">Лист1!$AE$6:$AE$9</definedName>
    <definedName name="_xlchart.v1.23" hidden="1">Лист1!$M$2</definedName>
    <definedName name="_xlchart.v1.24" hidden="1">Лист1!$M$3</definedName>
    <definedName name="_xlchart.v1.25" hidden="1">Лист1!$M$4</definedName>
    <definedName name="_xlchart.v1.26" hidden="1">Лист1!$M$5</definedName>
    <definedName name="_xlchart.v1.27" hidden="1">Лист1!$M$6</definedName>
    <definedName name="_xlchart.v1.28" hidden="1">Лист1!$M$7</definedName>
    <definedName name="_xlchart.v1.3" hidden="1">(Лист1!$P$5,Лист1!$P$11,Лист1!$P$17,Лист1!$P$23)</definedName>
    <definedName name="_xlchart.v1.4" hidden="1">(Лист1!$P$7,Лист1!$P$13,Лист1!$P$19,Лист1!$P$25)</definedName>
    <definedName name="_xlchart.v1.5" hidden="1">(Лист1!$Q$2,Лист1!$Q$8,Лист1!$Q$14,Лист1!$Q$20)</definedName>
    <definedName name="_xlchart.v1.6" hidden="1">(Лист1!$Q$3,Лист1!$Q$9,Лист1!$Q$15,Лист1!$Q$21)</definedName>
    <definedName name="_xlchart.v1.7" hidden="1">(Лист1!$Q$4,Лист1!$Q$10,Лист1!$Q$16,Лист1!$Q$22)</definedName>
    <definedName name="_xlchart.v1.8" hidden="1">(Лист1!$Q$5,Лист1!$Q$11,Лист1!$Q$17,Лист1!$Q$23)</definedName>
    <definedName name="_xlchart.v1.9" hidden="1">(Лист1!$Q$6,Лист1!$Q$12,Лист1!$Q$18,Лист1!$Q$24)</definedName>
    <definedName name="solver_adj" localSheetId="0" hidden="1">Лист1!$AR$2:$AS$2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Лист1!$AO$7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2" i="6"/>
  <c r="C2" i="6" s="1"/>
  <c r="G11" i="6"/>
  <c r="C2" i="4"/>
  <c r="B2" i="4"/>
  <c r="Q2" i="1"/>
  <c r="L2" i="1"/>
  <c r="L14" i="1"/>
  <c r="L8" i="1"/>
  <c r="P2" i="1"/>
  <c r="O2" i="1"/>
  <c r="G10" i="6"/>
  <c r="G9" i="6"/>
  <c r="Q3" i="1"/>
  <c r="G8" i="5"/>
  <c r="G7" i="5"/>
  <c r="A4" i="3"/>
  <c r="A3" i="3"/>
  <c r="A2" i="3"/>
  <c r="F9" i="2"/>
  <c r="F10" i="2"/>
  <c r="F11" i="2"/>
  <c r="F12" i="2"/>
  <c r="C8" i="2"/>
  <c r="AK5" i="1"/>
  <c r="AK6" i="1" s="1"/>
  <c r="AL5" i="1"/>
  <c r="AL6" i="1" s="1"/>
  <c r="AM5" i="1"/>
  <c r="AM6" i="1" s="1"/>
  <c r="AN5" i="1"/>
  <c r="AN6" i="1" s="1"/>
  <c r="AO5" i="1"/>
  <c r="AO6" i="1" s="1"/>
  <c r="AJ5" i="1"/>
  <c r="AJ6" i="1" s="1"/>
  <c r="AK4" i="1"/>
  <c r="AJ4" i="1"/>
  <c r="AE15" i="1"/>
  <c r="AE16" i="1"/>
  <c r="AE17" i="1"/>
  <c r="AE14" i="1"/>
  <c r="AE11" i="1"/>
  <c r="AE12" i="1"/>
  <c r="AE13" i="1"/>
  <c r="AE10" i="1"/>
  <c r="AE9" i="1"/>
  <c r="AE6" i="1"/>
  <c r="AE5" i="1"/>
  <c r="P4" i="1"/>
  <c r="AL3" i="1"/>
  <c r="AO4" i="1"/>
  <c r="AN4" i="1"/>
  <c r="AM4" i="1"/>
  <c r="AL4" i="1"/>
  <c r="AJ3" i="1"/>
  <c r="AK2" i="1"/>
  <c r="AL2" i="1"/>
  <c r="AM2" i="1"/>
  <c r="AN2" i="1"/>
  <c r="AN3" i="1" s="1"/>
  <c r="AO2" i="1"/>
  <c r="AO3" i="1" s="1"/>
  <c r="AJ2" i="1"/>
  <c r="AM3" i="1"/>
  <c r="AK3" i="1"/>
  <c r="G5" i="6" l="1"/>
  <c r="G4" i="5"/>
  <c r="C2" i="5" s="1"/>
  <c r="H2" i="3"/>
  <c r="B3" i="3" s="1"/>
  <c r="AO7" i="1"/>
  <c r="B4" i="3" l="1"/>
  <c r="B2" i="3"/>
  <c r="I2" i="3" l="1"/>
  <c r="K2" i="3" s="1"/>
  <c r="M2" i="3" s="1"/>
  <c r="N2" i="3" l="1"/>
  <c r="AE23" i="1" l="1"/>
  <c r="AF23" i="1" s="1"/>
  <c r="AE24" i="1"/>
  <c r="AF24" i="1" s="1"/>
  <c r="AE25" i="1"/>
  <c r="AF25" i="1" s="1"/>
  <c r="AE22" i="1"/>
  <c r="AF22" i="1" s="1"/>
  <c r="AE19" i="1"/>
  <c r="AF19" i="1" s="1"/>
  <c r="AE20" i="1"/>
  <c r="AF20" i="1" s="1"/>
  <c r="AE21" i="1"/>
  <c r="AF21" i="1" s="1"/>
  <c r="AE18" i="1"/>
  <c r="AF18" i="1" s="1"/>
  <c r="AF15" i="1"/>
  <c r="AF16" i="1"/>
  <c r="AF17" i="1"/>
  <c r="AF14" i="1"/>
  <c r="AF11" i="1"/>
  <c r="AF12" i="1"/>
  <c r="AF13" i="1"/>
  <c r="AG13" i="1" s="1"/>
  <c r="AF10" i="1"/>
  <c r="AE7" i="1"/>
  <c r="AF7" i="1" s="1"/>
  <c r="AE8" i="1"/>
  <c r="AF8" i="1" s="1"/>
  <c r="AF9" i="1"/>
  <c r="AF6" i="1"/>
  <c r="AF5" i="1"/>
  <c r="AE3" i="1"/>
  <c r="AF3" i="1" s="1"/>
  <c r="AE4" i="1"/>
  <c r="AF4" i="1" s="1"/>
  <c r="AE2" i="1"/>
  <c r="AF2" i="1" s="1"/>
  <c r="AD25" i="1"/>
  <c r="AD21" i="1"/>
  <c r="AD17" i="1"/>
  <c r="AD13" i="1"/>
  <c r="AD9" i="1"/>
  <c r="AD5" i="1"/>
  <c r="AD24" i="1"/>
  <c r="AD20" i="1"/>
  <c r="AD16" i="1"/>
  <c r="AD12" i="1"/>
  <c r="AD8" i="1"/>
  <c r="AD4" i="1"/>
  <c r="AD23" i="1"/>
  <c r="AD19" i="1"/>
  <c r="AD15" i="1"/>
  <c r="AD11" i="1"/>
  <c r="AD7" i="1"/>
  <c r="AD3" i="1"/>
  <c r="AD22" i="1"/>
  <c r="AD18" i="1"/>
  <c r="AD14" i="1"/>
  <c r="AD10" i="1"/>
  <c r="AD6" i="1"/>
  <c r="AD2" i="1"/>
  <c r="AC25" i="1"/>
  <c r="AC24" i="1"/>
  <c r="AC23" i="1"/>
  <c r="AC22" i="1"/>
  <c r="AA25" i="1"/>
  <c r="AA24" i="1"/>
  <c r="AA23" i="1"/>
  <c r="AA22" i="1"/>
  <c r="AC21" i="1"/>
  <c r="AC20" i="1"/>
  <c r="AC19" i="1"/>
  <c r="AC18" i="1"/>
  <c r="AC17" i="1"/>
  <c r="AC16" i="1"/>
  <c r="AC15" i="1"/>
  <c r="AC14" i="1"/>
  <c r="AC13" i="1"/>
  <c r="AC12" i="1"/>
  <c r="AC10" i="1"/>
  <c r="AC11" i="1"/>
  <c r="AC9" i="1"/>
  <c r="AC8" i="1"/>
  <c r="AC7" i="1"/>
  <c r="AC6" i="1"/>
  <c r="AC5" i="1"/>
  <c r="AC4" i="1"/>
  <c r="AC3" i="1"/>
  <c r="AC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G21" i="1" l="1"/>
  <c r="AG25" i="1"/>
  <c r="AG17" i="1"/>
  <c r="AG9" i="1"/>
  <c r="AG5" i="1"/>
  <c r="M7" i="1"/>
  <c r="M6" i="1"/>
  <c r="M5" i="1"/>
  <c r="M4" i="1"/>
  <c r="M3" i="1"/>
  <c r="M2" i="1"/>
  <c r="A3" i="1"/>
  <c r="G18" i="1"/>
  <c r="N25" i="1" s="1"/>
  <c r="O25" i="1" s="1"/>
  <c r="P25" i="1" s="1"/>
  <c r="F18" i="1"/>
  <c r="N24" i="1" s="1"/>
  <c r="O24" i="1" s="1"/>
  <c r="P24" i="1" s="1"/>
  <c r="E18" i="1"/>
  <c r="N23" i="1" s="1"/>
  <c r="O23" i="1" s="1"/>
  <c r="P23" i="1" s="1"/>
  <c r="D18" i="1"/>
  <c r="N22" i="1" s="1"/>
  <c r="O22" i="1" s="1"/>
  <c r="P22" i="1" s="1"/>
  <c r="C18" i="1"/>
  <c r="N21" i="1" s="1"/>
  <c r="O21" i="1" s="1"/>
  <c r="P21" i="1" s="1"/>
  <c r="B18" i="1"/>
  <c r="N20" i="1" s="1"/>
  <c r="O20" i="1" s="1"/>
  <c r="P20" i="1" s="1"/>
  <c r="A15" i="1"/>
  <c r="L20" i="1" s="1"/>
  <c r="G14" i="1"/>
  <c r="N19" i="1" s="1"/>
  <c r="O19" i="1" s="1"/>
  <c r="P19" i="1" s="1"/>
  <c r="F14" i="1"/>
  <c r="N18" i="1" s="1"/>
  <c r="O18" i="1" s="1"/>
  <c r="P18" i="1" s="1"/>
  <c r="E14" i="1"/>
  <c r="N17" i="1" s="1"/>
  <c r="O17" i="1" s="1"/>
  <c r="P17" i="1" s="1"/>
  <c r="D14" i="1"/>
  <c r="N16" i="1" s="1"/>
  <c r="O16" i="1" s="1"/>
  <c r="P16" i="1" s="1"/>
  <c r="C14" i="1"/>
  <c r="N15" i="1" s="1"/>
  <c r="O15" i="1" s="1"/>
  <c r="P15" i="1" s="1"/>
  <c r="B14" i="1"/>
  <c r="N14" i="1" s="1"/>
  <c r="O14" i="1" s="1"/>
  <c r="P14" i="1" s="1"/>
  <c r="A11" i="1"/>
  <c r="G10" i="1"/>
  <c r="N13" i="1" s="1"/>
  <c r="O13" i="1" s="1"/>
  <c r="P13" i="1" s="1"/>
  <c r="F10" i="1"/>
  <c r="N12" i="1" s="1"/>
  <c r="O12" i="1" s="1"/>
  <c r="P12" i="1" s="1"/>
  <c r="E10" i="1"/>
  <c r="N11" i="1" s="1"/>
  <c r="O11" i="1" s="1"/>
  <c r="P11" i="1" s="1"/>
  <c r="D10" i="1"/>
  <c r="N10" i="1" s="1"/>
  <c r="O10" i="1" s="1"/>
  <c r="P10" i="1" s="1"/>
  <c r="C10" i="1"/>
  <c r="N9" i="1" s="1"/>
  <c r="O9" i="1" s="1"/>
  <c r="P9" i="1" s="1"/>
  <c r="B10" i="1"/>
  <c r="N8" i="1" s="1"/>
  <c r="O8" i="1" s="1"/>
  <c r="P8" i="1" s="1"/>
  <c r="A7" i="1"/>
  <c r="G6" i="1"/>
  <c r="N7" i="1" s="1"/>
  <c r="O7" i="1" s="1"/>
  <c r="P7" i="1" s="1"/>
  <c r="F6" i="1"/>
  <c r="N6" i="1" s="1"/>
  <c r="O6" i="1" s="1"/>
  <c r="P6" i="1" s="1"/>
  <c r="E6" i="1"/>
  <c r="N5" i="1" s="1"/>
  <c r="O5" i="1" s="1"/>
  <c r="P5" i="1" s="1"/>
  <c r="D6" i="1"/>
  <c r="N4" i="1" s="1"/>
  <c r="O4" i="1" s="1"/>
  <c r="C6" i="1"/>
  <c r="N3" i="1" s="1"/>
  <c r="O3" i="1" s="1"/>
  <c r="P3" i="1" s="1"/>
  <c r="B6" i="1"/>
  <c r="N2" i="1" s="1"/>
  <c r="Q22" i="1" l="1"/>
  <c r="Q23" i="1"/>
  <c r="Q24" i="1"/>
  <c r="Q25" i="1"/>
  <c r="Q20" i="1"/>
  <c r="Q21" i="1"/>
  <c r="Q12" i="1"/>
  <c r="Q8" i="1"/>
  <c r="Q11" i="1"/>
  <c r="Q13" i="1"/>
  <c r="Q10" i="1"/>
  <c r="Q9" i="1"/>
  <c r="Q7" i="1"/>
  <c r="Q4" i="1"/>
  <c r="Q5" i="1"/>
  <c r="Q6" i="1"/>
  <c r="Q18" i="1"/>
  <c r="Q19" i="1"/>
  <c r="Q14" i="1"/>
  <c r="Q17" i="1"/>
  <c r="Q15" i="1"/>
  <c r="Q16" i="1"/>
</calcChain>
</file>

<file path=xl/sharedStrings.xml><?xml version="1.0" encoding="utf-8"?>
<sst xmlns="http://schemas.openxmlformats.org/spreadsheetml/2006/main" count="152" uniqueCount="86">
  <si>
    <t>Масса груза, г</t>
  </si>
  <si>
    <t>Положение утяжелителей</t>
  </si>
  <si>
    <t>1 риска</t>
  </si>
  <si>
    <t>2 риска</t>
  </si>
  <si>
    <t>3 риска</t>
  </si>
  <si>
    <t>4 риска</t>
  </si>
  <si>
    <t>5 риска</t>
  </si>
  <si>
    <t>6 риска</t>
  </si>
  <si>
    <t>t1</t>
  </si>
  <si>
    <t>t2</t>
  </si>
  <si>
    <t>t3</t>
  </si>
  <si>
    <t>tср</t>
  </si>
  <si>
    <t>t, c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</si>
  <si>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</si>
  <si>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sz val="11"/>
        <color theme="1"/>
        <rFont val="Calibri"/>
        <family val="2"/>
        <charset val="204"/>
        <scheme val="minor"/>
      </rPr>
      <t>a, 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</si>
  <si>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M, Н*м</t>
  </si>
  <si>
    <t>Положение утежителей</t>
  </si>
  <si>
    <t>Масса каретки, г</t>
  </si>
  <si>
    <t>Масса шайбы, г</t>
  </si>
  <si>
    <t>Диаметр ступицы, мм</t>
  </si>
  <si>
    <t>Высота груза на крестовине, г</t>
  </si>
  <si>
    <t>Расстояние между рисками, мм</t>
  </si>
  <si>
    <t>Расстояние до первой риски от оси, мм</t>
  </si>
  <si>
    <t>Расстояние, проходящее каретки, мм</t>
  </si>
  <si>
    <t>Параметры установки и постоянные</t>
  </si>
  <si>
    <r>
      <t>ε, с</t>
    </r>
    <r>
      <rPr>
        <vertAlign val="superscript"/>
        <sz val="11"/>
        <color theme="1"/>
        <rFont val="Calibri"/>
        <family val="2"/>
        <charset val="204"/>
      </rPr>
      <t>-2</t>
    </r>
  </si>
  <si>
    <r>
      <rPr>
        <sz val="11"/>
        <color theme="1"/>
        <rFont val="Calibri"/>
        <family val="2"/>
        <charset val="204"/>
        <scheme val="minor"/>
      </rPr>
      <t>Ускорение свободног падени, Н/с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</si>
  <si>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ε, с-2</t>
  </si>
  <si>
    <t>M трения, Н*м</t>
  </si>
  <si>
    <r>
      <rPr>
        <sz val="11"/>
        <color theme="1"/>
        <rFont val="Calibri"/>
        <family val="2"/>
        <charset val="204"/>
        <scheme val="minor"/>
      </rPr>
      <t>I, кг*м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</si>
  <si>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М теор, Н*м</t>
  </si>
  <si>
    <t>(М-М теор)^2, (Н*м)^2</t>
  </si>
  <si>
    <t>Номера рисок</t>
  </si>
  <si>
    <t>Масса грузjов на крестовине, г</t>
  </si>
  <si>
    <t>Диаметр груза на крестовине, мм</t>
  </si>
  <si>
    <t>R, м</t>
  </si>
  <si>
    <t>ε, с^(-2)</t>
  </si>
  <si>
    <t>R^2, м^2</t>
  </si>
  <si>
    <t>I, кг*м</t>
  </si>
  <si>
    <t>𝐼(0), кг*м</t>
  </si>
  <si>
    <t>I (теор), кг*м</t>
  </si>
  <si>
    <t>(I-I(теор))^2, (кг*м)^2</t>
  </si>
  <si>
    <t>m(ут), кг</t>
  </si>
  <si>
    <t>a = 2h/t^2</t>
  </si>
  <si>
    <t>d(h), м</t>
  </si>
  <si>
    <t>d(t), c</t>
  </si>
  <si>
    <t>по h</t>
  </si>
  <si>
    <t>по t</t>
  </si>
  <si>
    <t>tср, с</t>
  </si>
  <si>
    <t>a, м/с2</t>
  </si>
  <si>
    <t>Относительная погрешность a</t>
  </si>
  <si>
    <t>1/h</t>
  </si>
  <si>
    <t>2/h</t>
  </si>
  <si>
    <t>Абсолбтная погрешность a</t>
  </si>
  <si>
    <t>a, м/с^2</t>
  </si>
  <si>
    <t>Абсолютная погрешность a, м/с^2</t>
  </si>
  <si>
    <t>Значения x</t>
  </si>
  <si>
    <r>
      <t>Квадрат разности (x-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</si>
  <si>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Среднее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</si>
  <si>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СКО      S</t>
    </r>
    <r>
      <rPr>
        <vertAlign val="subscript"/>
        <sz val="11"/>
        <color theme="1"/>
        <rFont val="Calibri"/>
        <family val="2"/>
        <charset val="204"/>
        <scheme val="minor"/>
      </rPr>
      <t>xср</t>
    </r>
  </si>
  <si>
    <r>
      <t xml:space="preserve">Доверительный интервал 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xср</t>
    </r>
  </si>
  <si>
    <r>
      <t xml:space="preserve">Инструментальная погрешность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иx</t>
    </r>
  </si>
  <si>
    <r>
      <t xml:space="preserve">Абсолютная погрешность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</t>
    </r>
  </si>
  <si>
    <r>
      <t xml:space="preserve">Относительная погрешность           </t>
    </r>
    <r>
      <rPr>
        <sz val="11"/>
        <color theme="1"/>
        <rFont val="Calibri"/>
        <family val="2"/>
        <charset val="204"/>
      </rPr>
      <t>ε</t>
    </r>
    <r>
      <rPr>
        <vertAlign val="subscript"/>
        <sz val="11"/>
        <color theme="1"/>
        <rFont val="Calibri"/>
        <family val="2"/>
        <charset val="204"/>
      </rPr>
      <t>x</t>
    </r>
  </si>
  <si>
    <t>Коэфф. Стьюдента  p = 0,95; n =3</t>
  </si>
  <si>
    <t>Значение</t>
  </si>
  <si>
    <t>Частная производня по h</t>
  </si>
  <si>
    <t>Частная производнная по t</t>
  </si>
  <si>
    <t>h, м</t>
  </si>
  <si>
    <t>t, с</t>
  </si>
  <si>
    <t>Частная производня по a</t>
  </si>
  <si>
    <t>Частная производная по d</t>
  </si>
  <si>
    <t>1/a</t>
  </si>
  <si>
    <t>1/d</t>
  </si>
  <si>
    <t>2/t</t>
  </si>
  <si>
    <t>d(a), м/c^2</t>
  </si>
  <si>
    <t>d(d), м</t>
  </si>
  <si>
    <t>d, м</t>
  </si>
  <si>
    <t>a, м/c^2</t>
  </si>
  <si>
    <t>1/m</t>
  </si>
  <si>
    <t>Частная производная по m</t>
  </si>
  <si>
    <t>d(m), кг</t>
  </si>
  <si>
    <t>m, кг</t>
  </si>
  <si>
    <t>Масса груза, кг</t>
  </si>
  <si>
    <t>a = 2h/t</t>
  </si>
  <si>
    <t>ln(a) = 2ln(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</si>
</sst>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71" formatCode="0.00000"/>
    <numFmt numFmtId="172" formatCode="0.0000"/>
  </numFmts>
  <fonts count="7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3" borderId="6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3" xfId="0" applyNumberFormat="1" applyBorder="1"/>
    <xf numFmtId="164" fontId="0" fillId="0" borderId="3" xfId="0" applyNumberFormat="1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/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/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1" fontId="0" fillId="0" borderId="1" xfId="0" applyNumberFormat="1" applyBorder="1"/>
    <xf numFmtId="172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1" fontId="0" fillId="0" borderId="3" xfId="0" applyNumberFormat="1" applyBorder="1"/>
    <xf numFmtId="11" fontId="0" fillId="0" borderId="4" xfId="0" applyNumberFormat="1" applyBorder="1"/>
    <xf numFmtId="165" fontId="0" fillId="0" borderId="3" xfId="0" applyNumberFormat="1" applyBorder="1"/>
    <xf numFmtId="0" fontId="0" fillId="0" borderId="0" xfId="0" applyAlignment="1">
      <alignment horizontal="center" vertical="center" wrapText="1"/>
    </xf>
    <xf numFmtId="9" fontId="0" fillId="0" borderId="1" xfId="1" applyFont="1" applyBorder="1"/>
    <xf numFmtId="0" fontId="0" fillId="3" borderId="1" xfId="0" applyFill="1" applyBorder="1" applyAlignment="1">
      <alignment vertical="center"/>
    </xf>
    <xf numFmtId="11" fontId="0" fillId="4" borderId="1" xfId="0" applyNumberFormat="1" applyFill="1" applyBorder="1"/>
    <xf numFmtId="164" fontId="0" fillId="4" borderId="1" xfId="0" applyNumberFormat="1" applyFill="1" applyBorder="1"/>
    <xf numFmtId="9" fontId="0" fillId="4" borderId="1" xfId="1" applyFont="1" applyFill="1" applyBorder="1"/>
    <xf numFmtId="2" fontId="0" fillId="4" borderId="1" xfId="0" applyNumberFormat="1" applyFill="1" applyBorder="1"/>
    <xf numFmtId="2" fontId="0" fillId="4" borderId="0" xfId="0" applyNumberFormat="1" applyFill="1" applyBorder="1"/>
    <xf numFmtId="164" fontId="0" fillId="4" borderId="0" xfId="0" applyNumberFormat="1" applyFill="1" applyBorder="1"/>
    <xf numFmtId="9" fontId="0" fillId="4" borderId="0" xfId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M</a:t>
            </a:r>
            <a:r>
              <a:rPr lang="ru-RU" baseline="0"/>
              <a:t> от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ru-RU" sz="1400" b="0" i="0" u="none" strike="noStrike" baseline="0">
                <a:effectLst/>
              </a:rPr>
              <a:t> для разных положений утяжелителей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807946254424625"/>
          <c:y val="0.939767816292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68025453447238E-2"/>
          <c:y val="4.4732420148504801E-2"/>
          <c:w val="0.91043213176334614"/>
          <c:h val="0.818519461508867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Лист1!$M$2</c:f>
              <c:strCache>
                <c:ptCount val="1"/>
                <c:pt idx="0">
                  <c:v>1 риска</c:v>
                </c:pt>
              </c:strCache>
            </c:strRef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0D0-4ED6-A720-11CEA78B929C}"/>
              </c:ext>
            </c:extLst>
          </c:dPt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(Лист1!$P$2,Лист1!$P$8,Лист1!$P$14,Лист1!$P$20)</c:f>
              <c:numCache>
                <c:formatCode>0.00</c:formatCode>
                <c:ptCount val="4"/>
                <c:pt idx="0">
                  <c:v>3.3073915713015762</c:v>
                </c:pt>
                <c:pt idx="1">
                  <c:v>6.0446173354252188</c:v>
                </c:pt>
                <c:pt idx="2">
                  <c:v>8.4328160224575264</c:v>
                </c:pt>
                <c:pt idx="3" formatCode="0.0">
                  <c:v>11.309000672077753</c:v>
                </c:pt>
              </c:numCache>
            </c:numRef>
          </c:xVal>
          <c:yVal>
            <c:numRef>
              <c:f>(Лист1!$Q$2,Лист1!$Q$8,Лист1!$Q$14,Лист1!$Q$20)</c:f>
              <c:numCache>
                <c:formatCode>0.000</c:formatCode>
                <c:ptCount val="4"/>
                <c:pt idx="0">
                  <c:v>5.9776064092294655E-2</c:v>
                </c:pt>
                <c:pt idx="1">
                  <c:v>0.10832457754819577</c:v>
                </c:pt>
                <c:pt idx="2">
                  <c:v>0.15636651150915287</c:v>
                </c:pt>
                <c:pt idx="3">
                  <c:v>0.20361326832342455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D0-4ED6-A720-11CEA78B929C}"/>
            </c:ext>
          </c:extLst>
        </c:ser>
        <c:ser>
          <c:idx val="0"/>
          <c:order val="1"/>
          <c:tx>
            <c:strRef>
              <c:f>Лист1!$M$3</c:f>
              <c:strCache>
                <c:ptCount val="1"/>
                <c:pt idx="0">
                  <c:v>2 риска</c:v>
                </c:pt>
              </c:strCache>
            </c:strRef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(Лист1!$P$3,Лист1!$P$9,Лист1!$P$15,Лист1!$P$21)</c:f>
              <c:numCache>
                <c:formatCode>0.00</c:formatCode>
                <c:ptCount val="4"/>
                <c:pt idx="0">
                  <c:v>1.969022217321545</c:v>
                </c:pt>
                <c:pt idx="1">
                  <c:v>3.6866787685310838</c:v>
                </c:pt>
                <c:pt idx="2">
                  <c:v>5.1437910033625709</c:v>
                </c:pt>
                <c:pt idx="3">
                  <c:v>7.7455224579272155</c:v>
                </c:pt>
              </c:numCache>
            </c:numRef>
          </c:xVal>
          <c:yVal>
            <c:numRef>
              <c:f>(Лист1!$Q$3,Лист1!$Q$9,Лист1!$Q$15,Лист1!$Q$21)</c:f>
              <c:numCache>
                <c:formatCode>0.000</c:formatCode>
                <c:ptCount val="4"/>
                <c:pt idx="0">
                  <c:v>5.9965099394958851E-2</c:v>
                </c:pt>
                <c:pt idx="1">
                  <c:v>0.10893203675561473</c:v>
                </c:pt>
                <c:pt idx="2">
                  <c:v>0.15759661673336944</c:v>
                </c:pt>
                <c:pt idx="3">
                  <c:v>0.20536073746051431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D0-4ED6-A720-11CEA78B929C}"/>
            </c:ext>
          </c:extLst>
        </c:ser>
        <c:ser>
          <c:idx val="1"/>
          <c:order val="2"/>
          <c:tx>
            <c:strRef>
              <c:f>Лист1!$M$4</c:f>
              <c:strCache>
                <c:ptCount val="1"/>
                <c:pt idx="0">
                  <c:v>3 риска</c:v>
                </c:pt>
              </c:strCache>
            </c:strRef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(Лист1!$P$4,Лист1!$P$10,Лист1!$P$16,Лист1!$P$22)</c:f>
              <c:numCache>
                <c:formatCode>0.00</c:formatCode>
                <c:ptCount val="4"/>
                <c:pt idx="0">
                  <c:v>1.379202741347153</c:v>
                </c:pt>
                <c:pt idx="1">
                  <c:v>2.5735471259269089</c:v>
                </c:pt>
                <c:pt idx="2">
                  <c:v>4.0994636600115673</c:v>
                </c:pt>
                <c:pt idx="3">
                  <c:v>5.5002398279175759</c:v>
                </c:pt>
              </c:numCache>
            </c:numRef>
          </c:xVal>
          <c:yVal>
            <c:numRef>
              <c:f>(Лист1!$Q$4,Лист1!$Q$10,Лист1!$Q$16,Лист1!$Q$22)</c:f>
              <c:numCache>
                <c:formatCode>0.000</c:formatCode>
                <c:ptCount val="4"/>
                <c:pt idx="0">
                  <c:v>6.004840726720391E-2</c:v>
                </c:pt>
                <c:pt idx="1">
                  <c:v>0.10921880506877736</c:v>
                </c:pt>
                <c:pt idx="2">
                  <c:v>0.15798719829276475</c:v>
                </c:pt>
                <c:pt idx="3">
                  <c:v>0.20646178589246633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D0-4ED6-A720-11CEA78B929C}"/>
            </c:ext>
          </c:extLst>
        </c:ser>
        <c:ser>
          <c:idx val="2"/>
          <c:order val="3"/>
          <c:tx>
            <c:strRef>
              <c:f>Лист1!$M$5</c:f>
              <c:strCache>
                <c:ptCount val="1"/>
                <c:pt idx="0">
                  <c:v>4 риска</c:v>
                </c:pt>
              </c:strCache>
            </c:strRef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(Лист1!$P$5,Лист1!$P$11,Лист1!$P$17,Лист1!$P$23)</c:f>
              <c:numCache>
                <c:formatCode>0.00</c:formatCode>
                <c:ptCount val="4"/>
                <c:pt idx="0">
                  <c:v>1.1045929703335173</c:v>
                </c:pt>
                <c:pt idx="1">
                  <c:v>1.9456234682461588</c:v>
                </c:pt>
                <c:pt idx="2">
                  <c:v>2.9488385636563086</c:v>
                </c:pt>
                <c:pt idx="3">
                  <c:v>3.8815914968747642</c:v>
                </c:pt>
              </c:numCache>
            </c:numRef>
          </c:xVal>
          <c:yVal>
            <c:numRef>
              <c:f>(Лист1!$Q$5,Лист1!$Q$11,Лист1!$Q$17,Лист1!$Q$23)</c:f>
              <c:numCache>
                <c:formatCode>0.000</c:formatCode>
                <c:ptCount val="4"/>
                <c:pt idx="0">
                  <c:v>6.0087193975091178E-2</c:v>
                </c:pt>
                <c:pt idx="1">
                  <c:v>0.10938057264524004</c:v>
                </c:pt>
                <c:pt idx="2">
                  <c:v>0.15841753553067689</c:v>
                </c:pt>
                <c:pt idx="3">
                  <c:v>0.20725554351698811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D0-4ED6-A720-11CEA78B929C}"/>
            </c:ext>
          </c:extLst>
        </c:ser>
        <c:ser>
          <c:idx val="3"/>
          <c:order val="4"/>
          <c:tx>
            <c:strRef>
              <c:f>Лист1!$M$6</c:f>
              <c:strCache>
                <c:ptCount val="1"/>
                <c:pt idx="0">
                  <c:v>5 риска</c:v>
                </c:pt>
              </c:strCache>
            </c:strRef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(Лист1!$P$6,Лист1!$P$12,Лист1!$P$18,Лист1!$P$24)</c:f>
              <c:numCache>
                <c:formatCode>0.00</c:formatCode>
                <c:ptCount val="4"/>
                <c:pt idx="0">
                  <c:v>0.79382096314461259</c:v>
                </c:pt>
                <c:pt idx="1">
                  <c:v>1.6041270981982445</c:v>
                </c:pt>
                <c:pt idx="2">
                  <c:v>2.2714323022947589</c:v>
                </c:pt>
                <c:pt idx="3">
                  <c:v>3.2217180205109912</c:v>
                </c:pt>
              </c:numCache>
            </c:numRef>
          </c:xVal>
          <c:yVal>
            <c:numRef>
              <c:f>(Лист1!$Q$6,Лист1!$Q$12,Лист1!$Q$18,Лист1!$Q$24)</c:f>
              <c:numCache>
                <c:formatCode>0.000</c:formatCode>
                <c:ptCount val="4"/>
                <c:pt idx="0">
                  <c:v>6.0131088345702563E-2</c:v>
                </c:pt>
                <c:pt idx="1">
                  <c:v>0.10946854996458089</c:v>
                </c:pt>
                <c:pt idx="2">
                  <c:v>0.15867088750464492</c:v>
                </c:pt>
                <c:pt idx="3">
                  <c:v>0.20757913425194779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0D0-4ED6-A720-11CEA78B929C}"/>
            </c:ext>
          </c:extLst>
        </c:ser>
        <c:ser>
          <c:idx val="4"/>
          <c:order val="5"/>
          <c:tx>
            <c:strRef>
              <c:f>Лист1!$M$7</c:f>
              <c:strCache>
                <c:ptCount val="1"/>
                <c:pt idx="0">
                  <c:v>6 риска</c:v>
                </c:pt>
              </c:strCache>
            </c:strRef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(Лист1!$P$7,Лист1!$P$13,Лист1!$P$19,Лист1!$P$25)</c:f>
              <c:numCache>
                <c:formatCode>0.00</c:formatCode>
                <c:ptCount val="4"/>
                <c:pt idx="0">
                  <c:v>0.63078656877373085</c:v>
                </c:pt>
                <c:pt idx="1">
                  <c:v>1.284702582430622</c:v>
                </c:pt>
                <c:pt idx="2">
                  <c:v>1.9045440122587338</c:v>
                </c:pt>
                <c:pt idx="3">
                  <c:v>2.4315394753776038</c:v>
                </c:pt>
              </c:numCache>
            </c:numRef>
          </c:xVal>
          <c:yVal>
            <c:numRef>
              <c:f>(Лист1!$Q$7,Лист1!$Q$13,Лист1!$Q$19,Лист1!$Q$25)</c:f>
              <c:numCache>
                <c:formatCode>0.000</c:formatCode>
                <c:ptCount val="4"/>
                <c:pt idx="0">
                  <c:v>6.0154115812666692E-2</c:v>
                </c:pt>
                <c:pt idx="1">
                  <c:v>0.10955084106660648</c:v>
                </c:pt>
                <c:pt idx="2">
                  <c:v>0.15880810482578323</c:v>
                </c:pt>
                <c:pt idx="3">
                  <c:v>0.20796662437744592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0D0-4ED6-A720-11CEA78B929C}"/>
            </c:ext>
          </c:extLst>
        </c:ser>
        <c:ser>
          <c:idx val="5"/>
          <c:order val="6"/>
          <c:tx>
            <c:v>Риска 1 (теор)</c:v>
          </c:tx>
          <c:spPr>
            <a:ln w="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Лист1!$AC$2:$AC$5</c:f>
              <c:numCache>
                <c:formatCode>0.00</c:formatCode>
                <c:ptCount val="4"/>
                <c:pt idx="0">
                  <c:v>3.3073915713015762</c:v>
                </c:pt>
                <c:pt idx="1">
                  <c:v>6.0446173354252188</c:v>
                </c:pt>
                <c:pt idx="2">
                  <c:v>8.4328160224575264</c:v>
                </c:pt>
                <c:pt idx="3">
                  <c:v>11.309000672077753</c:v>
                </c:pt>
              </c:numCache>
            </c:numRef>
          </c:xVal>
          <c:yVal>
            <c:numRef>
              <c:f>Лист1!$AE$2:$AE$5</c:f>
              <c:numCache>
                <c:formatCode>0.000</c:formatCode>
                <c:ptCount val="4"/>
                <c:pt idx="0">
                  <c:v>6.003057404945996E-2</c:v>
                </c:pt>
                <c:pt idx="1">
                  <c:v>0.10971239441482096</c:v>
                </c:pt>
                <c:pt idx="2">
                  <c:v>0.15305922379260062</c:v>
                </c:pt>
                <c:pt idx="3">
                  <c:v>0.20526320746575233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A7-4186-AC1F-7A810CF28DFF}"/>
            </c:ext>
          </c:extLst>
        </c:ser>
        <c:ser>
          <c:idx val="7"/>
          <c:order val="7"/>
          <c:tx>
            <c:v>Риска 2 (теор)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Лист1!$AC$6:$AC$9</c:f>
              <c:numCache>
                <c:formatCode>0.00</c:formatCode>
                <c:ptCount val="4"/>
                <c:pt idx="0">
                  <c:v>1.969022217321545</c:v>
                </c:pt>
                <c:pt idx="1">
                  <c:v>3.6866787685310838</c:v>
                </c:pt>
                <c:pt idx="2">
                  <c:v>5.1437910033625709</c:v>
                </c:pt>
                <c:pt idx="3">
                  <c:v>7.7455224579272155</c:v>
                </c:pt>
              </c:numCache>
            </c:numRef>
          </c:xVal>
          <c:yVal>
            <c:numRef>
              <c:f>Лист1!$AE$6:$AE$9</c:f>
              <c:numCache>
                <c:formatCode>0.000</c:formatCode>
                <c:ptCount val="4"/>
                <c:pt idx="0">
                  <c:v>6.5321224311534767E-2</c:v>
                </c:pt>
                <c:pt idx="1">
                  <c:v>0.10888270762565129</c:v>
                </c:pt>
                <c:pt idx="2">
                  <c:v>0.14583652721182511</c:v>
                </c:pt>
                <c:pt idx="3">
                  <c:v>0.21181903184351153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A7-4186-AC1F-7A810CF28DFF}"/>
            </c:ext>
          </c:extLst>
        </c:ser>
        <c:ser>
          <c:idx val="9"/>
          <c:order val="8"/>
          <c:tx>
            <c:v>Риска 3 (теор)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Лист1!$AC$10:$AC$13</c:f>
              <c:numCache>
                <c:formatCode>0.00</c:formatCode>
                <c:ptCount val="4"/>
                <c:pt idx="0">
                  <c:v>1.379202741347153</c:v>
                </c:pt>
                <c:pt idx="1">
                  <c:v>2.5735471259269089</c:v>
                </c:pt>
                <c:pt idx="2">
                  <c:v>4.0994636600115673</c:v>
                </c:pt>
                <c:pt idx="3">
                  <c:v>5.5002398279175759</c:v>
                </c:pt>
              </c:numCache>
            </c:numRef>
          </c:xVal>
          <c:yVal>
            <c:numRef>
              <c:f>Лист1!$AE$10:$AE$13</c:f>
              <c:numCache>
                <c:formatCode>0.000</c:formatCode>
                <c:ptCount val="4"/>
                <c:pt idx="0">
                  <c:v>5.6720694592455247E-2</c:v>
                </c:pt>
                <c:pt idx="1">
                  <c:v>0.10011812775747624</c:v>
                </c:pt>
                <c:pt idx="2">
                  <c:v>0.15556349314648843</c:v>
                </c:pt>
                <c:pt idx="3">
                  <c:v>0.20646178589246633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A7-4186-AC1F-7A810CF28DFF}"/>
            </c:ext>
          </c:extLst>
        </c:ser>
        <c:ser>
          <c:idx val="11"/>
          <c:order val="9"/>
          <c:tx>
            <c:v>Риска 6 (теор)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Лист1!$AC$22:$AC$25</c:f>
              <c:numCache>
                <c:formatCode>0.00</c:formatCode>
                <c:ptCount val="4"/>
                <c:pt idx="0">
                  <c:v>0.63078656877373085</c:v>
                </c:pt>
                <c:pt idx="1">
                  <c:v>1.284702582430622</c:v>
                </c:pt>
                <c:pt idx="2">
                  <c:v>1.9045440122587338</c:v>
                </c:pt>
                <c:pt idx="3">
                  <c:v>2.4315394753776038</c:v>
                </c:pt>
              </c:numCache>
            </c:numRef>
          </c:xVal>
          <c:yVal>
            <c:numRef>
              <c:f>Лист1!$AE$22:$AE$25</c:f>
              <c:numCache>
                <c:formatCode>0.000</c:formatCode>
                <c:ptCount val="4"/>
                <c:pt idx="0">
                  <c:v>5.8008788602652156E-2</c:v>
                </c:pt>
                <c:pt idx="1">
                  <c:v>0.11136714508804697</c:v>
                </c:pt>
                <c:pt idx="2">
                  <c:v>0.16194507755406387</c:v>
                </c:pt>
                <c:pt idx="3">
                  <c:v>0.20494694813072897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A7-4186-AC1F-7A810CF28DFF}"/>
            </c:ext>
          </c:extLst>
        </c:ser>
        <c:ser>
          <c:idx val="8"/>
          <c:order val="10"/>
          <c:tx>
            <c:v>Риска 4 (теор)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Лист1!$AC$14:$AC$17</c:f>
              <c:numCache>
                <c:formatCode>0.00</c:formatCode>
                <c:ptCount val="4"/>
                <c:pt idx="0">
                  <c:v>1.1045929703335173</c:v>
                </c:pt>
                <c:pt idx="1">
                  <c:v>1.9456234682461588</c:v>
                </c:pt>
                <c:pt idx="2">
                  <c:v>2.9488385636563086</c:v>
                </c:pt>
                <c:pt idx="3">
                  <c:v>3.8815914968747642</c:v>
                </c:pt>
              </c:numCache>
            </c:numRef>
          </c:xVal>
          <c:yVal>
            <c:numRef>
              <c:f>Лист1!$AE$14:$AE$17</c:f>
              <c:numCache>
                <c:formatCode>0.000</c:formatCode>
                <c:ptCount val="4"/>
                <c:pt idx="0">
                  <c:v>6.2105982211708051E-2</c:v>
                </c:pt>
                <c:pt idx="1">
                  <c:v>0.10625256686307061</c:v>
                </c:pt>
                <c:pt idx="2">
                  <c:v>0.15891239340083455</c:v>
                </c:pt>
                <c:pt idx="3">
                  <c:v>0.20787358616059157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06-41EA-AC05-03E2F5F5E734}"/>
            </c:ext>
          </c:extLst>
        </c:ser>
        <c:ser>
          <c:idx val="10"/>
          <c:order val="11"/>
          <c:tx>
            <c:v>Риска 5 (теор)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Лист1!$AC$18:$AC$21</c:f>
              <c:numCache>
                <c:formatCode>0.00</c:formatCode>
                <c:ptCount val="4"/>
                <c:pt idx="0">
                  <c:v>0.79382096314461259</c:v>
                </c:pt>
                <c:pt idx="1">
                  <c:v>1.6041270981982445</c:v>
                </c:pt>
                <c:pt idx="2">
                  <c:v>2.2714323022947589</c:v>
                </c:pt>
                <c:pt idx="3">
                  <c:v>3.2217180205109912</c:v>
                </c:pt>
              </c:numCache>
            </c:numRef>
          </c:xVal>
          <c:yVal>
            <c:numRef>
              <c:f>Лист1!$AE$18:$AE$21</c:f>
              <c:numCache>
                <c:formatCode>0.000</c:formatCode>
                <c:ptCount val="4"/>
                <c:pt idx="0">
                  <c:v>6.14047114612679E-2</c:v>
                </c:pt>
                <c:pt idx="1">
                  <c:v>0.11127429388474744</c:v>
                </c:pt>
                <c:pt idx="2">
                  <c:v>0.15234300907484702</c:v>
                </c:pt>
                <c:pt idx="3">
                  <c:v>0.21082751252403195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06-41EA-AC05-03E2F5F5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5728"/>
        <c:axId val="294941024"/>
      </c:scatterChart>
      <c:valAx>
        <c:axId val="294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, </a:t>
                </a:r>
                <a:r>
                  <a:rPr lang="ru-RU"/>
                  <a:t>с</a:t>
                </a:r>
                <a:r>
                  <a:rPr lang="ru-RU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1024"/>
        <c:crosses val="autoZero"/>
        <c:crossBetween val="midCat"/>
      </c:valAx>
      <c:valAx>
        <c:axId val="2949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57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 от положения утяжелителей</a:t>
            </a:r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Лист1!$AJ$3:$AO$3</c:f>
              <c:numCache>
                <c:formatCode>0.0000</c:formatCode>
                <c:ptCount val="6"/>
                <c:pt idx="0" formatCode="0.0000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Лист1!$AJ$4:$AO$4</c:f>
              <c:numCache>
                <c:formatCode>0.0000</c:formatCode>
                <c:ptCount val="6"/>
                <c:pt idx="0">
                  <c:v>1.8150428443474503E-2</c:v>
                </c:pt>
                <c:pt idx="1">
                  <c:v>2.5360997391149828E-2</c:v>
                </c:pt>
                <c:pt idx="2" formatCode="0.00">
                  <c:v>3.633577862911868E-2</c:v>
                </c:pt>
                <c:pt idx="3" formatCode="0.00">
                  <c:v>5.2491062762801376E-2</c:v>
                </c:pt>
                <c:pt idx="4">
                  <c:v>6.154412544362485E-2</c:v>
                </c:pt>
                <c:pt idx="5">
                  <c:v>8.1598179844226709E-2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F-493F-8C6A-1B726F58F77D}"/>
            </c:ext>
          </c:extLst>
        </c:ser>
        <c:ser>
          <c:idx val="1"/>
          <c:order val="1"/>
          <c:tx>
            <c:v>I(теор)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Лист1!$AJ$3:$AO$3</c:f>
              <c:numCache>
                <c:formatCode>0.0000</c:formatCode>
                <c:ptCount val="6"/>
                <c:pt idx="0" formatCode="0.0000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Лист1!$AJ$5:$AO$5</c:f>
              <c:numCache>
                <c:formatCode>0.0000</c:formatCode>
                <c:ptCount val="6"/>
                <c:pt idx="0">
                  <c:v>1.8163165457107572E-2</c:v>
                </c:pt>
                <c:pt idx="1">
                  <c:v>2.6251148111386277E-2</c:v>
                </c:pt>
                <c:pt idx="2">
                  <c:v>3.6598343797586398E-2</c:v>
                </c:pt>
                <c:pt idx="3">
                  <c:v>4.9204752515707953E-2</c:v>
                </c:pt>
                <c:pt idx="4">
                  <c:v>6.4070374265750921E-2</c:v>
                </c:pt>
                <c:pt idx="5">
                  <c:v>8.1195209047715308E-2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6F-493F-8C6A-1B726F58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512"/>
        <c:axId val="294944944"/>
      </c:scatterChart>
      <c:valAx>
        <c:axId val="294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  <a:r>
                  <a:rPr lang="ru-RU"/>
                  <a:t>, м2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4944"/>
        <c:crosses val="autoZero"/>
        <c:crossBetween val="midCat"/>
      </c:valAx>
      <c:valAx>
        <c:axId val="294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934301442117912"/>
          <c:y val="5.1528667580059369E-2"/>
          <c:w val="0.14811541037382417"/>
          <c:h val="6.4438993609238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26</xdr:row>
      <xdr:rowOff>0</xdr:rowOff>
    </xdr:from>
    <xdr:to>
      <xdr:col>22</xdr:col>
      <xdr:colOff>453390</xdr:colOff>
      <xdr:row>57</xdr:row>
      <xdr:rowOff>144780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5DEF5D-7F94-4377-80D9-E4506F752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8965</xdr:colOff>
      <xdr:row>13</xdr:row>
      <xdr:rowOff>107577</xdr:rowOff>
    </xdr:from>
    <xdr:to>
      <xdr:col>49</xdr:col>
      <xdr:colOff>603325</xdr:colOff>
      <xdr:row>44</xdr:row>
      <xdr:rowOff>61677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892A6A-EFBF-4445-B4B3-6DBBE5D4C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y\AppData\Local\Temp\_tc\1.04.xlsx" TargetMode="External"/><Relationship Id="rId1" Type="http://schemas.openxmlformats.org/officeDocument/2006/relationships/externalLinkPath" Target="/Users/Mary/AppData/Local/Temp/_tc/1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грешности косвенные (Шаблон)"/>
      <sheetName val="МНК (Шаблон)"/>
      <sheetName val="предисловие"/>
      <sheetName val="Таблица 1"/>
      <sheetName val="Таблица 2"/>
      <sheetName val="Таблица 3"/>
      <sheetName val="График 1"/>
      <sheetName val="График 2"/>
      <sheetName val="Печать 1"/>
      <sheetName val="Печать 2"/>
      <sheetName val="Печать 3"/>
      <sheetName val="Параметры установки"/>
      <sheetName val="Погрешности прямые (t)"/>
      <sheetName val="Погрешности прямые (a)"/>
      <sheetName val="Погрешности косвенные (a)"/>
      <sheetName val="Погрешности прямые (e)"/>
      <sheetName val="Погрешности косвенные (e)"/>
      <sheetName val="Погрешности прямые (M)"/>
      <sheetName val="Погрешности косвенные (M)"/>
      <sheetName val="МНК рис.1"/>
      <sheetName val="МНК рис.2"/>
      <sheetName val="МНК рис.3"/>
      <sheetName val="МНК рис.4"/>
      <sheetName val="МНК рис.5"/>
      <sheetName val="МНК рис.6"/>
      <sheetName val="МНК I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5.9290000000000002E-3</v>
          </cell>
          <cell r="C3">
            <v>1.0404000000000002E-2</v>
          </cell>
          <cell r="D3">
            <v>1.6129000000000001E-2</v>
          </cell>
          <cell r="E3">
            <v>2.3104E-2</v>
          </cell>
          <cell r="F3">
            <v>3.1328999999999996E-2</v>
          </cell>
          <cell r="G3">
            <v>4.0803999999999993E-2</v>
          </cell>
        </row>
        <row r="4">
          <cell r="B4">
            <v>1.5068213537674789E-2</v>
          </cell>
          <cell r="C4">
            <v>2.1048078241893361E-2</v>
          </cell>
          <cell r="D4">
            <v>3.0749652241374853E-2</v>
          </cell>
          <cell r="E4">
            <v>4.1675635135226742E-2</v>
          </cell>
          <cell r="F4">
            <v>5.3980073805964597E-2</v>
          </cell>
          <cell r="G4">
            <v>7.0331102837393106E-2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DB86-4F28-4359-80EC-0BF4B3AF7390}">
  <dimension ref="A1:AS25"/>
  <sheetViews>
    <sheetView topLeftCell="AI16" zoomScaleNormal="100" workbookViewId="0">
      <selection activeCell="AS2" sqref="AS2"/>
    </sheetView>
  </sheetViews>
  <sheetFormatPr defaultRowHeight="14.4" x14ac:dyDescent="0.3"/>
  <cols>
    <col min="1" max="1" width="14.88671875" customWidth="1"/>
    <col min="8" max="8" width="7.88671875" customWidth="1"/>
    <col min="12" max="12" width="16" customWidth="1"/>
    <col min="13" max="13" width="22.109375" customWidth="1"/>
    <col min="17" max="17" width="8.5546875" customWidth="1"/>
    <col min="19" max="19" width="35.88671875" customWidth="1"/>
    <col min="23" max="23" width="22.44140625" customWidth="1"/>
    <col min="24" max="24" width="13.77734375" customWidth="1"/>
    <col min="27" max="27" width="13" customWidth="1"/>
    <col min="28" max="28" width="22.109375" customWidth="1"/>
    <col min="29" max="29" width="7.5546875" customWidth="1"/>
    <col min="30" max="30" width="9.44140625" customWidth="1"/>
    <col min="31" max="31" width="11.88671875" customWidth="1"/>
    <col min="32" max="32" width="19.88671875" customWidth="1"/>
    <col min="33" max="33" width="10.33203125" customWidth="1"/>
    <col min="35" max="35" width="25.6640625" customWidth="1"/>
    <col min="36" max="41" width="9.44140625" bestFit="1" customWidth="1"/>
    <col min="44" max="45" width="9.44140625" bestFit="1" customWidth="1"/>
  </cols>
  <sheetData>
    <row r="1" spans="1:45" ht="28.8" x14ac:dyDescent="0.35">
      <c r="A1" s="29" t="s">
        <v>0</v>
      </c>
      <c r="B1" s="29" t="s">
        <v>1</v>
      </c>
      <c r="C1" s="29"/>
      <c r="D1" s="29"/>
      <c r="E1" s="29"/>
      <c r="F1" s="29"/>
      <c r="G1" s="30"/>
      <c r="H1" s="33" t="s">
        <v>12</v>
      </c>
      <c r="L1" s="15" t="s">
        <v>83</v>
      </c>
      <c r="M1" s="8" t="s">
        <v>16</v>
      </c>
      <c r="N1" s="8" t="s">
        <v>13</v>
      </c>
      <c r="O1" s="16" t="s">
        <v>14</v>
      </c>
      <c r="P1" s="17" t="s">
        <v>25</v>
      </c>
      <c r="Q1" s="18" t="s">
        <v>15</v>
      </c>
      <c r="S1" s="31" t="s">
        <v>24</v>
      </c>
      <c r="T1" s="32"/>
      <c r="W1" s="40" t="s">
        <v>16</v>
      </c>
      <c r="X1" s="40" t="s">
        <v>28</v>
      </c>
      <c r="Y1" s="45" t="s">
        <v>29</v>
      </c>
      <c r="AA1" s="40" t="s">
        <v>0</v>
      </c>
      <c r="AB1" s="40" t="s">
        <v>16</v>
      </c>
      <c r="AC1" s="40" t="s">
        <v>36</v>
      </c>
      <c r="AD1" s="40" t="s">
        <v>15</v>
      </c>
      <c r="AE1" s="40" t="s">
        <v>30</v>
      </c>
      <c r="AF1" s="40" t="s">
        <v>31</v>
      </c>
      <c r="AI1" s="42" t="s">
        <v>32</v>
      </c>
      <c r="AJ1" s="42">
        <v>1</v>
      </c>
      <c r="AK1" s="42">
        <v>2</v>
      </c>
      <c r="AL1" s="42">
        <v>3</v>
      </c>
      <c r="AM1" s="42">
        <v>4</v>
      </c>
      <c r="AN1" s="42">
        <v>5</v>
      </c>
      <c r="AO1" s="42">
        <v>6</v>
      </c>
      <c r="AR1" s="6" t="s">
        <v>39</v>
      </c>
      <c r="AS1" s="6" t="s">
        <v>42</v>
      </c>
    </row>
    <row r="2" spans="1:45" x14ac:dyDescent="0.3">
      <c r="A2" s="29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34"/>
      <c r="L2" s="28">
        <f>A3</f>
        <v>0.26700000000000002</v>
      </c>
      <c r="M2" s="2" t="str">
        <f>B2</f>
        <v>1 риска</v>
      </c>
      <c r="N2" s="3">
        <f>B6</f>
        <v>4.2899999999999991</v>
      </c>
      <c r="O2" s="39">
        <f>2*$T$10*0.001/N2/N2</f>
        <v>7.6070006139936253E-2</v>
      </c>
      <c r="P2" s="3">
        <f>2*O2/($T$6*0.001)</f>
        <v>3.3073915713015762</v>
      </c>
      <c r="Q2" s="11">
        <f>$L$2*$T$6*0.001/2*($T$11-O2)</f>
        <v>5.9776064092294655E-2</v>
      </c>
      <c r="S2" s="10" t="s">
        <v>17</v>
      </c>
      <c r="T2" s="12">
        <v>47</v>
      </c>
      <c r="W2" s="37" t="s">
        <v>2</v>
      </c>
      <c r="X2" s="39">
        <v>0</v>
      </c>
      <c r="Y2" s="39">
        <v>1.8150428443474503E-2</v>
      </c>
      <c r="AA2" s="3">
        <f>0.27</f>
        <v>0.27</v>
      </c>
      <c r="AB2" s="38" t="s">
        <v>2</v>
      </c>
      <c r="AC2" s="3">
        <f>P2</f>
        <v>3.3073915713015762</v>
      </c>
      <c r="AD2" s="11">
        <f>Q2</f>
        <v>5.9776064092294655E-2</v>
      </c>
      <c r="AE2" s="11">
        <f>$X$2+AC2*$Y$2</f>
        <v>6.003057404945996E-2</v>
      </c>
      <c r="AF2" s="39">
        <f>(AD2-AE2)^2</f>
        <v>6.4775318296285559E-8</v>
      </c>
      <c r="AG2" s="36"/>
      <c r="AI2" s="41" t="s">
        <v>35</v>
      </c>
      <c r="AJ2" s="37">
        <f xml:space="preserve"> $T$9 * 0.001 + $T$5*0.001*(AJ1-1)+0.5*$T$7*0.001</f>
        <v>7.6999999999999999E-2</v>
      </c>
      <c r="AK2" s="37">
        <f xml:space="preserve"> $T$9 * 0.001 + $T$5*0.001*(AK1-1)+0.5*$T$7*0.001</f>
        <v>0.10200000000000001</v>
      </c>
      <c r="AL2" s="37">
        <f t="shared" ref="AK2:AO2" si="0" xml:space="preserve"> $T$9 * 0.001 + $T$5*0.001*(AL1-1)+0.5*$T$7*0.001</f>
        <v>0.127</v>
      </c>
      <c r="AM2" s="37">
        <f t="shared" si="0"/>
        <v>0.152</v>
      </c>
      <c r="AN2" s="37">
        <f t="shared" si="0"/>
        <v>0.17699999999999999</v>
      </c>
      <c r="AO2" s="37">
        <f t="shared" si="0"/>
        <v>0.20199999999999999</v>
      </c>
      <c r="AR2" s="43">
        <v>7.4472662040978698E-3</v>
      </c>
      <c r="AS2" s="11">
        <v>0.45184260638428497</v>
      </c>
    </row>
    <row r="3" spans="1:45" x14ac:dyDescent="0.3">
      <c r="A3" s="28">
        <f>0.047+0.22</f>
        <v>0.26700000000000002</v>
      </c>
      <c r="B3" s="3">
        <v>4.22</v>
      </c>
      <c r="C3" s="3">
        <v>5.45</v>
      </c>
      <c r="D3" s="3">
        <v>6.71</v>
      </c>
      <c r="E3" s="3">
        <v>7.1</v>
      </c>
      <c r="F3" s="3">
        <v>8.67</v>
      </c>
      <c r="G3" s="3">
        <v>9.83</v>
      </c>
      <c r="H3" s="5" t="s">
        <v>8</v>
      </c>
      <c r="L3" s="28"/>
      <c r="M3" s="2" t="str">
        <f>C2</f>
        <v>2 риска</v>
      </c>
      <c r="N3" s="3">
        <f>C6</f>
        <v>5.56</v>
      </c>
      <c r="O3" s="39">
        <f t="shared" ref="O3:O25" si="1">2*$T$10*0.001/N3/N3</f>
        <v>4.5287510998395536E-2</v>
      </c>
      <c r="P3" s="3">
        <f t="shared" ref="P3:P25" si="2">2*O3/($T$6*0.001)</f>
        <v>1.969022217321545</v>
      </c>
      <c r="Q3" s="11">
        <f>$L$2*$T$6*0.001/2*($T$11-O3)</f>
        <v>5.9965099394958851E-2</v>
      </c>
      <c r="S3" s="10" t="s">
        <v>18</v>
      </c>
      <c r="T3" s="12">
        <v>220</v>
      </c>
      <c r="W3" s="37" t="s">
        <v>3</v>
      </c>
      <c r="X3" s="39">
        <v>1.5384856994927018E-2</v>
      </c>
      <c r="Y3" s="39">
        <v>2.5360997391149828E-2</v>
      </c>
      <c r="AA3" s="3">
        <f>0.49</f>
        <v>0.49</v>
      </c>
      <c r="AB3" s="38"/>
      <c r="AC3" s="3">
        <f>P8</f>
        <v>6.0446173354252188</v>
      </c>
      <c r="AD3" s="11">
        <f>Q8</f>
        <v>0.10832457754819577</v>
      </c>
      <c r="AE3" s="11">
        <f t="shared" ref="AE3:AE4" si="3">$X$2+AC3*$Y$2</f>
        <v>0.10971239441482096</v>
      </c>
      <c r="AF3" s="39">
        <f t="shared" ref="AF3:AF25" si="4">(AD3-AE3)^2</f>
        <v>1.9260356552893559E-6</v>
      </c>
      <c r="AG3" s="36"/>
      <c r="AI3" s="41" t="s">
        <v>37</v>
      </c>
      <c r="AJ3" s="43">
        <f>AJ2*AJ2</f>
        <v>5.9290000000000002E-3</v>
      </c>
      <c r="AK3" s="44">
        <f t="shared" ref="AK3:AO3" si="5">AK2*AK2</f>
        <v>1.0404000000000002E-2</v>
      </c>
      <c r="AL3" s="44">
        <f t="shared" si="5"/>
        <v>1.6129000000000001E-2</v>
      </c>
      <c r="AM3" s="44">
        <f t="shared" si="5"/>
        <v>2.3104E-2</v>
      </c>
      <c r="AN3" s="44">
        <f t="shared" si="5"/>
        <v>3.1328999999999996E-2</v>
      </c>
      <c r="AO3" s="44">
        <f t="shared" si="5"/>
        <v>4.0803999999999993E-2</v>
      </c>
    </row>
    <row r="4" spans="1:45" x14ac:dyDescent="0.3">
      <c r="A4" s="28"/>
      <c r="B4" s="3">
        <v>4.43</v>
      </c>
      <c r="C4" s="3">
        <v>5.66</v>
      </c>
      <c r="D4" s="3">
        <v>6.51</v>
      </c>
      <c r="E4" s="3">
        <v>7.75</v>
      </c>
      <c r="F4" s="3">
        <v>8.93</v>
      </c>
      <c r="G4" s="3">
        <v>9.66</v>
      </c>
      <c r="H4" s="1" t="s">
        <v>9</v>
      </c>
      <c r="L4" s="28"/>
      <c r="M4" s="2" t="str">
        <f>D2</f>
        <v>3 риска</v>
      </c>
      <c r="N4" s="3">
        <f>D6</f>
        <v>6.6433333333333335</v>
      </c>
      <c r="O4" s="39">
        <f t="shared" si="1"/>
        <v>3.1721663050984519E-2</v>
      </c>
      <c r="P4" s="3">
        <f>2*O4/($T$6*0.001)</f>
        <v>1.379202741347153</v>
      </c>
      <c r="Q4" s="11">
        <f t="shared" ref="Q3:Q6" si="6">$L$2*$T$6*0.001/2*($T$11-O4)</f>
        <v>6.004840726720391E-2</v>
      </c>
      <c r="S4" s="10" t="s">
        <v>33</v>
      </c>
      <c r="T4" s="12">
        <v>408</v>
      </c>
      <c r="W4" s="37" t="s">
        <v>4</v>
      </c>
      <c r="X4" s="39">
        <v>6.6062890981914615E-3</v>
      </c>
      <c r="Y4" s="39">
        <v>3.633577862911868E-2</v>
      </c>
      <c r="AA4" s="3">
        <f>0.71</f>
        <v>0.71</v>
      </c>
      <c r="AB4" s="38"/>
      <c r="AC4" s="3">
        <f>P14</f>
        <v>8.4328160224575264</v>
      </c>
      <c r="AD4" s="11">
        <f>Q14</f>
        <v>0.15636651150915287</v>
      </c>
      <c r="AE4" s="11">
        <f t="shared" si="3"/>
        <v>0.15305922379260062</v>
      </c>
      <c r="AF4" s="39">
        <f t="shared" si="4"/>
        <v>1.0938152040057423E-5</v>
      </c>
      <c r="AG4" s="36"/>
      <c r="AI4" s="41" t="s">
        <v>38</v>
      </c>
      <c r="AJ4" s="44">
        <f>Y2</f>
        <v>1.8150428443474503E-2</v>
      </c>
      <c r="AK4" s="44">
        <f>Y3</f>
        <v>2.5360997391149828E-2</v>
      </c>
      <c r="AL4" s="3">
        <f>Y4</f>
        <v>3.633577862911868E-2</v>
      </c>
      <c r="AM4" s="3">
        <f>Y5</f>
        <v>5.2491062762801376E-2</v>
      </c>
      <c r="AN4" s="44">
        <f>Y6</f>
        <v>6.154412544362485E-2</v>
      </c>
      <c r="AO4" s="44">
        <f>Y7</f>
        <v>8.1598179844226709E-2</v>
      </c>
    </row>
    <row r="5" spans="1:45" ht="14.4" customHeight="1" x14ac:dyDescent="0.3">
      <c r="A5" s="28"/>
      <c r="B5" s="3">
        <v>4.22</v>
      </c>
      <c r="C5" s="3">
        <v>5.57</v>
      </c>
      <c r="D5" s="3">
        <v>6.71</v>
      </c>
      <c r="E5" s="3">
        <v>7.42</v>
      </c>
      <c r="F5" s="3">
        <v>8.67</v>
      </c>
      <c r="G5" s="3">
        <v>9.98</v>
      </c>
      <c r="H5" s="1" t="s">
        <v>10</v>
      </c>
      <c r="L5" s="28"/>
      <c r="M5" s="2" t="str">
        <f>E2</f>
        <v>4 риска</v>
      </c>
      <c r="N5" s="3">
        <f>E6</f>
        <v>7.4233333333333329</v>
      </c>
      <c r="O5" s="39">
        <f t="shared" si="1"/>
        <v>2.5405638317670898E-2</v>
      </c>
      <c r="P5" s="3">
        <f t="shared" si="2"/>
        <v>1.1045929703335173</v>
      </c>
      <c r="Q5" s="11">
        <f t="shared" si="6"/>
        <v>6.0087193975091178E-2</v>
      </c>
      <c r="S5" s="10" t="s">
        <v>21</v>
      </c>
      <c r="T5" s="12">
        <v>25</v>
      </c>
      <c r="W5" s="37" t="s">
        <v>5</v>
      </c>
      <c r="X5" s="39">
        <v>4.1247232785821949E-3</v>
      </c>
      <c r="Y5" s="39">
        <v>5.2491062762801376E-2</v>
      </c>
      <c r="AA5" s="3">
        <f>0.93</f>
        <v>0.93</v>
      </c>
      <c r="AB5" s="38"/>
      <c r="AC5" s="3">
        <f>P20</f>
        <v>11.309000672077753</v>
      </c>
      <c r="AD5" s="11">
        <f>Q20</f>
        <v>0.20361326832342455</v>
      </c>
      <c r="AE5" s="11">
        <f>$X$2+AC5*$Y$2</f>
        <v>0.20526320746575233</v>
      </c>
      <c r="AF5" s="39">
        <f t="shared" si="4"/>
        <v>2.7222991733853225E-6</v>
      </c>
      <c r="AG5" s="39">
        <f>SUM(AF2:AF5)</f>
        <v>1.5651262187028388E-5</v>
      </c>
      <c r="AI5" s="41" t="s">
        <v>40</v>
      </c>
      <c r="AJ5" s="44">
        <f>$AR$2+4*AJ3*$AS$2</f>
        <v>1.8163165457107572E-2</v>
      </c>
      <c r="AK5" s="44">
        <f t="shared" ref="AK5:AO5" si="7">$AR$2+4*AK3*$AS$2</f>
        <v>2.6251148111386277E-2</v>
      </c>
      <c r="AL5" s="44">
        <f t="shared" si="7"/>
        <v>3.6598343797586398E-2</v>
      </c>
      <c r="AM5" s="44">
        <f t="shared" si="7"/>
        <v>4.9204752515707953E-2</v>
      </c>
      <c r="AN5" s="44">
        <f t="shared" si="7"/>
        <v>6.4070374265750921E-2</v>
      </c>
      <c r="AO5" s="44">
        <f t="shared" si="7"/>
        <v>8.1195209047715308E-2</v>
      </c>
    </row>
    <row r="6" spans="1:45" ht="13.2" customHeight="1" x14ac:dyDescent="0.3">
      <c r="A6" s="28"/>
      <c r="B6" s="4">
        <f t="shared" ref="B6:G6" si="8">SUM(B3:B5)/3</f>
        <v>4.2899999999999991</v>
      </c>
      <c r="C6" s="4">
        <f t="shared" si="8"/>
        <v>5.56</v>
      </c>
      <c r="D6" s="4">
        <f t="shared" si="8"/>
        <v>6.6433333333333335</v>
      </c>
      <c r="E6" s="4">
        <f t="shared" si="8"/>
        <v>7.4233333333333329</v>
      </c>
      <c r="F6" s="4">
        <f t="shared" si="8"/>
        <v>8.7566666666666677</v>
      </c>
      <c r="G6" s="4">
        <f t="shared" si="8"/>
        <v>9.8233333333333341</v>
      </c>
      <c r="H6" s="1" t="s">
        <v>11</v>
      </c>
      <c r="L6" s="28"/>
      <c r="M6" s="2" t="str">
        <f>F2</f>
        <v>5 риска</v>
      </c>
      <c r="N6" s="3">
        <f>F6</f>
        <v>8.7566666666666677</v>
      </c>
      <c r="O6" s="39">
        <f t="shared" si="1"/>
        <v>1.8257882152326089E-2</v>
      </c>
      <c r="P6" s="3">
        <f t="shared" si="2"/>
        <v>0.79382096314461259</v>
      </c>
      <c r="Q6" s="11">
        <f t="shared" si="6"/>
        <v>6.0131088345702563E-2</v>
      </c>
      <c r="S6" s="10" t="s">
        <v>19</v>
      </c>
      <c r="T6" s="12">
        <v>46</v>
      </c>
      <c r="W6" s="37" t="s">
        <v>6</v>
      </c>
      <c r="X6" s="39">
        <v>1.2549694525716765E-2</v>
      </c>
      <c r="Y6" s="39">
        <v>6.154412544362485E-2</v>
      </c>
      <c r="AA6" s="3">
        <f>0.27</f>
        <v>0.27</v>
      </c>
      <c r="AB6" s="38" t="s">
        <v>3</v>
      </c>
      <c r="AC6" s="3">
        <f>P3</f>
        <v>1.969022217321545</v>
      </c>
      <c r="AD6" s="11">
        <f>Q3</f>
        <v>5.9965099394958851E-2</v>
      </c>
      <c r="AE6" s="11">
        <f>$X$3+AC6*$Y$3</f>
        <v>6.5321224311534767E-2</v>
      </c>
      <c r="AF6" s="39">
        <f t="shared" si="4"/>
        <v>2.8688074121965365E-5</v>
      </c>
      <c r="AG6" s="36"/>
      <c r="AI6" s="46" t="s">
        <v>41</v>
      </c>
      <c r="AJ6" s="37">
        <f>(AJ4-AJ5)*(AJ4-AJ5)</f>
        <v>1.6223151628898924E-10</v>
      </c>
      <c r="AK6" s="37">
        <f t="shared" ref="AK6:AO6" si="9">(AK4-AK5)*(AK4-AK5)</f>
        <v>7.9236830473747001E-7</v>
      </c>
      <c r="AL6" s="37">
        <f t="shared" si="9"/>
        <v>6.8940467692481271E-8</v>
      </c>
      <c r="AM6" s="37">
        <f t="shared" si="9"/>
        <v>1.0799835040151234E-5</v>
      </c>
      <c r="AN6" s="37">
        <f>(AN4-AN5)*(AN4-AN5)</f>
        <v>6.3819331112933582E-6</v>
      </c>
      <c r="AO6" s="37">
        <f t="shared" si="9"/>
        <v>1.6238546284103295E-7</v>
      </c>
    </row>
    <row r="7" spans="1:45" x14ac:dyDescent="0.3">
      <c r="A7" s="28">
        <f>0.047+0.22*2</f>
        <v>0.48699999999999999</v>
      </c>
      <c r="B7" s="3">
        <v>3.17</v>
      </c>
      <c r="C7" s="3">
        <v>4.0199999999999996</v>
      </c>
      <c r="D7" s="3">
        <v>4.9400000000000004</v>
      </c>
      <c r="E7" s="3">
        <v>5.65</v>
      </c>
      <c r="F7" s="3">
        <v>6.12</v>
      </c>
      <c r="G7" s="3">
        <v>7.1</v>
      </c>
      <c r="H7" s="5" t="s">
        <v>8</v>
      </c>
      <c r="L7" s="28"/>
      <c r="M7" s="2" t="str">
        <f>G2</f>
        <v>6 риска</v>
      </c>
      <c r="N7" s="3">
        <f>G6</f>
        <v>9.8233333333333341</v>
      </c>
      <c r="O7" s="39">
        <f t="shared" si="1"/>
        <v>1.450809108179581E-2</v>
      </c>
      <c r="P7" s="3">
        <f t="shared" si="2"/>
        <v>0.63078656877373085</v>
      </c>
      <c r="Q7" s="11">
        <f>$L$2*$T$6*0.001/2*($T$11-O7)</f>
        <v>6.0154115812666692E-2</v>
      </c>
      <c r="S7" s="10" t="s">
        <v>34</v>
      </c>
      <c r="T7" s="12">
        <v>40</v>
      </c>
      <c r="W7" s="37" t="s">
        <v>7</v>
      </c>
      <c r="X7" s="39">
        <v>6.5377527205305857E-3</v>
      </c>
      <c r="Y7" s="39">
        <v>8.1598179844226709E-2</v>
      </c>
      <c r="AA7" s="3">
        <f>0.49</f>
        <v>0.49</v>
      </c>
      <c r="AB7" s="38"/>
      <c r="AC7" s="3">
        <f>P9</f>
        <v>3.6866787685310838</v>
      </c>
      <c r="AD7" s="11">
        <f>Q9</f>
        <v>0.10893203675561473</v>
      </c>
      <c r="AE7" s="11">
        <f t="shared" ref="AE7:AE9" si="10">$X$3+AC7*$Y$3</f>
        <v>0.10888270762565129</v>
      </c>
      <c r="AF7" s="39">
        <f t="shared" si="4"/>
        <v>2.4333630629503013E-9</v>
      </c>
      <c r="AG7" s="36"/>
      <c r="AO7" s="37">
        <f>SUM(AJ6:AO6)</f>
        <v>1.8205624618231868E-5</v>
      </c>
    </row>
    <row r="8" spans="1:45" x14ac:dyDescent="0.3">
      <c r="A8" s="28"/>
      <c r="B8" s="3">
        <v>3.24</v>
      </c>
      <c r="C8" s="3">
        <v>4.09</v>
      </c>
      <c r="D8" s="3">
        <v>4.79</v>
      </c>
      <c r="E8" s="3">
        <v>5.4</v>
      </c>
      <c r="F8" s="3">
        <v>6.38</v>
      </c>
      <c r="G8" s="3">
        <v>6.78</v>
      </c>
      <c r="H8" s="1" t="s">
        <v>9</v>
      </c>
      <c r="L8" s="27">
        <f>A7</f>
        <v>0.48699999999999999</v>
      </c>
      <c r="M8" s="9" t="s">
        <v>2</v>
      </c>
      <c r="N8" s="20">
        <f>B10</f>
        <v>3.1733333333333333</v>
      </c>
      <c r="O8" s="47">
        <f t="shared" si="1"/>
        <v>0.13902619871478003</v>
      </c>
      <c r="P8" s="20">
        <f t="shared" si="2"/>
        <v>6.0446173354252188</v>
      </c>
      <c r="Q8" s="21">
        <f>$L$8*$T$6*0.001/2*($T$11-O8)</f>
        <v>0.10832457754819577</v>
      </c>
      <c r="S8" s="10" t="s">
        <v>20</v>
      </c>
      <c r="T8" s="12">
        <v>40</v>
      </c>
      <c r="AA8" s="3">
        <f>0.71</f>
        <v>0.71</v>
      </c>
      <c r="AB8" s="38"/>
      <c r="AC8" s="3">
        <f>P15</f>
        <v>5.1437910033625709</v>
      </c>
      <c r="AD8" s="11">
        <f>Q15</f>
        <v>0.15759661673336944</v>
      </c>
      <c r="AE8" s="11">
        <f t="shared" si="10"/>
        <v>0.14583652721182511</v>
      </c>
      <c r="AF8" s="39">
        <f t="shared" si="4"/>
        <v>1.3829970555473691E-4</v>
      </c>
      <c r="AG8" s="36"/>
    </row>
    <row r="9" spans="1:45" x14ac:dyDescent="0.3">
      <c r="A9" s="28"/>
      <c r="B9" s="3">
        <v>3.11</v>
      </c>
      <c r="C9" s="3">
        <v>4.08</v>
      </c>
      <c r="D9" s="3">
        <v>4.8600000000000003</v>
      </c>
      <c r="E9" s="3">
        <v>5.73</v>
      </c>
      <c r="F9" s="3">
        <v>5.98</v>
      </c>
      <c r="G9" s="3">
        <v>6.77</v>
      </c>
      <c r="H9" s="1" t="s">
        <v>10</v>
      </c>
      <c r="L9" s="28"/>
      <c r="M9" s="2" t="s">
        <v>3</v>
      </c>
      <c r="N9" s="3">
        <f>C10</f>
        <v>4.0633333333333335</v>
      </c>
      <c r="O9" s="39">
        <f t="shared" si="1"/>
        <v>8.4793611676214922E-2</v>
      </c>
      <c r="P9" s="3">
        <f t="shared" si="2"/>
        <v>3.6866787685310838</v>
      </c>
      <c r="Q9" s="11">
        <f t="shared" ref="Q9:Q12" si="11">$L$8*$T$6*0.001/2*($T$11-O9)</f>
        <v>0.10893203675561473</v>
      </c>
      <c r="S9" s="10" t="s">
        <v>22</v>
      </c>
      <c r="T9" s="12">
        <v>57</v>
      </c>
      <c r="AA9" s="3">
        <f>0.93</f>
        <v>0.93</v>
      </c>
      <c r="AB9" s="38"/>
      <c r="AC9" s="3">
        <f>P21</f>
        <v>7.7455224579272155</v>
      </c>
      <c r="AD9" s="11">
        <f>Q21</f>
        <v>0.20536073746051431</v>
      </c>
      <c r="AE9" s="11">
        <f>$X$3+AC9*$Y$3</f>
        <v>0.21181903184351153</v>
      </c>
      <c r="AF9" s="39">
        <f t="shared" si="4"/>
        <v>4.1709566337453452E-5</v>
      </c>
      <c r="AG9" s="39">
        <f>SUM(AF6:AF9)</f>
        <v>2.0869977937721868E-4</v>
      </c>
    </row>
    <row r="10" spans="1:45" x14ac:dyDescent="0.3">
      <c r="A10" s="28"/>
      <c r="B10" s="4">
        <f>SUM(B7:B9)/3</f>
        <v>3.1733333333333333</v>
      </c>
      <c r="C10" s="4">
        <f t="shared" ref="C10:G10" si="12">SUM(C7:C9)/3</f>
        <v>4.0633333333333335</v>
      </c>
      <c r="D10" s="4">
        <f t="shared" si="12"/>
        <v>4.8633333333333333</v>
      </c>
      <c r="E10" s="4">
        <f t="shared" si="12"/>
        <v>5.5933333333333337</v>
      </c>
      <c r="F10" s="4">
        <f t="shared" si="12"/>
        <v>6.16</v>
      </c>
      <c r="G10" s="4">
        <f t="shared" si="12"/>
        <v>6.8833333333333329</v>
      </c>
      <c r="H10" s="1" t="s">
        <v>11</v>
      </c>
      <c r="L10" s="28"/>
      <c r="M10" s="2" t="s">
        <v>4</v>
      </c>
      <c r="N10" s="3">
        <f>D10</f>
        <v>4.8633333333333333</v>
      </c>
      <c r="O10" s="39">
        <f t="shared" si="1"/>
        <v>5.9191583896318907E-2</v>
      </c>
      <c r="P10" s="3">
        <f t="shared" si="2"/>
        <v>2.5735471259269089</v>
      </c>
      <c r="Q10" s="11">
        <f t="shared" si="11"/>
        <v>0.10921880506877736</v>
      </c>
      <c r="S10" s="10" t="s">
        <v>23</v>
      </c>
      <c r="T10" s="12">
        <v>700</v>
      </c>
      <c r="AA10" s="3">
        <f>0.27</f>
        <v>0.27</v>
      </c>
      <c r="AB10" s="38" t="s">
        <v>4</v>
      </c>
      <c r="AC10" s="3">
        <f>P4</f>
        <v>1.379202741347153</v>
      </c>
      <c r="AD10" s="11">
        <f>Q4</f>
        <v>6.004840726720391E-2</v>
      </c>
      <c r="AE10" s="11">
        <f>$X$4+AC10*$Y$4</f>
        <v>5.6720694592455247E-2</v>
      </c>
      <c r="AF10" s="39">
        <f t="shared" si="4"/>
        <v>1.1073671645682903E-5</v>
      </c>
      <c r="AG10" s="36"/>
    </row>
    <row r="11" spans="1:45" ht="16.8" x14ac:dyDescent="0.35">
      <c r="A11" s="28">
        <f>0.047+0.22*3</f>
        <v>0.70700000000000007</v>
      </c>
      <c r="B11" s="3">
        <v>2.72</v>
      </c>
      <c r="C11" s="3">
        <v>3.36</v>
      </c>
      <c r="D11" s="3">
        <v>4.03</v>
      </c>
      <c r="E11" s="3">
        <v>4.4800000000000004</v>
      </c>
      <c r="F11" s="3">
        <v>5.27</v>
      </c>
      <c r="G11" s="3">
        <v>5.53</v>
      </c>
      <c r="H11" s="5" t="s">
        <v>8</v>
      </c>
      <c r="L11" s="28"/>
      <c r="M11" s="2" t="s">
        <v>5</v>
      </c>
      <c r="N11" s="3">
        <f>E10</f>
        <v>5.5933333333333337</v>
      </c>
      <c r="O11" s="39">
        <f t="shared" si="1"/>
        <v>4.4749339769661653E-2</v>
      </c>
      <c r="P11" s="3">
        <f t="shared" si="2"/>
        <v>1.9456234682461588</v>
      </c>
      <c r="Q11" s="11">
        <f t="shared" si="11"/>
        <v>0.10938057264524004</v>
      </c>
      <c r="S11" s="14" t="s">
        <v>26</v>
      </c>
      <c r="T11" s="13">
        <v>9.81</v>
      </c>
      <c r="AA11" s="3">
        <f>0.49</f>
        <v>0.49</v>
      </c>
      <c r="AB11" s="38"/>
      <c r="AC11" s="3">
        <f>P10</f>
        <v>2.5735471259269089</v>
      </c>
      <c r="AD11" s="11">
        <f>Q10</f>
        <v>0.10921880506877736</v>
      </c>
      <c r="AE11" s="11">
        <f t="shared" ref="AE11:AE14" si="13">$X$4+AC11*$Y$4</f>
        <v>0.10011812775747624</v>
      </c>
      <c r="AF11" s="39">
        <f t="shared" si="4"/>
        <v>8.282232752443108E-5</v>
      </c>
      <c r="AG11" s="36"/>
    </row>
    <row r="12" spans="1:45" x14ac:dyDescent="0.3">
      <c r="A12" s="28"/>
      <c r="B12" s="3">
        <v>2.69</v>
      </c>
      <c r="C12" s="3">
        <v>3.46</v>
      </c>
      <c r="D12" s="3">
        <v>3.83</v>
      </c>
      <c r="E12" s="3">
        <v>4.67</v>
      </c>
      <c r="F12" s="3">
        <v>5.13</v>
      </c>
      <c r="G12" s="3">
        <v>5.79</v>
      </c>
      <c r="H12" s="1" t="s">
        <v>9</v>
      </c>
      <c r="L12" s="28"/>
      <c r="M12" s="2" t="s">
        <v>6</v>
      </c>
      <c r="N12" s="3">
        <f>F10</f>
        <v>6.16</v>
      </c>
      <c r="O12" s="39">
        <f t="shared" si="1"/>
        <v>3.6894923258559621E-2</v>
      </c>
      <c r="P12" s="3">
        <f t="shared" si="2"/>
        <v>1.6041270981982445</v>
      </c>
      <c r="Q12" s="11">
        <f t="shared" si="11"/>
        <v>0.10946854996458089</v>
      </c>
      <c r="AA12" s="3">
        <f>0.71</f>
        <v>0.71</v>
      </c>
      <c r="AB12" s="38"/>
      <c r="AC12" s="3">
        <f>P16</f>
        <v>4.0994636600115673</v>
      </c>
      <c r="AD12" s="11">
        <f>Q16</f>
        <v>0.15798719829276475</v>
      </c>
      <c r="AE12" s="11">
        <f t="shared" si="13"/>
        <v>0.15556349314648843</v>
      </c>
      <c r="AF12" s="39">
        <f t="shared" si="4"/>
        <v>5.8743466360863304E-6</v>
      </c>
      <c r="AG12" s="36"/>
    </row>
    <row r="13" spans="1:45" x14ac:dyDescent="0.3">
      <c r="A13" s="28"/>
      <c r="B13" s="3">
        <v>2.65</v>
      </c>
      <c r="C13" s="3">
        <v>3.5</v>
      </c>
      <c r="D13" s="3">
        <v>3.7</v>
      </c>
      <c r="E13" s="3">
        <v>4.4800000000000004</v>
      </c>
      <c r="F13" s="3">
        <v>5.13</v>
      </c>
      <c r="G13" s="3">
        <v>5.64</v>
      </c>
      <c r="H13" s="1" t="s">
        <v>10</v>
      </c>
      <c r="L13" s="35"/>
      <c r="M13" s="22" t="s">
        <v>7</v>
      </c>
      <c r="N13" s="23">
        <f>G10</f>
        <v>6.8833333333333329</v>
      </c>
      <c r="O13" s="48">
        <f t="shared" si="1"/>
        <v>2.9548159395904303E-2</v>
      </c>
      <c r="P13" s="23">
        <f t="shared" si="2"/>
        <v>1.284702582430622</v>
      </c>
      <c r="Q13" s="24">
        <f>$L$8*$T$6*0.001/2*($T$11-O13)</f>
        <v>0.10955084106660648</v>
      </c>
      <c r="AA13" s="3">
        <f>0.93</f>
        <v>0.93</v>
      </c>
      <c r="AB13" s="38"/>
      <c r="AC13" s="3">
        <f>P22</f>
        <v>5.5002398279175759</v>
      </c>
      <c r="AD13" s="11">
        <f>Q22</f>
        <v>0.20646178589246633</v>
      </c>
      <c r="AE13" s="11">
        <f t="shared" si="13"/>
        <v>0.20646178589246633</v>
      </c>
      <c r="AF13" s="39">
        <f t="shared" si="4"/>
        <v>0</v>
      </c>
      <c r="AG13" s="39">
        <f>SUM(AF13)</f>
        <v>0</v>
      </c>
    </row>
    <row r="14" spans="1:45" x14ac:dyDescent="0.3">
      <c r="A14" s="28"/>
      <c r="B14" s="4">
        <f>SUM(B11:B13)/3</f>
        <v>2.686666666666667</v>
      </c>
      <c r="C14" s="4">
        <f t="shared" ref="C14" si="14">SUM(C11:C13)/3</f>
        <v>3.44</v>
      </c>
      <c r="D14" s="4">
        <f t="shared" ref="D14:G14" si="15">SUM(D11:D13)/3</f>
        <v>3.8533333333333335</v>
      </c>
      <c r="E14" s="4">
        <f t="shared" si="15"/>
        <v>4.5433333333333339</v>
      </c>
      <c r="F14" s="4">
        <f t="shared" si="15"/>
        <v>5.1766666666666659</v>
      </c>
      <c r="G14" s="4">
        <f t="shared" si="15"/>
        <v>5.6533333333333333</v>
      </c>
      <c r="H14" s="1" t="s">
        <v>11</v>
      </c>
      <c r="L14" s="28">
        <f>A11</f>
        <v>0.70700000000000007</v>
      </c>
      <c r="M14" s="2" t="s">
        <v>2</v>
      </c>
      <c r="N14" s="3">
        <f>B14</f>
        <v>2.686666666666667</v>
      </c>
      <c r="O14" s="39">
        <f t="shared" si="1"/>
        <v>0.1939547685165231</v>
      </c>
      <c r="P14" s="3">
        <f t="shared" si="2"/>
        <v>8.4328160224575264</v>
      </c>
      <c r="Q14" s="11">
        <f>L$14*$T$6*0.001/2*($T$11-O14)</f>
        <v>0.15636651150915287</v>
      </c>
      <c r="AA14" s="3">
        <f>0.27</f>
        <v>0.27</v>
      </c>
      <c r="AB14" s="38" t="s">
        <v>5</v>
      </c>
      <c r="AC14" s="3">
        <f>P5</f>
        <v>1.1045929703335173</v>
      </c>
      <c r="AD14" s="11">
        <f>Q5</f>
        <v>6.0087193975091178E-2</v>
      </c>
      <c r="AE14" s="11">
        <f>$X$5+AC14*$Y$5</f>
        <v>6.2105982211708051E-2</v>
      </c>
      <c r="AF14" s="39">
        <f t="shared" si="4"/>
        <v>4.0755059443026615E-6</v>
      </c>
      <c r="AG14" s="36"/>
    </row>
    <row r="15" spans="1:45" x14ac:dyDescent="0.3">
      <c r="A15" s="28">
        <f>0.047+0.22*4</f>
        <v>0.92700000000000005</v>
      </c>
      <c r="B15" s="3">
        <v>2.2200000000000002</v>
      </c>
      <c r="C15" s="3">
        <v>2.78</v>
      </c>
      <c r="D15" s="3">
        <v>3.11</v>
      </c>
      <c r="E15" s="3">
        <v>4.1399999999999997</v>
      </c>
      <c r="F15" s="3">
        <v>4.43</v>
      </c>
      <c r="G15" s="3">
        <v>5.13</v>
      </c>
      <c r="H15" s="5" t="s">
        <v>8</v>
      </c>
      <c r="L15" s="28"/>
      <c r="M15" s="2" t="s">
        <v>3</v>
      </c>
      <c r="N15" s="3">
        <f>C14</f>
        <v>3.44</v>
      </c>
      <c r="O15" s="39">
        <f t="shared" si="1"/>
        <v>0.11830719307733913</v>
      </c>
      <c r="P15" s="3">
        <f t="shared" si="2"/>
        <v>5.1437910033625709</v>
      </c>
      <c r="Q15" s="11">
        <f t="shared" ref="Q15:Q19" si="16">L$14*$T$6*0.001/2*($T$11-O15)</f>
        <v>0.15759661673336944</v>
      </c>
      <c r="AA15" s="3">
        <f>0.49</f>
        <v>0.49</v>
      </c>
      <c r="AB15" s="38"/>
      <c r="AC15" s="3">
        <f>P11</f>
        <v>1.9456234682461588</v>
      </c>
      <c r="AD15" s="11">
        <f>Q11</f>
        <v>0.10938057264524004</v>
      </c>
      <c r="AE15" s="11">
        <f t="shared" ref="AE15:AE17" si="17">$X$5+AC15*$Y$5</f>
        <v>0.10625256686307061</v>
      </c>
      <c r="AF15" s="39">
        <f t="shared" si="4"/>
        <v>9.7844201732853858E-6</v>
      </c>
      <c r="AG15" s="36"/>
    </row>
    <row r="16" spans="1:45" x14ac:dyDescent="0.3">
      <c r="A16" s="28"/>
      <c r="B16" s="3">
        <v>2.34</v>
      </c>
      <c r="C16" s="3">
        <v>2.72</v>
      </c>
      <c r="D16" s="3">
        <v>3.57</v>
      </c>
      <c r="E16" s="3">
        <v>3.91</v>
      </c>
      <c r="F16" s="3">
        <v>4.3600000000000003</v>
      </c>
      <c r="G16" s="3">
        <v>4.9400000000000004</v>
      </c>
      <c r="H16" s="1" t="s">
        <v>9</v>
      </c>
      <c r="L16" s="28"/>
      <c r="M16" s="2" t="s">
        <v>4</v>
      </c>
      <c r="N16" s="3">
        <f>D14</f>
        <v>3.8533333333333335</v>
      </c>
      <c r="O16" s="39">
        <f t="shared" si="1"/>
        <v>9.4287664180266045E-2</v>
      </c>
      <c r="P16" s="3">
        <f t="shared" si="2"/>
        <v>4.0994636600115673</v>
      </c>
      <c r="Q16" s="11">
        <f t="shared" si="16"/>
        <v>0.15798719829276475</v>
      </c>
      <c r="AA16" s="3">
        <f>0.71</f>
        <v>0.71</v>
      </c>
      <c r="AB16" s="38"/>
      <c r="AC16" s="3">
        <f>P17</f>
        <v>2.9488385636563086</v>
      </c>
      <c r="AD16" s="11">
        <f>Q17</f>
        <v>0.15841753553067689</v>
      </c>
      <c r="AE16" s="11">
        <f t="shared" si="17"/>
        <v>0.15891239340083455</v>
      </c>
      <c r="AF16" s="39">
        <f t="shared" si="4"/>
        <v>2.4488431165697112E-7</v>
      </c>
      <c r="AG16" s="36"/>
    </row>
    <row r="17" spans="1:33" x14ac:dyDescent="0.3">
      <c r="A17" s="28"/>
      <c r="B17" s="3">
        <v>2.4</v>
      </c>
      <c r="C17" s="3">
        <v>2.91</v>
      </c>
      <c r="D17" s="3">
        <v>3.3</v>
      </c>
      <c r="E17" s="3">
        <v>3.83</v>
      </c>
      <c r="F17" s="3">
        <v>4.25</v>
      </c>
      <c r="G17" s="3">
        <v>4.9400000000000004</v>
      </c>
      <c r="H17" s="1" t="s">
        <v>10</v>
      </c>
      <c r="L17" s="28"/>
      <c r="M17" s="2" t="s">
        <v>5</v>
      </c>
      <c r="N17" s="3">
        <f>E14</f>
        <v>4.5433333333333339</v>
      </c>
      <c r="O17" s="39">
        <f t="shared" si="1"/>
        <v>6.7823286964095092E-2</v>
      </c>
      <c r="P17" s="3">
        <f t="shared" si="2"/>
        <v>2.9488385636563086</v>
      </c>
      <c r="Q17" s="11">
        <f t="shared" si="16"/>
        <v>0.15841753553067689</v>
      </c>
      <c r="AA17" s="3">
        <f>0.93</f>
        <v>0.93</v>
      </c>
      <c r="AB17" s="38"/>
      <c r="AC17" s="3">
        <f>P23</f>
        <v>3.8815914968747642</v>
      </c>
      <c r="AD17" s="11">
        <f>Q23</f>
        <v>0.20725554351698811</v>
      </c>
      <c r="AE17" s="11">
        <f t="shared" si="17"/>
        <v>0.20787358616059157</v>
      </c>
      <c r="AF17" s="39">
        <f t="shared" si="4"/>
        <v>3.8197670931235521E-7</v>
      </c>
      <c r="AG17" s="39">
        <f>SUM(AF14:AF17)</f>
        <v>1.4486787138557374E-5</v>
      </c>
    </row>
    <row r="18" spans="1:33" x14ac:dyDescent="0.3">
      <c r="A18" s="28"/>
      <c r="B18" s="4">
        <f>SUM(B15:B17)/3</f>
        <v>2.3200000000000003</v>
      </c>
      <c r="C18" s="4">
        <f t="shared" ref="C18" si="18">SUM(C15:C17)/3</f>
        <v>2.8033333333333332</v>
      </c>
      <c r="D18" s="4">
        <f t="shared" ref="D18:G18" si="19">SUM(D15:D17)/3</f>
        <v>3.3266666666666667</v>
      </c>
      <c r="E18" s="4">
        <f t="shared" si="19"/>
        <v>3.9600000000000004</v>
      </c>
      <c r="F18" s="4">
        <f t="shared" si="19"/>
        <v>4.3466666666666667</v>
      </c>
      <c r="G18" s="4">
        <f t="shared" si="19"/>
        <v>5.0033333333333339</v>
      </c>
      <c r="H18" s="1" t="s">
        <v>11</v>
      </c>
      <c r="L18" s="28"/>
      <c r="M18" s="2" t="s">
        <v>6</v>
      </c>
      <c r="N18" s="3">
        <f>F14</f>
        <v>5.1766666666666659</v>
      </c>
      <c r="O18" s="39">
        <f t="shared" si="1"/>
        <v>5.2242942952779453E-2</v>
      </c>
      <c r="P18" s="3">
        <f t="shared" si="2"/>
        <v>2.2714323022947589</v>
      </c>
      <c r="Q18" s="11">
        <f t="shared" si="16"/>
        <v>0.15867088750464492</v>
      </c>
      <c r="AA18" s="3">
        <f>0.27</f>
        <v>0.27</v>
      </c>
      <c r="AB18" s="38" t="s">
        <v>6</v>
      </c>
      <c r="AC18" s="3">
        <f>P6</f>
        <v>0.79382096314461259</v>
      </c>
      <c r="AD18" s="11">
        <f>Q6</f>
        <v>6.0131088345702563E-2</v>
      </c>
      <c r="AE18" s="11">
        <f>$X$6+AC18*$Y$6</f>
        <v>6.14047114612679E-2</v>
      </c>
      <c r="AF18" s="39">
        <f t="shared" si="4"/>
        <v>1.6221158405023547E-6</v>
      </c>
      <c r="AG18" s="36"/>
    </row>
    <row r="19" spans="1:33" x14ac:dyDescent="0.3">
      <c r="L19" s="28"/>
      <c r="M19" s="2" t="s">
        <v>7</v>
      </c>
      <c r="N19" s="3">
        <f>G14</f>
        <v>5.6533333333333333</v>
      </c>
      <c r="O19" s="39">
        <f t="shared" si="1"/>
        <v>4.3804512281950876E-2</v>
      </c>
      <c r="P19" s="3">
        <f t="shared" si="2"/>
        <v>1.9045440122587338</v>
      </c>
      <c r="Q19" s="11">
        <f t="shared" si="16"/>
        <v>0.15880810482578323</v>
      </c>
      <c r="AA19" s="3">
        <f>0.49</f>
        <v>0.49</v>
      </c>
      <c r="AB19" s="38"/>
      <c r="AC19" s="3">
        <f>P12</f>
        <v>1.6041270981982445</v>
      </c>
      <c r="AD19" s="11">
        <f>Q12</f>
        <v>0.10946854996458089</v>
      </c>
      <c r="AE19" s="11">
        <f t="shared" ref="AE19:AE21" si="20">$X$6+AC19*$Y$6</f>
        <v>0.11127429388474744</v>
      </c>
      <c r="AF19" s="39">
        <f t="shared" si="4"/>
        <v>3.2607111052184692E-6</v>
      </c>
      <c r="AG19" s="36"/>
    </row>
    <row r="20" spans="1:33" x14ac:dyDescent="0.3">
      <c r="L20" s="27">
        <f>A15</f>
        <v>0.92700000000000005</v>
      </c>
      <c r="M20" s="19" t="s">
        <v>2</v>
      </c>
      <c r="N20" s="20">
        <f>B18</f>
        <v>2.3200000000000003</v>
      </c>
      <c r="O20" s="47">
        <f t="shared" si="1"/>
        <v>0.2601070154577883</v>
      </c>
      <c r="P20" s="49">
        <f t="shared" si="2"/>
        <v>11.309000672077753</v>
      </c>
      <c r="Q20" s="21">
        <f>L$20*$T$6*0.001/2*($T$11-O20)</f>
        <v>0.20361326832342455</v>
      </c>
      <c r="AA20" s="3">
        <f>0.71</f>
        <v>0.71</v>
      </c>
      <c r="AB20" s="38"/>
      <c r="AC20" s="3">
        <f>P18</f>
        <v>2.2714323022947589</v>
      </c>
      <c r="AD20" s="11">
        <f>Q18</f>
        <v>0.15867088750464492</v>
      </c>
      <c r="AE20" s="11">
        <f t="shared" si="20"/>
        <v>0.15234300907484702</v>
      </c>
      <c r="AF20" s="39">
        <f t="shared" si="4"/>
        <v>4.0042045422301547E-5</v>
      </c>
      <c r="AG20" s="36"/>
    </row>
    <row r="21" spans="1:33" x14ac:dyDescent="0.3">
      <c r="L21" s="28"/>
      <c r="M21" s="2" t="s">
        <v>3</v>
      </c>
      <c r="N21" s="3">
        <f>C18</f>
        <v>2.8033333333333332</v>
      </c>
      <c r="O21" s="39">
        <f t="shared" si="1"/>
        <v>0.17814701653232595</v>
      </c>
      <c r="P21" s="3">
        <f t="shared" si="2"/>
        <v>7.7455224579272155</v>
      </c>
      <c r="Q21" s="11">
        <f t="shared" ref="Q21:Q25" si="21">L$20*$T$6*0.001/2*($T$11-O21)</f>
        <v>0.20536073746051431</v>
      </c>
      <c r="AA21" s="3">
        <f>0.93</f>
        <v>0.93</v>
      </c>
      <c r="AB21" s="38"/>
      <c r="AC21" s="3">
        <f>P24</f>
        <v>3.2217180205109912</v>
      </c>
      <c r="AD21" s="11">
        <f>Q24</f>
        <v>0.20757913425194779</v>
      </c>
      <c r="AE21" s="11">
        <f t="shared" si="20"/>
        <v>0.21082751252403195</v>
      </c>
      <c r="AF21" s="39">
        <f t="shared" si="4"/>
        <v>1.0551961398548453E-5</v>
      </c>
      <c r="AG21" s="39">
        <f>SUM(AF18:AF21)</f>
        <v>5.5476833766570822E-5</v>
      </c>
    </row>
    <row r="22" spans="1:33" x14ac:dyDescent="0.3">
      <c r="L22" s="28"/>
      <c r="M22" s="2" t="s">
        <v>4</v>
      </c>
      <c r="N22" s="3">
        <f>D18</f>
        <v>3.3266666666666667</v>
      </c>
      <c r="O22" s="39">
        <f t="shared" si="1"/>
        <v>0.12650551604210425</v>
      </c>
      <c r="P22" s="3">
        <f t="shared" si="2"/>
        <v>5.5002398279175759</v>
      </c>
      <c r="Q22" s="11">
        <f t="shared" si="21"/>
        <v>0.20646178589246633</v>
      </c>
      <c r="AA22" s="3">
        <f>0.27</f>
        <v>0.27</v>
      </c>
      <c r="AB22" s="38" t="s">
        <v>7</v>
      </c>
      <c r="AC22" s="3">
        <f>P7</f>
        <v>0.63078656877373085</v>
      </c>
      <c r="AD22" s="11">
        <f>Q7</f>
        <v>6.0154115812666692E-2</v>
      </c>
      <c r="AE22" s="11">
        <f>$X$7+AC22*$Y$7</f>
        <v>5.8008788602652156E-2</v>
      </c>
      <c r="AF22" s="39">
        <f t="shared" si="4"/>
        <v>4.6024288380287525E-6</v>
      </c>
      <c r="AG22" s="36"/>
    </row>
    <row r="23" spans="1:33" x14ac:dyDescent="0.3">
      <c r="L23" s="28"/>
      <c r="M23" s="2" t="s">
        <v>5</v>
      </c>
      <c r="N23" s="3">
        <f>E18</f>
        <v>3.9600000000000004</v>
      </c>
      <c r="O23" s="39">
        <f t="shared" si="1"/>
        <v>8.9276604428119577E-2</v>
      </c>
      <c r="P23" s="3">
        <f t="shared" si="2"/>
        <v>3.8815914968747642</v>
      </c>
      <c r="Q23" s="11">
        <f t="shared" si="21"/>
        <v>0.20725554351698811</v>
      </c>
      <c r="AA23" s="3">
        <f>0.49</f>
        <v>0.49</v>
      </c>
      <c r="AB23" s="38"/>
      <c r="AC23" s="3">
        <f>P13</f>
        <v>1.284702582430622</v>
      </c>
      <c r="AD23" s="11">
        <f>Q13</f>
        <v>0.10955084106660648</v>
      </c>
      <c r="AE23" s="11">
        <f t="shared" ref="AE23:AE25" si="22">$X$7+AC23*$Y$7</f>
        <v>0.11136714508804697</v>
      </c>
      <c r="AF23" s="39">
        <f t="shared" si="4"/>
        <v>3.2989602983009066E-6</v>
      </c>
      <c r="AG23" s="36"/>
    </row>
    <row r="24" spans="1:33" x14ac:dyDescent="0.3">
      <c r="L24" s="28"/>
      <c r="M24" s="2" t="s">
        <v>6</v>
      </c>
      <c r="N24" s="3">
        <f>F18</f>
        <v>4.3466666666666667</v>
      </c>
      <c r="O24" s="39">
        <f t="shared" si="1"/>
        <v>7.4099514471752795E-2</v>
      </c>
      <c r="P24" s="3">
        <f t="shared" si="2"/>
        <v>3.2217180205109912</v>
      </c>
      <c r="Q24" s="11">
        <f t="shared" si="21"/>
        <v>0.20757913425194779</v>
      </c>
      <c r="AA24" s="3">
        <f>0.71</f>
        <v>0.71</v>
      </c>
      <c r="AB24" s="38"/>
      <c r="AC24" s="3">
        <f>P19</f>
        <v>1.9045440122587338</v>
      </c>
      <c r="AD24" s="11">
        <f>Q19</f>
        <v>0.15880810482578323</v>
      </c>
      <c r="AE24" s="11">
        <f t="shared" si="22"/>
        <v>0.16194507755406387</v>
      </c>
      <c r="AF24" s="39">
        <f t="shared" si="4"/>
        <v>9.8405978979765195E-6</v>
      </c>
      <c r="AG24" s="36"/>
    </row>
    <row r="25" spans="1:33" x14ac:dyDescent="0.3">
      <c r="L25" s="28"/>
      <c r="M25" s="2" t="s">
        <v>7</v>
      </c>
      <c r="N25" s="3">
        <f>G18</f>
        <v>5.0033333333333339</v>
      </c>
      <c r="O25" s="39">
        <f t="shared" si="1"/>
        <v>5.592540793368489E-2</v>
      </c>
      <c r="P25" s="3">
        <f t="shared" si="2"/>
        <v>2.4315394753776038</v>
      </c>
      <c r="Q25" s="11">
        <f t="shared" si="21"/>
        <v>0.20796662437744592</v>
      </c>
      <c r="AA25" s="3">
        <f>0.93</f>
        <v>0.93</v>
      </c>
      <c r="AB25" s="38"/>
      <c r="AC25" s="3">
        <f>P25</f>
        <v>2.4315394753776038</v>
      </c>
      <c r="AD25" s="11">
        <f>Q25</f>
        <v>0.20796662437744592</v>
      </c>
      <c r="AE25" s="11">
        <f t="shared" si="22"/>
        <v>0.20494694813072897</v>
      </c>
      <c r="AF25" s="39">
        <f t="shared" si="4"/>
        <v>9.1184446349865746E-6</v>
      </c>
      <c r="AG25" s="39">
        <f>SUM(AF22:AF25)</f>
        <v>2.6860431669292756E-5</v>
      </c>
    </row>
  </sheetData>
  <mergeCells count="18">
    <mergeCell ref="AB22:AB25"/>
    <mergeCell ref="AB2:AB5"/>
    <mergeCell ref="AB6:AB9"/>
    <mergeCell ref="AB10:AB13"/>
    <mergeCell ref="AB14:AB17"/>
    <mergeCell ref="AB18:AB21"/>
    <mergeCell ref="S1:T1"/>
    <mergeCell ref="H1:H2"/>
    <mergeCell ref="L2:L7"/>
    <mergeCell ref="L8:L13"/>
    <mergeCell ref="L14:L19"/>
    <mergeCell ref="L20:L25"/>
    <mergeCell ref="A1:A2"/>
    <mergeCell ref="B1:G1"/>
    <mergeCell ref="A3:A6"/>
    <mergeCell ref="A7:A10"/>
    <mergeCell ref="A11:A14"/>
    <mergeCell ref="A15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68B8-954E-4B6A-95BE-F34B84A223C8}">
  <dimension ref="A1:N4"/>
  <sheetViews>
    <sheetView workbookViewId="0">
      <selection activeCell="G10" sqref="G10"/>
    </sheetView>
  </sheetViews>
  <sheetFormatPr defaultRowHeight="14.4" x14ac:dyDescent="0.3"/>
  <cols>
    <col min="13" max="13" width="9.44140625" bestFit="1" customWidth="1"/>
  </cols>
  <sheetData>
    <row r="1" spans="1:14" ht="87.6" x14ac:dyDescent="0.3">
      <c r="A1" s="42" t="s">
        <v>56</v>
      </c>
      <c r="B1" s="42" t="s">
        <v>57</v>
      </c>
      <c r="C1" s="50"/>
      <c r="D1" s="50"/>
      <c r="E1" s="50"/>
      <c r="F1" s="50"/>
      <c r="G1" s="50"/>
      <c r="H1" s="42" t="s">
        <v>58</v>
      </c>
      <c r="I1" s="42" t="s">
        <v>59</v>
      </c>
      <c r="J1" s="42" t="s">
        <v>64</v>
      </c>
      <c r="K1" s="42" t="s">
        <v>60</v>
      </c>
      <c r="L1" s="42" t="s">
        <v>61</v>
      </c>
      <c r="M1" s="42" t="s">
        <v>62</v>
      </c>
      <c r="N1" s="42" t="s">
        <v>63</v>
      </c>
    </row>
    <row r="2" spans="1:14" x14ac:dyDescent="0.3">
      <c r="A2" s="3">
        <f>4.22</f>
        <v>4.22</v>
      </c>
      <c r="B2" s="37">
        <f>(A2-$H$2)*(A2-$H$2)</f>
        <v>4.8999999999999157E-3</v>
      </c>
      <c r="H2" s="37">
        <f>SUM(A:A)/COUNT(A:A)</f>
        <v>4.2899999999999991</v>
      </c>
      <c r="I2" s="44">
        <f>SQRT(SUM(B:B)/COUNT(A:A)/(COUNT(A:A)-1))</f>
        <v>6.9999999999999993E-2</v>
      </c>
      <c r="J2" s="3">
        <v>4.3</v>
      </c>
      <c r="K2" s="37">
        <f>J2*I2</f>
        <v>0.30099999999999993</v>
      </c>
      <c r="L2" s="37">
        <v>0.3</v>
      </c>
      <c r="M2" s="11">
        <f>SQRT(K2*K2+(2/3*L2)*(2/3*L2))</f>
        <v>0.36138760355053678</v>
      </c>
      <c r="N2" s="51">
        <f>M2/H2</f>
        <v>8.4239534627164769E-2</v>
      </c>
    </row>
    <row r="3" spans="1:14" x14ac:dyDescent="0.3">
      <c r="A3" s="3">
        <f>4.43</f>
        <v>4.43</v>
      </c>
      <c r="B3" s="37">
        <f>(A3-$H$2)*(A3-$H$2)</f>
        <v>1.9600000000000159E-2</v>
      </c>
    </row>
    <row r="4" spans="1:14" x14ac:dyDescent="0.3">
      <c r="A4" s="3">
        <f>4.22</f>
        <v>4.22</v>
      </c>
      <c r="B4" s="37">
        <f>(A4-$H$2)*(A4-$H$2)</f>
        <v>4.8999999999999157E-3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BD0D-8936-4194-B295-B9B8D21982F3}">
  <dimension ref="A1:I8"/>
  <sheetViews>
    <sheetView workbookViewId="0">
      <selection activeCell="F12" sqref="F12"/>
    </sheetView>
  </sheetViews>
  <sheetFormatPr defaultRowHeight="14.4" x14ac:dyDescent="0.3"/>
  <cols>
    <col min="6" max="6" width="27.33203125" customWidth="1"/>
  </cols>
  <sheetData>
    <row r="1" spans="1:9" ht="73.2" x14ac:dyDescent="0.3">
      <c r="A1" s="52" t="s">
        <v>65</v>
      </c>
      <c r="B1" s="42" t="s">
        <v>62</v>
      </c>
      <c r="C1" s="42" t="s">
        <v>63</v>
      </c>
      <c r="F1" s="37" t="s">
        <v>66</v>
      </c>
      <c r="G1" s="37" t="s">
        <v>51</v>
      </c>
      <c r="I1" t="s">
        <v>84</v>
      </c>
    </row>
    <row r="2" spans="1:9" x14ac:dyDescent="0.3">
      <c r="A2" s="53">
        <v>7.6070006139936253E-2</v>
      </c>
      <c r="B2" s="54">
        <f>SQRT((G4/G7)^2+(2*G5/G8)^2)*A2</f>
        <v>1.2816664548967191E-2</v>
      </c>
      <c r="C2" s="55">
        <f>B2/A2</f>
        <v>0.16848512573260496</v>
      </c>
      <c r="F2" s="37" t="s">
        <v>67</v>
      </c>
      <c r="G2" s="37" t="s">
        <v>74</v>
      </c>
      <c r="I2" t="s">
        <v>85</v>
      </c>
    </row>
    <row r="4" spans="1:9" x14ac:dyDescent="0.3">
      <c r="F4" s="37" t="s">
        <v>44</v>
      </c>
      <c r="G4" s="37">
        <v>1E-4</v>
      </c>
    </row>
    <row r="5" spans="1:9" x14ac:dyDescent="0.3">
      <c r="F5" s="37" t="s">
        <v>45</v>
      </c>
      <c r="G5" s="11">
        <v>0.36138760355053678</v>
      </c>
    </row>
    <row r="7" spans="1:9" x14ac:dyDescent="0.3">
      <c r="F7" s="37" t="s">
        <v>68</v>
      </c>
      <c r="G7" s="37">
        <v>7.0000000000000007E-2</v>
      </c>
    </row>
    <row r="8" spans="1:9" x14ac:dyDescent="0.3">
      <c r="F8" s="37" t="s">
        <v>69</v>
      </c>
      <c r="G8" s="3">
        <v>4.2899999999999991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B1F7-1452-4C58-A706-0A681E17FBE9}">
  <dimension ref="A1:G8"/>
  <sheetViews>
    <sheetView tabSelected="1" workbookViewId="0">
      <selection activeCell="J20" sqref="J20"/>
    </sheetView>
  </sheetViews>
  <sheetFormatPr defaultRowHeight="14.4" x14ac:dyDescent="0.3"/>
  <cols>
    <col min="6" max="6" width="24.88671875" customWidth="1"/>
  </cols>
  <sheetData>
    <row r="1" spans="1:7" ht="73.2" x14ac:dyDescent="0.3">
      <c r="A1" s="52" t="s">
        <v>65</v>
      </c>
      <c r="B1" s="42" t="s">
        <v>62</v>
      </c>
      <c r="C1" s="42" t="s">
        <v>63</v>
      </c>
      <c r="F1" s="37" t="s">
        <v>70</v>
      </c>
      <c r="G1" s="37" t="s">
        <v>72</v>
      </c>
    </row>
    <row r="2" spans="1:7" x14ac:dyDescent="0.3">
      <c r="A2" s="56">
        <v>3.3073915713015762</v>
      </c>
      <c r="B2" s="54">
        <f>SQRT((G4/G7)^2+(G5/G8)^2)*A2</f>
        <v>0.55840470786587348</v>
      </c>
      <c r="C2" s="55">
        <f>B2/A2</f>
        <v>0.1688353785234209</v>
      </c>
      <c r="F2" s="37" t="s">
        <v>71</v>
      </c>
      <c r="G2" s="37" t="s">
        <v>73</v>
      </c>
    </row>
    <row r="4" spans="1:7" x14ac:dyDescent="0.3">
      <c r="F4" s="37" t="s">
        <v>75</v>
      </c>
      <c r="G4" s="37">
        <f>'Погрешность a'!B2</f>
        <v>1.2816664548967191E-2</v>
      </c>
    </row>
    <row r="5" spans="1:7" x14ac:dyDescent="0.3">
      <c r="F5" s="37" t="s">
        <v>76</v>
      </c>
      <c r="G5" s="37">
        <v>5.0000000000000002E-5</v>
      </c>
    </row>
    <row r="7" spans="1:7" x14ac:dyDescent="0.3">
      <c r="F7" s="37" t="s">
        <v>78</v>
      </c>
      <c r="G7" s="39">
        <f>'Погрешность a'!A2</f>
        <v>7.6070006139936253E-2</v>
      </c>
    </row>
    <row r="8" spans="1:7" x14ac:dyDescent="0.3">
      <c r="F8" s="37" t="s">
        <v>77</v>
      </c>
      <c r="G8" s="44">
        <f>0.0046</f>
        <v>4.5999999999999999E-3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913-710F-4E4C-8EC1-3207E3BAE248}">
  <dimension ref="A1:G11"/>
  <sheetViews>
    <sheetView workbookViewId="0">
      <selection activeCell="C16" sqref="C16"/>
    </sheetView>
  </sheetViews>
  <sheetFormatPr defaultRowHeight="14.4" x14ac:dyDescent="0.3"/>
  <cols>
    <col min="6" max="6" width="25.44140625" customWidth="1"/>
  </cols>
  <sheetData>
    <row r="1" spans="1:7" ht="73.2" x14ac:dyDescent="0.3">
      <c r="A1" s="52" t="s">
        <v>65</v>
      </c>
      <c r="B1" s="42" t="s">
        <v>62</v>
      </c>
      <c r="C1" s="42" t="s">
        <v>63</v>
      </c>
      <c r="F1" s="37" t="s">
        <v>70</v>
      </c>
      <c r="G1" s="37" t="s">
        <v>72</v>
      </c>
    </row>
    <row r="2" spans="1:7" x14ac:dyDescent="0.3">
      <c r="A2" s="54">
        <v>5.9776064092294655E-2</v>
      </c>
      <c r="B2" s="54">
        <f>SQRT((G5/G9)^2+(G6/G10)^2+(G7/G11)^2)*A2</f>
        <v>1.0094797300197871E-2</v>
      </c>
      <c r="C2" s="55">
        <f>B2/A2</f>
        <v>0.16887691509115479</v>
      </c>
      <c r="F2" s="37" t="s">
        <v>71</v>
      </c>
      <c r="G2" s="37" t="s">
        <v>73</v>
      </c>
    </row>
    <row r="3" spans="1:7" x14ac:dyDescent="0.3">
      <c r="A3" s="57"/>
      <c r="B3" s="58"/>
      <c r="C3" s="59"/>
      <c r="F3" s="37" t="s">
        <v>80</v>
      </c>
      <c r="G3" s="37" t="s">
        <v>79</v>
      </c>
    </row>
    <row r="5" spans="1:7" x14ac:dyDescent="0.3">
      <c r="F5" s="37" t="s">
        <v>75</v>
      </c>
      <c r="G5" s="37">
        <f>'Погрешность a'!B2</f>
        <v>1.2816664548967191E-2</v>
      </c>
    </row>
    <row r="6" spans="1:7" x14ac:dyDescent="0.3">
      <c r="F6" s="37" t="s">
        <v>76</v>
      </c>
      <c r="G6" s="37">
        <v>5.0000000000000002E-5</v>
      </c>
    </row>
    <row r="7" spans="1:7" x14ac:dyDescent="0.3">
      <c r="F7" s="37" t="s">
        <v>81</v>
      </c>
      <c r="G7" s="37">
        <v>1E-3</v>
      </c>
    </row>
    <row r="8" spans="1:7" ht="13.8" customHeight="1" x14ac:dyDescent="0.3"/>
    <row r="9" spans="1:7" x14ac:dyDescent="0.3">
      <c r="F9" s="37" t="s">
        <v>78</v>
      </c>
      <c r="G9" s="39">
        <f>'Погрешность a'!A2</f>
        <v>7.6070006139936253E-2</v>
      </c>
    </row>
    <row r="10" spans="1:7" x14ac:dyDescent="0.3">
      <c r="F10" s="37" t="s">
        <v>77</v>
      </c>
      <c r="G10" s="44">
        <f>0.0046</f>
        <v>4.5999999999999999E-3</v>
      </c>
    </row>
    <row r="11" spans="1:7" x14ac:dyDescent="0.3">
      <c r="F11" s="37" t="s">
        <v>82</v>
      </c>
      <c r="G11" s="11">
        <f>Лист1!L2</f>
        <v>0.26700000000000002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9F5A-3E6D-4D27-9D65-3D1A9A85F20B}">
  <dimension ref="A1:G12"/>
  <sheetViews>
    <sheetView workbookViewId="0">
      <selection activeCell="G21" sqref="G21"/>
    </sheetView>
  </sheetViews>
  <sheetFormatPr defaultRowHeight="14.4" x14ac:dyDescent="0.3"/>
  <cols>
    <col min="2" max="2" width="27.6640625" customWidth="1"/>
    <col min="6" max="6" width="30.33203125" customWidth="1"/>
  </cols>
  <sheetData>
    <row r="1" spans="1:7" x14ac:dyDescent="0.3">
      <c r="A1" t="s">
        <v>43</v>
      </c>
      <c r="D1" t="s">
        <v>48</v>
      </c>
      <c r="E1" t="s">
        <v>49</v>
      </c>
      <c r="F1" t="s">
        <v>27</v>
      </c>
      <c r="G1" t="s">
        <v>15</v>
      </c>
    </row>
    <row r="2" spans="1:7" x14ac:dyDescent="0.3">
      <c r="A2" t="s">
        <v>44</v>
      </c>
      <c r="B2">
        <v>4.0000000000000001E-3</v>
      </c>
      <c r="D2" s="26">
        <v>4.2899999999999991</v>
      </c>
      <c r="E2" s="25">
        <v>7.6070006139936253E-2</v>
      </c>
      <c r="F2" s="26">
        <v>3.3073915713015762</v>
      </c>
      <c r="G2" s="25">
        <v>5.9776064092294655E-2</v>
      </c>
    </row>
    <row r="3" spans="1:7" x14ac:dyDescent="0.3">
      <c r="A3" t="s">
        <v>45</v>
      </c>
      <c r="B3">
        <v>0.01</v>
      </c>
      <c r="D3" s="26">
        <v>3.1733333333333333</v>
      </c>
      <c r="E3" s="26">
        <v>0.13902619871478003</v>
      </c>
      <c r="F3" s="26">
        <v>6.0446173354252188</v>
      </c>
      <c r="G3" s="25">
        <v>0.10832457754819577</v>
      </c>
    </row>
    <row r="4" spans="1:7" x14ac:dyDescent="0.3">
      <c r="D4" s="26">
        <v>2.686666666666667</v>
      </c>
      <c r="E4" s="26">
        <v>0.1939547685165231</v>
      </c>
      <c r="F4" s="26">
        <v>8.4328160224575264</v>
      </c>
      <c r="G4" s="25">
        <v>0.15636651150915287</v>
      </c>
    </row>
    <row r="5" spans="1:7" x14ac:dyDescent="0.3">
      <c r="A5" t="s">
        <v>46</v>
      </c>
      <c r="B5" t="s">
        <v>51</v>
      </c>
      <c r="D5" s="26">
        <v>2.3200000000000003</v>
      </c>
      <c r="E5" s="26">
        <v>0.2601070154577883</v>
      </c>
      <c r="F5" s="26">
        <v>11.309000672077753</v>
      </c>
      <c r="G5" s="25">
        <v>0.20361326832342455</v>
      </c>
    </row>
    <row r="6" spans="1:7" x14ac:dyDescent="0.3">
      <c r="A6" t="s">
        <v>47</v>
      </c>
      <c r="B6" t="s">
        <v>52</v>
      </c>
    </row>
    <row r="8" spans="1:7" x14ac:dyDescent="0.3">
      <c r="B8" t="s">
        <v>50</v>
      </c>
      <c r="C8">
        <f>SQRT((B2/700+B3*2/700))</f>
        <v>5.8554004376911986E-3</v>
      </c>
      <c r="E8" t="s">
        <v>54</v>
      </c>
      <c r="F8" t="s">
        <v>55</v>
      </c>
    </row>
    <row r="9" spans="1:7" x14ac:dyDescent="0.3">
      <c r="B9" t="s">
        <v>53</v>
      </c>
      <c r="E9" s="36">
        <v>7.6070006139936253E-2</v>
      </c>
      <c r="F9" s="36">
        <f>E9*$C$8</f>
        <v>4.4542034724695491E-4</v>
      </c>
    </row>
    <row r="10" spans="1:7" x14ac:dyDescent="0.3">
      <c r="E10" s="36">
        <v>0.13902619871478003</v>
      </c>
      <c r="F10" s="36">
        <f t="shared" ref="F10:F12" si="0">E10*$C$8</f>
        <v>8.1405406480506651E-4</v>
      </c>
    </row>
    <row r="11" spans="1:7" x14ac:dyDescent="0.3">
      <c r="E11" s="36">
        <v>0.1939547685165231</v>
      </c>
      <c r="F11" s="36">
        <f t="shared" si="0"/>
        <v>1.1356828364639444E-3</v>
      </c>
    </row>
    <row r="12" spans="1:7" x14ac:dyDescent="0.3">
      <c r="E12" s="36">
        <v>0.2601070154577883</v>
      </c>
      <c r="F12" s="36">
        <f t="shared" si="0"/>
        <v>1.5230307321580849E-3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Погрешность t</vt:lpstr>
      <vt:lpstr>Погрешность a</vt:lpstr>
      <vt:lpstr>Погрешность E</vt:lpstr>
      <vt:lpstr>Погрешность М</vt:lpstr>
      <vt:lpstr>Черновик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2023-10-18T10:26:35Z</dcterms:created>
  <dcterms:modified xsi:type="dcterms:W3CDTF">2023-10-22T13:24:47Z</dcterms:modified>
</cp:coreProperties>
</file>