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ITMO\Physics\1.05\"/>
    </mc:Choice>
  </mc:AlternateContent>
  <xr:revisionPtr revIDLastSave="0" documentId="13_ncr:1_{64625920-AF91-4904-ACD3-02BA7AB35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solver_adj" localSheetId="0" hidden="1">Лист1!$S$27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Лист1!$X$4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9" i="1" l="1"/>
  <c r="Z29" i="1"/>
  <c r="B30" i="1"/>
  <c r="B31" i="1"/>
  <c r="F2" i="1"/>
  <c r="K40" i="1"/>
  <c r="Q40" i="1" s="1"/>
  <c r="L40" i="1"/>
  <c r="M40" i="1"/>
  <c r="R40" i="1" s="1"/>
  <c r="L44" i="1" s="1"/>
  <c r="N40" i="1"/>
  <c r="O40" i="1"/>
  <c r="P40" i="1"/>
  <c r="K41" i="1"/>
  <c r="L41" i="1"/>
  <c r="M41" i="1"/>
  <c r="N41" i="1"/>
  <c r="O41" i="1"/>
  <c r="R41" i="1" s="1"/>
  <c r="K47" i="1" s="1"/>
  <c r="P41" i="1"/>
  <c r="B35" i="1"/>
  <c r="V27" i="1"/>
  <c r="S2" i="1"/>
  <c r="W2" i="1"/>
  <c r="U1" i="1"/>
  <c r="U3" i="1"/>
  <c r="B13" i="1"/>
  <c r="B28" i="1"/>
  <c r="B27" i="1"/>
  <c r="G30" i="1"/>
  <c r="F30" i="1"/>
  <c r="E30" i="1"/>
  <c r="D30" i="1"/>
  <c r="C30" i="1"/>
  <c r="L43" i="1" l="1"/>
  <c r="O43" i="1" s="1" a="1"/>
  <c r="K44" i="1"/>
  <c r="Q41" i="1"/>
  <c r="K46" i="1" s="1"/>
  <c r="O43" i="1" l="1"/>
  <c r="P43" i="1"/>
  <c r="O44" i="1"/>
  <c r="P44" i="1"/>
  <c r="G3" i="1"/>
  <c r="G4" i="1"/>
  <c r="G5" i="1"/>
  <c r="G6" i="1"/>
  <c r="G7" i="1"/>
  <c r="G2" i="1"/>
  <c r="K49" i="1" l="1" a="1"/>
  <c r="K50" i="1" l="1"/>
  <c r="B33" i="1" s="1"/>
  <c r="B34" i="1" s="1"/>
  <c r="K49" i="1"/>
  <c r="C31" i="1" l="1"/>
  <c r="E31" i="1"/>
  <c r="G31" i="1"/>
  <c r="D31" i="1"/>
  <c r="F31" i="1"/>
  <c r="T2" i="1" l="1"/>
  <c r="U2" i="1"/>
  <c r="V2" i="1"/>
  <c r="C20" i="1" l="1"/>
  <c r="C19" i="1"/>
  <c r="C18" i="1"/>
  <c r="C17" i="1" l="1"/>
  <c r="C16" i="1"/>
  <c r="F27" i="1" l="1"/>
  <c r="C27" i="1"/>
  <c r="D27" i="1"/>
  <c r="B26" i="1"/>
  <c r="E27" i="1"/>
  <c r="G27" i="1"/>
  <c r="B25" i="1"/>
  <c r="C13" i="1"/>
  <c r="D13" i="1"/>
  <c r="E13" i="1"/>
  <c r="F13" i="1"/>
  <c r="E3" i="1"/>
  <c r="F3" i="1" s="1"/>
  <c r="E4" i="1"/>
  <c r="F4" i="1" s="1"/>
  <c r="E5" i="1"/>
  <c r="F5" i="1" s="1"/>
  <c r="E6" i="1"/>
  <c r="F6" i="1" s="1"/>
  <c r="E7" i="1"/>
  <c r="F7" i="1" s="1"/>
  <c r="E2" i="1"/>
  <c r="V1" i="1" l="1"/>
  <c r="V3" i="1"/>
  <c r="V4" i="1" s="1"/>
  <c r="U4" i="1"/>
  <c r="W1" i="1"/>
  <c r="W3" i="1"/>
  <c r="W4" i="1" s="1"/>
  <c r="S1" i="1"/>
  <c r="S3" i="1"/>
  <c r="S4" i="1" s="1"/>
  <c r="T1" i="1"/>
  <c r="T3" i="1"/>
  <c r="T4" i="1" s="1"/>
  <c r="G28" i="1"/>
  <c r="G29" i="1" s="1"/>
  <c r="B29" i="1"/>
  <c r="C28" i="1"/>
  <c r="C29" i="1" s="1"/>
  <c r="E28" i="1"/>
  <c r="E29" i="1" s="1"/>
  <c r="D28" i="1"/>
  <c r="D29" i="1" s="1"/>
  <c r="F28" i="1"/>
  <c r="F29" i="1" s="1"/>
  <c r="X4" i="1" l="1"/>
</calcChain>
</file>

<file path=xl/sharedStrings.xml><?xml version="1.0" encoding="utf-8"?>
<sst xmlns="http://schemas.openxmlformats.org/spreadsheetml/2006/main" count="56" uniqueCount="51">
  <si>
    <t>Положение боковых грузов</t>
  </si>
  <si>
    <t>1 риска</t>
  </si>
  <si>
    <t>2 риска</t>
  </si>
  <si>
    <t>3 риска</t>
  </si>
  <si>
    <t>4 риска</t>
  </si>
  <si>
    <t>5 риска</t>
  </si>
  <si>
    <t>6 риска</t>
  </si>
  <si>
    <t>Амплитуда отклонения/Время</t>
  </si>
  <si>
    <t>t_1, c</t>
  </si>
  <si>
    <t>t_2, c</t>
  </si>
  <si>
    <t>t_3, c</t>
  </si>
  <si>
    <t>t_ср, c</t>
  </si>
  <si>
    <t xml:space="preserve">Расстояние от оси вращения до первой риски </t>
  </si>
  <si>
    <t>L_0, м</t>
  </si>
  <si>
    <t>Расстояние между соседними рисками</t>
  </si>
  <si>
    <t>L_1, м</t>
  </si>
  <si>
    <t>Размер груза вдоль спицы</t>
  </si>
  <si>
    <t>Риски</t>
  </si>
  <si>
    <t>b,м</t>
  </si>
  <si>
    <t>Масса груза</t>
  </si>
  <si>
    <t>m, кг</t>
  </si>
  <si>
    <t>Момент инерции ступицы и крестовины</t>
  </si>
  <si>
    <t>НА ВСЯКИЙ СЛУЧАЙ РУЧНОЕ РЕШЕНИЕ ДЛЯ ПОИСКА КОЭФФИЦИЕНТОВ</t>
  </si>
  <si>
    <t>суммы</t>
  </si>
  <si>
    <t>суммы кв</t>
  </si>
  <si>
    <t xml:space="preserve">D = </t>
  </si>
  <si>
    <t>C =</t>
  </si>
  <si>
    <t>A =</t>
  </si>
  <si>
    <t xml:space="preserve">D обр = </t>
  </si>
  <si>
    <t>ln (A_0/A)</t>
  </si>
  <si>
    <t>Коэффициент затухания</t>
  </si>
  <si>
    <t>βt</t>
  </si>
  <si>
    <t>β</t>
  </si>
  <si>
    <t>(ln (A_0/A) - βt)^2</t>
  </si>
  <si>
    <t>y = T^2</t>
  </si>
  <si>
    <t>x = I</t>
  </si>
  <si>
    <t>R_верх, м</t>
  </si>
  <si>
    <t>R_ниж, м</t>
  </si>
  <si>
    <t>R_бок, м</t>
  </si>
  <si>
    <t>θ</t>
  </si>
  <si>
    <t>Время затухания, с</t>
  </si>
  <si>
    <t>t, c</t>
  </si>
  <si>
    <t>mL, кг*м</t>
  </si>
  <si>
    <t>L_теор, м</t>
  </si>
  <si>
    <t>4пи^2/mgl (угловой коэфф)</t>
  </si>
  <si>
    <t>T, c</t>
  </si>
  <si>
    <t>T^2, c^2</t>
  </si>
  <si>
    <t>I,  кг*м^2</t>
  </si>
  <si>
    <t>I_гр,  кг*м^2</t>
  </si>
  <si>
    <t>L_пр_теор, м</t>
  </si>
  <si>
    <t>L_пр_эксп,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</si>
</sst>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амплитуды колебаний от времени А (</a:t>
            </a:r>
            <a:r>
              <a:rPr lang="en-US"/>
              <a:t>t)</a:t>
            </a:r>
          </a:p>
        </c:rich>
      </c:tx>
      <c:layout>
        <c:manualLayout>
          <c:xMode val="edge"/>
          <c:yMode val="edge"/>
          <c:x val="0.13702064859344862"/>
          <c:y val="4.411742994548718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xVal>
            <c:numRef>
              <c:f>Лист1!$B$13:$F$13</c:f>
              <c:numCache>
                <c:formatCode>General</c:formatCode>
                <c:ptCount val="5"/>
                <c:pt idx="0">
                  <c:v>41.706666666666663</c:v>
                </c:pt>
                <c:pt idx="1">
                  <c:v>87.106666666666669</c:v>
                </c:pt>
                <c:pt idx="2">
                  <c:v>141.87</c:v>
                </c:pt>
                <c:pt idx="3">
                  <c:v>207.43666666666664</c:v>
                </c:pt>
                <c:pt idx="4">
                  <c:v>280.58999999999997</c:v>
                </c:pt>
              </c:numCache>
            </c:numRef>
          </c:xVal>
          <c:yVal>
            <c:numRef>
              <c:f>Лист1!$B$9:$F$9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A70-4A07-9539-1F8AEEC8AE8C}"/>
            </c:ext>
          </c:extLst>
        </c:ser>
        <c:ser>
          <c:idx val="3"/>
          <c:order val="1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xVal>
            <c:numRef>
              <c:f>Лист1!$B$13:$F$13</c:f>
              <c:numCache>
                <c:formatCode>General</c:formatCode>
                <c:ptCount val="5"/>
                <c:pt idx="0">
                  <c:v>41.706666666666663</c:v>
                </c:pt>
                <c:pt idx="1">
                  <c:v>87.106666666666669</c:v>
                </c:pt>
                <c:pt idx="2">
                  <c:v>141.87</c:v>
                </c:pt>
                <c:pt idx="3">
                  <c:v>207.43666666666664</c:v>
                </c:pt>
                <c:pt idx="4">
                  <c:v>280.58999999999997</c:v>
                </c:pt>
              </c:numCache>
            </c:numRef>
          </c:xVal>
          <c:yVal>
            <c:numRef>
              <c:f>Лист1!$B$9:$F$9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A70-4A07-9539-1F8AEEC8AE8C}"/>
            </c:ext>
          </c:extLst>
        </c:ser>
        <c:ser>
          <c:idx val="1"/>
          <c:order val="2"/>
          <c:xVal>
            <c:numRef>
              <c:f>Лист1!$B$13:$F$13</c:f>
              <c:numCache>
                <c:formatCode>General</c:formatCode>
                <c:ptCount val="5"/>
                <c:pt idx="0">
                  <c:v>41.706666666666663</c:v>
                </c:pt>
                <c:pt idx="1">
                  <c:v>87.106666666666669</c:v>
                </c:pt>
                <c:pt idx="2">
                  <c:v>141.87</c:v>
                </c:pt>
                <c:pt idx="3">
                  <c:v>207.43666666666664</c:v>
                </c:pt>
                <c:pt idx="4">
                  <c:v>280.58999999999997</c:v>
                </c:pt>
              </c:numCache>
            </c:numRef>
          </c:xVal>
          <c:yVal>
            <c:numRef>
              <c:f>Лист1!$B$9:$F$9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A70-4A07-9539-1F8AEEC8AE8C}"/>
            </c:ext>
          </c:extLst>
        </c:ser>
        <c:ser>
          <c:idx val="0"/>
          <c:order val="3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9.8818867910539353E-3"/>
                  <c:y val="0.19574677868942864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Лист1!$B$13:$F$13</c:f>
              <c:numCache>
                <c:formatCode>General</c:formatCode>
                <c:ptCount val="5"/>
                <c:pt idx="0">
                  <c:v>41.706666666666663</c:v>
                </c:pt>
                <c:pt idx="1">
                  <c:v>87.106666666666669</c:v>
                </c:pt>
                <c:pt idx="2">
                  <c:v>141.87</c:v>
                </c:pt>
                <c:pt idx="3">
                  <c:v>207.43666666666664</c:v>
                </c:pt>
                <c:pt idx="4">
                  <c:v>280.58999999999997</c:v>
                </c:pt>
              </c:numCache>
            </c:numRef>
          </c:xVal>
          <c:yVal>
            <c:numRef>
              <c:f>Лист1!$B$9:$F$9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A70-4A07-9539-1F8AEEC8A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702671"/>
        <c:axId val="219077471"/>
      </c:scatterChart>
      <c:valAx>
        <c:axId val="147670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</a:t>
                </a:r>
                <a:r>
                  <a:rPr lang="en-US"/>
                  <a:t>t,c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9077471"/>
        <c:crosses val="autoZero"/>
        <c:crossBetween val="midCat"/>
      </c:valAx>
      <c:valAx>
        <c:axId val="21907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Амплитуда</a:t>
                </a:r>
                <a:r>
                  <a:rPr lang="ru-RU" baseline="0"/>
                  <a:t> отклонения, </a:t>
                </a:r>
                <a:r>
                  <a:rPr lang="en-US" baseline="0"/>
                  <a:t>A, </a:t>
                </a:r>
                <a:r>
                  <a:rPr lang="ru-RU" sz="900" b="0" i="0" u="none" strike="noStrike" baseline="0">
                    <a:effectLst/>
                  </a:rPr>
                  <a:t>°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670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Зависимость квадрата периода от момента инерции </a:t>
            </a: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T^2(I)</a:t>
            </a:r>
          </a:p>
        </c:rich>
      </c:tx>
      <c:layout>
        <c:manualLayout>
          <c:xMode val="edge"/>
          <c:yMode val="edge"/>
          <c:x val="0.11821198832205257"/>
          <c:y val="3.2407321633815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63316899927569E-2"/>
                  <c:y val="-0.133908062593766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Лист1!$B$29:$G$29</c:f>
              <c:numCache>
                <c:formatCode>General</c:formatCode>
                <c:ptCount val="6"/>
                <c:pt idx="0">
                  <c:v>3.1905127999999998E-2</c:v>
                </c:pt>
                <c:pt idx="1">
                  <c:v>3.5556727999999996E-2</c:v>
                </c:pt>
                <c:pt idx="2">
                  <c:v>4.0228328000000001E-2</c:v>
                </c:pt>
                <c:pt idx="3">
                  <c:v>4.5919927999999999E-2</c:v>
                </c:pt>
                <c:pt idx="4">
                  <c:v>5.263152799999999E-2</c:v>
                </c:pt>
                <c:pt idx="5">
                  <c:v>6.0363127999999988E-2</c:v>
                </c:pt>
              </c:numCache>
            </c:numRef>
          </c:xVal>
          <c:yVal>
            <c:numRef>
              <c:f>Лист1!$G$2:$G$7</c:f>
              <c:numCache>
                <c:formatCode>General</c:formatCode>
                <c:ptCount val="6"/>
                <c:pt idx="0">
                  <c:v>2.5920999999999994</c:v>
                </c:pt>
                <c:pt idx="1">
                  <c:v>2.8866009999999993</c:v>
                </c:pt>
                <c:pt idx="2">
                  <c:v>3.2893867777777781</c:v>
                </c:pt>
                <c:pt idx="3">
                  <c:v>3.7765444444444447</c:v>
                </c:pt>
                <c:pt idx="4">
                  <c:v>4.3194694444444455</c:v>
                </c:pt>
                <c:pt idx="5">
                  <c:v>4.9729000000000001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8D-475F-84C9-665216175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431983"/>
        <c:axId val="2031872751"/>
      </c:scatterChart>
      <c:valAx>
        <c:axId val="211343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Полный момент</a:t>
                </a:r>
                <a:r>
                  <a:rPr lang="ru-RU" baseline="0"/>
                  <a:t> инерции, </a:t>
                </a:r>
                <a:r>
                  <a:rPr lang="en-US" baseline="0"/>
                  <a:t>I, </a:t>
                </a:r>
                <a:r>
                  <a:rPr lang="ru-RU" baseline="0"/>
                  <a:t>кг</a:t>
                </a:r>
                <a:r>
                  <a:rPr lang="en-US" baseline="0"/>
                  <a:t>*</a:t>
                </a:r>
                <a:r>
                  <a:rPr lang="ru-RU" baseline="0"/>
                  <a:t>м</a:t>
                </a:r>
                <a:r>
                  <a:rPr lang="en-US" baseline="0"/>
                  <a:t>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1872751"/>
        <c:crosses val="autoZero"/>
        <c:crossBetween val="midCat"/>
      </c:valAx>
      <c:valAx>
        <c:axId val="203187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Квадрат</a:t>
                </a:r>
                <a:r>
                  <a:rPr lang="ru-RU" baseline="0"/>
                  <a:t>  периоода, </a:t>
                </a:r>
                <a:r>
                  <a:rPr lang="en-US" baseline="0"/>
                  <a:t>T^2, c^2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343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</a:t>
            </a:r>
            <a:r>
              <a:rPr lang="en-US"/>
              <a:t>ln (A0/A)</a:t>
            </a:r>
            <a:r>
              <a:rPr lang="ru-RU"/>
              <a:t> от</a:t>
            </a:r>
            <a:r>
              <a:rPr lang="en-US"/>
              <a:t> t</a:t>
            </a:r>
          </a:p>
          <a:p>
            <a:pPr>
              <a:defRPr/>
            </a:pPr>
            <a:r>
              <a:rPr lang="ru-RU"/>
              <a:t>   </a:t>
            </a:r>
          </a:p>
        </c:rich>
      </c:tx>
      <c:layout>
        <c:manualLayout>
          <c:xMode val="edge"/>
          <c:yMode val="edge"/>
          <c:x val="1.4690919140276608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390734430583146E-2"/>
          <c:y val="0.15471033177497859"/>
          <c:w val="0.8997454068241469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ysClr val="windowText" lastClr="000000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884563622440343E-2"/>
                  <c:y val="-0.13292641078456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759221920452685"/>
                  <c:y val="-0.183813194559521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Лист1!$S$1:$W$1</c:f>
              <c:numCache>
                <c:formatCode>General</c:formatCode>
                <c:ptCount val="5"/>
                <c:pt idx="0">
                  <c:v>41.706666666666663</c:v>
                </c:pt>
                <c:pt idx="1">
                  <c:v>87.106666666666669</c:v>
                </c:pt>
                <c:pt idx="2">
                  <c:v>141.87</c:v>
                </c:pt>
                <c:pt idx="3">
                  <c:v>207.43666666666664</c:v>
                </c:pt>
                <c:pt idx="4">
                  <c:v>280.58999999999997</c:v>
                </c:pt>
              </c:numCache>
            </c:numRef>
          </c:xVal>
          <c:yVal>
            <c:numRef>
              <c:f>Лист1!$S$2:$W$2</c:f>
              <c:numCache>
                <c:formatCode>General</c:formatCode>
                <c:ptCount val="5"/>
                <c:pt idx="0">
                  <c:v>0.18232155679395459</c:v>
                </c:pt>
                <c:pt idx="1">
                  <c:v>0.40546510810816438</c:v>
                </c:pt>
                <c:pt idx="2">
                  <c:v>0.69314718055994529</c:v>
                </c:pt>
                <c:pt idx="3">
                  <c:v>1.0986122886681098</c:v>
                </c:pt>
                <c:pt idx="4">
                  <c:v>1.791759469228055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8-43F5-AEB0-F2F31C114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65535"/>
        <c:axId val="2052118911"/>
      </c:scatterChart>
      <c:valAx>
        <c:axId val="54116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</a:t>
                </a: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t,c</a:t>
                </a:r>
                <a:endParaRPr lang="ru-RU"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118911"/>
        <c:crosses val="autoZero"/>
        <c:crossBetween val="midCat"/>
      </c:valAx>
      <c:valAx>
        <c:axId val="20521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Логарифм отношения амплитуд,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 (A0/A)</a:t>
                </a:r>
                <a:r>
                  <a:rPr lang="ru-RU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"/>
              <c:y val="0.23893892183555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16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73068</xdr:colOff>
      <xdr:row>0</xdr:row>
      <xdr:rowOff>0</xdr:rowOff>
    </xdr:from>
    <xdr:to>
      <xdr:col>16</xdr:col>
      <xdr:colOff>355008</xdr:colOff>
      <xdr:row>18</xdr:row>
      <xdr:rowOff>72390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8D3C8A2-AC64-2F0E-922A-90DC02206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18</xdr:row>
      <xdr:rowOff>171450</xdr:rowOff>
    </xdr:from>
    <xdr:to>
      <xdr:col>16</xdr:col>
      <xdr:colOff>274320</xdr:colOff>
      <xdr:row>35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D9EC92-B6F0-1892-3FDA-DB98F6152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243840</xdr:colOff>
      <xdr:row>36</xdr:row>
      <xdr:rowOff>137160</xdr:rowOff>
    </xdr:from>
    <xdr:to>
      <xdr:col>25</xdr:col>
      <xdr:colOff>138545</xdr:colOff>
      <xdr:row>50</xdr:row>
      <xdr:rowOff>110173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A126686-1656-30D5-074F-279336030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12140" y="6720840"/>
          <a:ext cx="4161905" cy="2533333"/>
        </a:xfrm>
        <a:prstGeom prst="rect">
          <a:avLst/>
        </a:prstGeom>
      </xdr:spPr>
    </xdr:pic>
    <xdr:clientData/>
  </xdr:twoCellAnchor>
  <xdr:twoCellAnchor>
    <xdr:from>
      <xdr:col>17</xdr:col>
      <xdr:colOff>10437</xdr:colOff>
      <xdr:row>4</xdr:row>
      <xdr:rowOff>180269</xdr:rowOff>
    </xdr:from>
    <xdr:to>
      <xdr:col>30</xdr:col>
      <xdr:colOff>104384</xdr:colOff>
      <xdr:row>23</xdr:row>
      <xdr:rowOff>104383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E675770-6ED2-4694-AF45-72263E577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B1" zoomScale="73" workbookViewId="0">
      <selection activeCell="Y30" sqref="Y30"/>
    </sheetView>
  </sheetViews>
  <sheetFormatPr defaultRowHeight="14.4" x14ac:dyDescent="0.3"/>
  <cols>
    <col min="1" max="1" width="25.77734375" customWidth="1"/>
    <col min="2" max="2" width="22.5546875" customWidth="1"/>
    <col min="8" max="8" width="8.88671875" customWidth="1"/>
    <col min="18" max="18" width="9.77734375" customWidth="1"/>
    <col min="22" max="27" width="8.88671875" customWidth="1"/>
  </cols>
  <sheetData>
    <row r="1" spans="1:24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45</v>
      </c>
      <c r="G1" s="2" t="s">
        <v>46</v>
      </c>
      <c r="R1" s="2" t="s">
        <v>41</v>
      </c>
      <c r="S1" s="5">
        <f>B13</f>
        <v>41.706666666666663</v>
      </c>
      <c r="T1" s="5">
        <f>C13</f>
        <v>87.106666666666669</v>
      </c>
      <c r="U1" s="5">
        <f>D13</f>
        <v>141.87</v>
      </c>
      <c r="V1" s="5">
        <f>E13</f>
        <v>207.43666666666664</v>
      </c>
      <c r="W1" s="5">
        <f>F13</f>
        <v>280.58999999999997</v>
      </c>
      <c r="X1" s="5"/>
    </row>
    <row r="2" spans="1:24" x14ac:dyDescent="0.3">
      <c r="A2" s="2" t="s">
        <v>1</v>
      </c>
      <c r="B2" s="1">
        <v>16.149999999999999</v>
      </c>
      <c r="C2" s="1">
        <v>16.02</v>
      </c>
      <c r="D2" s="1">
        <v>16.13</v>
      </c>
      <c r="E2" s="1">
        <f>SUM(B2:D2)/3</f>
        <v>16.099999999999998</v>
      </c>
      <c r="F2" s="1">
        <f>E2/10</f>
        <v>1.6099999999999999</v>
      </c>
      <c r="G2" s="1">
        <f>F2^2</f>
        <v>2.5920999999999994</v>
      </c>
      <c r="R2" s="2" t="s">
        <v>29</v>
      </c>
      <c r="S2" s="5">
        <f>LN(30/B9)</f>
        <v>0.18232155679395459</v>
      </c>
      <c r="T2" s="5">
        <f>LN(30/C9)</f>
        <v>0.40546510810816438</v>
      </c>
      <c r="U2" s="5">
        <f>LN(30/D9)</f>
        <v>0.69314718055994529</v>
      </c>
      <c r="V2" s="5">
        <f>LN(30/E9)</f>
        <v>1.0986122886681098</v>
      </c>
      <c r="W2" s="5">
        <f>LN(30/F9)</f>
        <v>1.791759469228055</v>
      </c>
      <c r="X2" s="5"/>
    </row>
    <row r="3" spans="1:24" x14ac:dyDescent="0.3">
      <c r="A3" s="2" t="s">
        <v>2</v>
      </c>
      <c r="B3" s="1">
        <v>16.940000000000001</v>
      </c>
      <c r="C3" s="1">
        <v>17.03</v>
      </c>
      <c r="D3" s="1">
        <v>17</v>
      </c>
      <c r="E3" s="1">
        <f t="shared" ref="E3:E7" si="0">SUM(B3:D3)/3</f>
        <v>16.989999999999998</v>
      </c>
      <c r="F3" s="1">
        <f t="shared" ref="F3:F7" si="1">E3/10</f>
        <v>1.6989999999999998</v>
      </c>
      <c r="G3" s="1">
        <f t="shared" ref="G3:G7" si="2">F3^2</f>
        <v>2.8866009999999993</v>
      </c>
      <c r="R3" s="2" t="s">
        <v>31</v>
      </c>
      <c r="S3" s="5">
        <f>$S27*B13</f>
        <v>0.24047982962747907</v>
      </c>
      <c r="T3" s="5">
        <f>$S27*C13</f>
        <v>0.50225534749242995</v>
      </c>
      <c r="U3" s="5">
        <f>$S27*D13</f>
        <v>0.818019663425123</v>
      </c>
      <c r="V3" s="5">
        <f>$S27*E13</f>
        <v>1.1960757894459439</v>
      </c>
      <c r="W3" s="5">
        <f>$S27*F13</f>
        <v>1.6178764880556511</v>
      </c>
      <c r="X3" s="5"/>
    </row>
    <row r="4" spans="1:24" x14ac:dyDescent="0.3">
      <c r="A4" s="2" t="s">
        <v>3</v>
      </c>
      <c r="B4" s="1">
        <v>18.09</v>
      </c>
      <c r="C4" s="1">
        <v>18.190000000000001</v>
      </c>
      <c r="D4" s="1">
        <v>18.13</v>
      </c>
      <c r="E4" s="1">
        <f t="shared" si="0"/>
        <v>18.136666666666667</v>
      </c>
      <c r="F4" s="1">
        <f t="shared" si="1"/>
        <v>1.8136666666666668</v>
      </c>
      <c r="G4" s="1">
        <f t="shared" si="2"/>
        <v>3.2893867777777781</v>
      </c>
      <c r="R4" s="2" t="s">
        <v>33</v>
      </c>
      <c r="S4" s="5">
        <f>(S2-S3)^2</f>
        <v>3.3823846989786718E-3</v>
      </c>
      <c r="T4" s="5">
        <f t="shared" ref="T4:W4" si="3">(T2-T3)^2</f>
        <v>9.3683504400634329E-3</v>
      </c>
      <c r="U4" s="5">
        <f t="shared" si="3"/>
        <v>1.5593136976914102E-2</v>
      </c>
      <c r="V4" s="5">
        <f t="shared" si="3"/>
        <v>9.4991339838708805E-3</v>
      </c>
      <c r="W4" s="5">
        <f t="shared" si="3"/>
        <v>3.0235291141402557E-2</v>
      </c>
      <c r="X4" s="5">
        <f>SUM(S4:W4)</f>
        <v>6.8078297241229643E-2</v>
      </c>
    </row>
    <row r="5" spans="1:24" x14ac:dyDescent="0.3">
      <c r="A5" s="2" t="s">
        <v>4</v>
      </c>
      <c r="B5" s="1">
        <v>19.399999999999999</v>
      </c>
      <c r="C5" s="1">
        <v>19.53</v>
      </c>
      <c r="D5" s="1">
        <v>19.37</v>
      </c>
      <c r="E5" s="1">
        <f t="shared" si="0"/>
        <v>19.433333333333334</v>
      </c>
      <c r="F5" s="1">
        <f t="shared" si="1"/>
        <v>1.9433333333333334</v>
      </c>
      <c r="G5" s="1">
        <f t="shared" si="2"/>
        <v>3.7765444444444447</v>
      </c>
    </row>
    <row r="6" spans="1:24" x14ac:dyDescent="0.3">
      <c r="A6" s="2" t="s">
        <v>5</v>
      </c>
      <c r="B6" s="1">
        <v>20.74</v>
      </c>
      <c r="C6" s="1">
        <v>20.94</v>
      </c>
      <c r="D6" s="1">
        <v>20.67</v>
      </c>
      <c r="E6" s="1">
        <f t="shared" si="0"/>
        <v>20.783333333333335</v>
      </c>
      <c r="F6" s="1">
        <f t="shared" si="1"/>
        <v>2.0783333333333336</v>
      </c>
      <c r="G6" s="1">
        <f t="shared" si="2"/>
        <v>4.3194694444444455</v>
      </c>
    </row>
    <row r="7" spans="1:24" x14ac:dyDescent="0.3">
      <c r="A7" s="2" t="s">
        <v>6</v>
      </c>
      <c r="B7" s="1">
        <v>22.23</v>
      </c>
      <c r="C7" s="1">
        <v>22.5</v>
      </c>
      <c r="D7" s="1">
        <v>22.17</v>
      </c>
      <c r="E7" s="1">
        <f t="shared" si="0"/>
        <v>22.3</v>
      </c>
      <c r="F7" s="1">
        <f t="shared" si="1"/>
        <v>2.23</v>
      </c>
      <c r="G7" s="1">
        <f t="shared" si="2"/>
        <v>4.9729000000000001</v>
      </c>
    </row>
    <row r="9" spans="1:24" x14ac:dyDescent="0.3">
      <c r="A9" s="2" t="s">
        <v>7</v>
      </c>
      <c r="B9" s="2">
        <v>25</v>
      </c>
      <c r="C9" s="2">
        <v>20</v>
      </c>
      <c r="D9" s="2">
        <v>15</v>
      </c>
      <c r="E9" s="2">
        <v>10</v>
      </c>
      <c r="F9" s="2">
        <v>5</v>
      </c>
    </row>
    <row r="10" spans="1:24" x14ac:dyDescent="0.3">
      <c r="A10" s="2" t="s">
        <v>8</v>
      </c>
      <c r="B10" s="1">
        <v>41.69</v>
      </c>
      <c r="C10" s="1">
        <v>88.9</v>
      </c>
      <c r="D10" s="1">
        <v>141.34</v>
      </c>
      <c r="E10" s="1">
        <v>208.11</v>
      </c>
      <c r="F10" s="1">
        <v>278.18</v>
      </c>
    </row>
    <row r="11" spans="1:24" x14ac:dyDescent="0.3">
      <c r="A11" s="2" t="s">
        <v>9</v>
      </c>
      <c r="B11" s="1">
        <v>41.73</v>
      </c>
      <c r="C11" s="1">
        <v>85.34</v>
      </c>
      <c r="D11" s="1">
        <v>142.93</v>
      </c>
      <c r="E11" s="1">
        <v>206.14</v>
      </c>
      <c r="F11" s="1">
        <v>280.05</v>
      </c>
    </row>
    <row r="12" spans="1:24" x14ac:dyDescent="0.3">
      <c r="A12" s="2" t="s">
        <v>10</v>
      </c>
      <c r="B12" s="1">
        <v>41.7</v>
      </c>
      <c r="C12" s="1">
        <v>87.08</v>
      </c>
      <c r="D12" s="1">
        <v>141.34</v>
      </c>
      <c r="E12" s="1">
        <v>208.06</v>
      </c>
      <c r="F12" s="1">
        <v>283.54000000000002</v>
      </c>
    </row>
    <row r="13" spans="1:24" x14ac:dyDescent="0.3">
      <c r="A13" s="2" t="s">
        <v>11</v>
      </c>
      <c r="B13" s="1">
        <f>SUM(B10:B12)/3</f>
        <v>41.706666666666663</v>
      </c>
      <c r="C13" s="1">
        <f t="shared" ref="C13:F13" si="4">SUM(C10:C12)/3</f>
        <v>87.106666666666669</v>
      </c>
      <c r="D13" s="1">
        <f t="shared" si="4"/>
        <v>141.87</v>
      </c>
      <c r="E13" s="1">
        <f t="shared" si="4"/>
        <v>207.43666666666664</v>
      </c>
      <c r="F13" s="1">
        <f t="shared" si="4"/>
        <v>280.58999999999997</v>
      </c>
    </row>
    <row r="16" spans="1:24" x14ac:dyDescent="0.3">
      <c r="A16" s="2" t="s">
        <v>12</v>
      </c>
      <c r="B16" s="2" t="s">
        <v>15</v>
      </c>
      <c r="C16" s="1">
        <f>57/1000</f>
        <v>5.7000000000000002E-2</v>
      </c>
    </row>
    <row r="17" spans="1:26" x14ac:dyDescent="0.3">
      <c r="A17" s="2" t="s">
        <v>14</v>
      </c>
      <c r="B17" s="2" t="s">
        <v>13</v>
      </c>
      <c r="C17" s="1">
        <f>25/1000</f>
        <v>2.5000000000000001E-2</v>
      </c>
    </row>
    <row r="18" spans="1:26" x14ac:dyDescent="0.3">
      <c r="A18" s="2" t="s">
        <v>16</v>
      </c>
      <c r="B18" s="2" t="s">
        <v>18</v>
      </c>
      <c r="C18" s="1">
        <f>40/1000</f>
        <v>0.04</v>
      </c>
    </row>
    <row r="19" spans="1:26" x14ac:dyDescent="0.3">
      <c r="A19" s="2" t="s">
        <v>19</v>
      </c>
      <c r="B19" s="2" t="s">
        <v>20</v>
      </c>
      <c r="C19" s="1">
        <f>408/1000</f>
        <v>0.40799999999999997</v>
      </c>
    </row>
    <row r="20" spans="1:26" x14ac:dyDescent="0.3">
      <c r="A20" s="2" t="s">
        <v>21</v>
      </c>
      <c r="B20" s="2" t="s">
        <v>47</v>
      </c>
      <c r="C20" s="1">
        <f>8*10^(-3)</f>
        <v>8.0000000000000002E-3</v>
      </c>
    </row>
    <row r="24" spans="1:26" x14ac:dyDescent="0.3">
      <c r="A24" s="2" t="s">
        <v>17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</row>
    <row r="25" spans="1:26" x14ac:dyDescent="0.3">
      <c r="A25" s="2" t="s">
        <v>36</v>
      </c>
      <c r="B25" s="7">
        <f>C16+ (1-1)*C17 +C18/2</f>
        <v>7.6999999999999999E-2</v>
      </c>
      <c r="C25" s="7"/>
      <c r="D25" s="7"/>
      <c r="E25" s="7"/>
      <c r="F25" s="7"/>
      <c r="G25" s="7"/>
      <c r="S25" s="6" t="s">
        <v>30</v>
      </c>
      <c r="T25" s="6"/>
      <c r="U25" s="6"/>
      <c r="V25" s="6" t="s">
        <v>40</v>
      </c>
      <c r="W25" s="6"/>
    </row>
    <row r="26" spans="1:26" x14ac:dyDescent="0.3">
      <c r="A26" s="2" t="s">
        <v>37</v>
      </c>
      <c r="B26" s="7">
        <f>C16+ (6-1)*C17 +C18/2</f>
        <v>0.20199999999999999</v>
      </c>
      <c r="C26" s="7"/>
      <c r="D26" s="7"/>
      <c r="E26" s="7"/>
      <c r="F26" s="7"/>
      <c r="G26" s="7"/>
      <c r="S26" s="8" t="s">
        <v>32</v>
      </c>
      <c r="T26" s="9"/>
      <c r="U26" s="10"/>
      <c r="V26" s="8" t="s">
        <v>39</v>
      </c>
      <c r="W26" s="10"/>
    </row>
    <row r="27" spans="1:26" x14ac:dyDescent="0.3">
      <c r="A27" s="2" t="s">
        <v>38</v>
      </c>
      <c r="B27" s="1">
        <f>$C$16+ (B24-1)*$C$17 +$C$18/2</f>
        <v>7.6999999999999999E-2</v>
      </c>
      <c r="C27" s="1">
        <f t="shared" ref="C27:G27" si="5">$C$16+ (C24-1)*$C$17 +$C$18/2</f>
        <v>0.10200000000000001</v>
      </c>
      <c r="D27" s="1">
        <f t="shared" si="5"/>
        <v>0.127</v>
      </c>
      <c r="E27" s="1">
        <f t="shared" si="5"/>
        <v>0.152</v>
      </c>
      <c r="F27" s="1">
        <f t="shared" si="5"/>
        <v>0.17699999999999999</v>
      </c>
      <c r="G27" s="1">
        <f t="shared" si="5"/>
        <v>0.20199999999999999</v>
      </c>
      <c r="S27" s="8">
        <v>5.7659805697125744E-3</v>
      </c>
      <c r="T27" s="9"/>
      <c r="U27" s="10"/>
      <c r="V27" s="8">
        <f>1/S27</f>
        <v>173.43103881632547</v>
      </c>
      <c r="W27" s="10"/>
    </row>
    <row r="28" spans="1:26" x14ac:dyDescent="0.3">
      <c r="A28" s="2" t="s">
        <v>48</v>
      </c>
      <c r="B28" s="1">
        <f>$C$19*($B$25*$B$25 +$B$26*$B$26 + 2*B27*B27)</f>
        <v>2.3905127999999998E-2</v>
      </c>
      <c r="C28" s="1">
        <f t="shared" ref="C28:G28" si="6">$C$19*($B$25*$B$25 +$B$26*$B$26 + 2*C27*C27)</f>
        <v>2.7556727999999999E-2</v>
      </c>
      <c r="D28" s="1">
        <f t="shared" si="6"/>
        <v>3.2228328000000001E-2</v>
      </c>
      <c r="E28" s="1">
        <f t="shared" si="6"/>
        <v>3.7919927999999999E-2</v>
      </c>
      <c r="F28" s="1">
        <f t="shared" si="6"/>
        <v>4.463152799999999E-2</v>
      </c>
      <c r="G28" s="1">
        <f t="shared" si="6"/>
        <v>5.2363127999999988E-2</v>
      </c>
    </row>
    <row r="29" spans="1:26" x14ac:dyDescent="0.3">
      <c r="A29" s="2" t="s">
        <v>47</v>
      </c>
      <c r="B29" s="1">
        <f>$C$20+B28</f>
        <v>3.1905127999999998E-2</v>
      </c>
      <c r="C29" s="1">
        <f t="shared" ref="C29:G29" si="7">$C$20+C28</f>
        <v>3.5556727999999996E-2</v>
      </c>
      <c r="D29" s="1">
        <f t="shared" si="7"/>
        <v>4.0228328000000001E-2</v>
      </c>
      <c r="E29" s="1">
        <f t="shared" si="7"/>
        <v>4.5919927999999999E-2</v>
      </c>
      <c r="F29" s="1">
        <f t="shared" si="7"/>
        <v>5.263152799999999E-2</v>
      </c>
      <c r="G29" s="1">
        <f t="shared" si="7"/>
        <v>6.0363127999999988E-2</v>
      </c>
      <c r="Y29">
        <f>0.9793/LN(30)</f>
        <v>0.28792801184664524</v>
      </c>
      <c r="Z29">
        <f>0.9913/30</f>
        <v>3.3043333333333334E-2</v>
      </c>
    </row>
    <row r="30" spans="1:26" x14ac:dyDescent="0.3">
      <c r="A30" s="2" t="s">
        <v>50</v>
      </c>
      <c r="B30" s="1">
        <f>(G2*9.8)/(4* PI()*PI())</f>
        <v>0.64345486829229415</v>
      </c>
      <c r="C30" s="1">
        <f>(G3*9.8)/(4* PI()*PI())</f>
        <v>0.71656088355673175</v>
      </c>
      <c r="D30" s="1">
        <f>(G4*9.8)/(4* PI()*PI())</f>
        <v>0.8165471763656551</v>
      </c>
      <c r="E30" s="1">
        <f>(G5*9.8)/(4* PI()*PI())</f>
        <v>0.93747768531306508</v>
      </c>
      <c r="F30" s="1">
        <f>(G6*9.8)/(4* PI()*PI())</f>
        <v>1.0722517042041551</v>
      </c>
      <c r="G30" s="1">
        <f>(G7*9.8)/(4* PI()*PI())</f>
        <v>1.234457279630705</v>
      </c>
    </row>
    <row r="31" spans="1:26" x14ac:dyDescent="0.3">
      <c r="A31" s="2" t="s">
        <v>49</v>
      </c>
      <c r="B31" s="1">
        <f>B29/$B$34 +B35</f>
        <v>0.7258758616761839</v>
      </c>
      <c r="C31" s="1">
        <f t="shared" ref="C31:G31" si="8">C29/$B$34 +C35</f>
        <v>0.73930043707662574</v>
      </c>
      <c r="D31" s="1">
        <f t="shared" si="8"/>
        <v>0.83643299443249863</v>
      </c>
      <c r="E31" s="1">
        <f t="shared" si="8"/>
        <v>0.95477353374380203</v>
      </c>
      <c r="F31" s="1">
        <f t="shared" si="8"/>
        <v>1.0943220550105359</v>
      </c>
      <c r="G31" s="1">
        <f t="shared" si="8"/>
        <v>1.2550785582327009</v>
      </c>
    </row>
    <row r="33" spans="1:18" x14ac:dyDescent="0.3">
      <c r="A33" s="2" t="s">
        <v>44</v>
      </c>
      <c r="B33" s="1">
        <f>K50</f>
        <v>83.759260522426075</v>
      </c>
    </row>
    <row r="34" spans="1:18" x14ac:dyDescent="0.3">
      <c r="A34" s="2" t="s">
        <v>42</v>
      </c>
      <c r="B34" s="1">
        <f>(B33/4/PI()^2*9.8)^(-1)</f>
        <v>4.8095099389633758E-2</v>
      </c>
    </row>
    <row r="35" spans="1:18" x14ac:dyDescent="0.3">
      <c r="A35" s="2" t="s">
        <v>43</v>
      </c>
      <c r="B35" s="1">
        <f>(B26-B25)/2</f>
        <v>6.2499999999999993E-2</v>
      </c>
    </row>
    <row r="38" spans="1:18" x14ac:dyDescent="0.3">
      <c r="L38" s="3"/>
      <c r="M38" s="3" t="s">
        <v>22</v>
      </c>
      <c r="N38" s="3"/>
      <c r="O38" s="3"/>
    </row>
    <row r="39" spans="1:18" x14ac:dyDescent="0.3">
      <c r="Q39" t="s">
        <v>23</v>
      </c>
      <c r="R39" t="s">
        <v>24</v>
      </c>
    </row>
    <row r="40" spans="1:18" x14ac:dyDescent="0.3">
      <c r="J40" s="1" t="s">
        <v>35</v>
      </c>
      <c r="K40" s="1">
        <f t="shared" ref="K40:P40" si="9">B29</f>
        <v>3.1905127999999998E-2</v>
      </c>
      <c r="L40" s="1">
        <f t="shared" si="9"/>
        <v>3.5556727999999996E-2</v>
      </c>
      <c r="M40" s="1">
        <f t="shared" si="9"/>
        <v>4.0228328000000001E-2</v>
      </c>
      <c r="N40" s="1">
        <f t="shared" si="9"/>
        <v>4.5919927999999999E-2</v>
      </c>
      <c r="O40" s="1">
        <f t="shared" si="9"/>
        <v>5.263152799999999E-2</v>
      </c>
      <c r="P40" s="1">
        <f t="shared" si="9"/>
        <v>6.0363127999999988E-2</v>
      </c>
      <c r="Q40" s="1">
        <f>SUM(K40:P40)</f>
        <v>0.26660476799999999</v>
      </c>
      <c r="R40" s="1">
        <f>SUMSQ(K40:P40)</f>
        <v>1.24229612215223E-2</v>
      </c>
    </row>
    <row r="41" spans="1:18" x14ac:dyDescent="0.3">
      <c r="J41" s="1" t="s">
        <v>34</v>
      </c>
      <c r="K41" s="1">
        <f>F2*F2</f>
        <v>2.5920999999999994</v>
      </c>
      <c r="L41" s="1">
        <f>$F3*$F3</f>
        <v>2.8866009999999993</v>
      </c>
      <c r="M41" s="1">
        <f>$F4*$F4</f>
        <v>3.2893867777777781</v>
      </c>
      <c r="N41" s="1">
        <f>$F5*$F5</f>
        <v>3.7765444444444447</v>
      </c>
      <c r="O41" s="1">
        <f>$F6*$F6</f>
        <v>4.3194694444444455</v>
      </c>
      <c r="P41" s="1">
        <f>$F7*$F7</f>
        <v>4.9729000000000001</v>
      </c>
      <c r="Q41" s="1">
        <f>SUM(K41:P41)</f>
        <v>21.837001666666669</v>
      </c>
      <c r="R41" s="1">
        <f>K40*K41 + L40*L41 + M40*M41 + N40*N41 + O40*O41 +P40*P41</f>
        <v>1.0186046243249467</v>
      </c>
    </row>
    <row r="43" spans="1:18" x14ac:dyDescent="0.3">
      <c r="J43" t="s">
        <v>25</v>
      </c>
      <c r="K43" s="1">
        <v>6</v>
      </c>
      <c r="L43" s="1">
        <f>Q40</f>
        <v>0.26660476799999999</v>
      </c>
      <c r="N43" s="1" t="s">
        <v>28</v>
      </c>
      <c r="O43" s="1">
        <f t="array" ref="O43:P44">MINVERSE(K43:L44)</f>
        <v>3.5907988750134217</v>
      </c>
      <c r="P43" s="1">
        <v>-77.06086205510222</v>
      </c>
    </row>
    <row r="44" spans="1:18" x14ac:dyDescent="0.3">
      <c r="K44" s="1">
        <f>Q40</f>
        <v>0.26660476799999999</v>
      </c>
      <c r="L44" s="1">
        <f>R40</f>
        <v>1.24229612215223E-2</v>
      </c>
      <c r="N44" s="1"/>
      <c r="O44" s="1">
        <v>-77.06086205510222</v>
      </c>
      <c r="P44" s="1">
        <v>1734.2719554460982</v>
      </c>
    </row>
    <row r="46" spans="1:18" x14ac:dyDescent="0.3">
      <c r="J46" t="s">
        <v>26</v>
      </c>
      <c r="K46" s="1">
        <f>Q41</f>
        <v>21.837001666666669</v>
      </c>
    </row>
    <row r="47" spans="1:18" x14ac:dyDescent="0.3">
      <c r="K47" s="1">
        <f>R41</f>
        <v>1.0186046243249467</v>
      </c>
    </row>
    <row r="49" spans="10:11" x14ac:dyDescent="0.3">
      <c r="J49" t="s">
        <v>27</v>
      </c>
      <c r="K49" s="1">
        <f t="array" ref="K49:K50">MMULT(O43:P44,K46:K47)</f>
        <v>-8.226942546104965E-2</v>
      </c>
    </row>
    <row r="50" spans="10:11" x14ac:dyDescent="0.3">
      <c r="K50" s="4">
        <v>83.759260522426075</v>
      </c>
    </row>
  </sheetData>
  <mergeCells count="6">
    <mergeCell ref="B25:G25"/>
    <mergeCell ref="B26:G26"/>
    <mergeCell ref="S26:U26"/>
    <mergeCell ref="S27:U27"/>
    <mergeCell ref="V26:W26"/>
    <mergeCell ref="V27:W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Mvideo</dc:creator>
  <cp:lastModifiedBy>Бархатова Наталья Александровна</cp:lastModifiedBy>
  <dcterms:created xsi:type="dcterms:W3CDTF">2015-06-05T18:19:34Z</dcterms:created>
  <dcterms:modified xsi:type="dcterms:W3CDTF">2023-10-10T13:48:26Z</dcterms:modified>
</cp:coreProperties>
</file>