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barnes/Documents/GitHub/ceen562/ceen_562/"/>
    </mc:Choice>
  </mc:AlternateContent>
  <xr:revisionPtr revIDLastSave="0" documentId="13_ncr:1_{32D8E84D-7046-E742-AF2E-623FE25A9A3E}" xr6:coauthVersionLast="45" xr6:coauthVersionMax="45" xr10:uidLastSave="{00000000-0000-0000-0000-000000000000}"/>
  <bookViews>
    <workbookView xWindow="15200" yWindow="460" windowWidth="28800" windowHeight="18000" activeTab="2" xr2:uid="{2B59BAFD-BA54-44B3-BEA3-451D0C810E85}"/>
  </bookViews>
  <sheets>
    <sheet name="Problem 10-1" sheetId="1" r:id="rId1"/>
    <sheet name="Problem 10-4" sheetId="2" r:id="rId2"/>
    <sheet name="Problem 11-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29" i="3" l="1"/>
  <c r="AE32" i="3"/>
  <c r="AB32" i="3"/>
  <c r="AB33" i="3"/>
  <c r="AB34" i="3"/>
  <c r="AB35" i="3"/>
  <c r="AB36" i="3"/>
  <c r="AB37" i="3"/>
  <c r="AB31" i="3"/>
  <c r="AA37" i="3"/>
  <c r="AA33" i="3"/>
  <c r="AA34" i="3"/>
  <c r="AA35" i="3"/>
  <c r="AA36" i="3"/>
  <c r="AA32" i="3"/>
  <c r="AA31" i="3"/>
  <c r="X38" i="3"/>
  <c r="Y38" i="3" s="1"/>
  <c r="X29" i="3"/>
  <c r="Y29" i="3" s="1"/>
  <c r="X31" i="3"/>
  <c r="X32" i="3"/>
  <c r="X33" i="3"/>
  <c r="Y33" i="3" s="1"/>
  <c r="X34" i="3"/>
  <c r="X35" i="3"/>
  <c r="X36" i="3"/>
  <c r="X37" i="3"/>
  <c r="X30" i="3"/>
  <c r="Y30" i="3" s="1"/>
  <c r="Y34" i="3"/>
  <c r="Y31" i="3"/>
  <c r="Y32" i="3"/>
  <c r="Y35" i="3"/>
  <c r="Y36" i="3"/>
  <c r="Y37" i="3"/>
  <c r="W38" i="3"/>
  <c r="W37" i="3"/>
  <c r="W36" i="3"/>
  <c r="W35" i="3"/>
  <c r="W34" i="3"/>
  <c r="W33" i="3"/>
  <c r="W32" i="3"/>
  <c r="W31" i="3"/>
  <c r="W30" i="3"/>
  <c r="W29" i="3"/>
  <c r="U14" i="3"/>
  <c r="V31" i="3" s="1"/>
  <c r="V29" i="3"/>
  <c r="V30" i="3"/>
  <c r="V34" i="3"/>
  <c r="V35" i="3"/>
  <c r="V37" i="3"/>
  <c r="V38" i="3"/>
  <c r="V33" i="3" l="1"/>
  <c r="V32" i="3"/>
  <c r="V36" i="3"/>
  <c r="Z32" i="3" l="1"/>
  <c r="Z33" i="3"/>
  <c r="Z34" i="3"/>
  <c r="Z35" i="3"/>
  <c r="D15" i="3"/>
  <c r="F9" i="3" s="1"/>
  <c r="H5" i="3"/>
  <c r="I6" i="3"/>
  <c r="I7" i="3"/>
  <c r="I8" i="3"/>
  <c r="I9" i="3"/>
  <c r="I10" i="3"/>
  <c r="I11" i="3"/>
  <c r="I12" i="3"/>
  <c r="I13" i="3"/>
  <c r="I14" i="3"/>
  <c r="I5" i="3"/>
  <c r="H8" i="3"/>
  <c r="H9" i="3"/>
  <c r="H10" i="3"/>
  <c r="H11" i="3"/>
  <c r="H12" i="3"/>
  <c r="H13" i="3"/>
  <c r="H14" i="3"/>
  <c r="H7" i="3"/>
  <c r="H6" i="3"/>
  <c r="F17" i="2"/>
  <c r="F18" i="2"/>
  <c r="F19" i="2"/>
  <c r="F20" i="2"/>
  <c r="F21" i="2"/>
  <c r="F22" i="2"/>
  <c r="F23" i="2"/>
  <c r="F24" i="2"/>
  <c r="F25" i="2"/>
  <c r="F26" i="2"/>
  <c r="F27" i="2"/>
  <c r="F16" i="2"/>
  <c r="E10" i="2"/>
  <c r="F10" i="2"/>
  <c r="G10" i="2"/>
  <c r="H10" i="2"/>
  <c r="I10" i="2"/>
  <c r="J10" i="2"/>
  <c r="D10" i="2"/>
  <c r="I15" i="3" l="1"/>
  <c r="U22" i="3" s="1"/>
  <c r="F12" i="3"/>
  <c r="F8" i="3"/>
  <c r="H15" i="3"/>
  <c r="U13" i="3" s="1"/>
  <c r="F11" i="3"/>
  <c r="F10" i="3"/>
  <c r="X39" i="3"/>
  <c r="F5" i="3"/>
  <c r="G5" i="3" s="1"/>
  <c r="F7" i="3"/>
  <c r="F14" i="3"/>
  <c r="F6" i="3"/>
  <c r="G14" i="3" s="1"/>
  <c r="F13" i="3"/>
  <c r="Z39" i="3"/>
  <c r="D29" i="2"/>
  <c r="D28" i="2"/>
  <c r="E9" i="2"/>
  <c r="F9" i="2"/>
  <c r="G9" i="2"/>
  <c r="H9" i="2"/>
  <c r="I9" i="2"/>
  <c r="J9" i="2"/>
  <c r="D9" i="2"/>
  <c r="D8" i="2"/>
  <c r="E8" i="2"/>
  <c r="F8" i="2"/>
  <c r="G8" i="2"/>
  <c r="H8" i="2"/>
  <c r="I8" i="2"/>
  <c r="J8" i="2"/>
  <c r="BC26" i="1"/>
  <c r="BC25" i="1"/>
  <c r="BC24" i="1"/>
  <c r="BC23" i="1"/>
  <c r="BC27" i="1" s="1"/>
  <c r="BB28" i="1" s="1"/>
  <c r="BB27" i="1"/>
  <c r="BH6" i="1"/>
  <c r="BH25" i="1" s="1"/>
  <c r="BJ25" i="1"/>
  <c r="BH26" i="1"/>
  <c r="BF26" i="1"/>
  <c r="BI12" i="1"/>
  <c r="BH33" i="1" s="1"/>
  <c r="BI13" i="1"/>
  <c r="BH34" i="1" s="1"/>
  <c r="BI14" i="1"/>
  <c r="BH35" i="1" s="1"/>
  <c r="BI15" i="1"/>
  <c r="BH36" i="1" s="1"/>
  <c r="BI16" i="1"/>
  <c r="BH37" i="1" s="1"/>
  <c r="BI17" i="1"/>
  <c r="BH38" i="1" s="1"/>
  <c r="BI18" i="1"/>
  <c r="BH39" i="1" s="1"/>
  <c r="BI19" i="1"/>
  <c r="BH40" i="1" s="1"/>
  <c r="BI11" i="1"/>
  <c r="BH32" i="1" s="1"/>
  <c r="BG6" i="1"/>
  <c r="BH24" i="1" s="1"/>
  <c r="BI6" i="1"/>
  <c r="BG7" i="1"/>
  <c r="BJ24" i="1" s="1"/>
  <c r="BH7" i="1"/>
  <c r="BI7" i="1"/>
  <c r="BJ26" i="1" s="1"/>
  <c r="BK26" i="1" s="1"/>
  <c r="BH5" i="1"/>
  <c r="BF25" i="1" s="1"/>
  <c r="BG25" i="1" s="1"/>
  <c r="BI5" i="1"/>
  <c r="BG5" i="1"/>
  <c r="BF24" i="1" s="1"/>
  <c r="U17" i="3" l="1"/>
  <c r="V18" i="3" s="1"/>
  <c r="AB39" i="3"/>
  <c r="G13" i="3"/>
  <c r="G7" i="3"/>
  <c r="F15" i="3"/>
  <c r="G6" i="3"/>
  <c r="Y39" i="3"/>
  <c r="G10" i="3"/>
  <c r="G8" i="3"/>
  <c r="G12" i="3"/>
  <c r="G11" i="3"/>
  <c r="G9" i="3"/>
  <c r="BI39" i="1"/>
  <c r="BK25" i="1"/>
  <c r="BF27" i="1"/>
  <c r="BB33" i="1" s="1"/>
  <c r="BG24" i="1"/>
  <c r="BG27" i="1" s="1"/>
  <c r="BI33" i="1"/>
  <c r="BI35" i="1"/>
  <c r="BJ27" i="1"/>
  <c r="BB35" i="1" s="1"/>
  <c r="BK24" i="1"/>
  <c r="BI38" i="1" s="1"/>
  <c r="BI40" i="1"/>
  <c r="BG26" i="1"/>
  <c r="BI34" i="1" s="1"/>
  <c r="BH27" i="1"/>
  <c r="BB34" i="1" s="1"/>
  <c r="BB36" i="1" s="1"/>
  <c r="BI26" i="1"/>
  <c r="BI37" i="1" s="1"/>
  <c r="BI24" i="1"/>
  <c r="BI25" i="1"/>
  <c r="BI36" i="1" s="1"/>
  <c r="AA39" i="3" l="1"/>
  <c r="U19" i="3"/>
  <c r="U18" i="3"/>
  <c r="V19" i="3"/>
  <c r="BK27" i="1"/>
  <c r="BI32" i="1"/>
  <c r="BB37" i="1"/>
  <c r="BI27" i="1"/>
  <c r="BC34" i="1" l="1"/>
  <c r="BC35" i="1"/>
  <c r="BC33" i="1"/>
  <c r="BJ33" i="1" l="1"/>
  <c r="BK33" i="1" s="1"/>
  <c r="BJ34" i="1"/>
  <c r="BK34" i="1" s="1"/>
  <c r="BJ40" i="1"/>
  <c r="BK40" i="1" s="1"/>
  <c r="BJ38" i="1"/>
  <c r="BK38" i="1" s="1"/>
  <c r="BJ39" i="1"/>
  <c r="BK39" i="1" s="1"/>
  <c r="BJ37" i="1"/>
  <c r="BK37" i="1" s="1"/>
  <c r="BJ36" i="1"/>
  <c r="BK36" i="1" s="1"/>
  <c r="BJ35" i="1"/>
  <c r="BK35" i="1" s="1"/>
  <c r="BJ32" i="1"/>
  <c r="BK32" i="1" s="1"/>
</calcChain>
</file>

<file path=xl/sharedStrings.xml><?xml version="1.0" encoding="utf-8"?>
<sst xmlns="http://schemas.openxmlformats.org/spreadsheetml/2006/main" count="207" uniqueCount="104">
  <si>
    <t>````````````````````````````````````````</t>
  </si>
  <si>
    <t>Day</t>
  </si>
  <si>
    <t>Time Period</t>
  </si>
  <si>
    <t>8:00-11:45</t>
  </si>
  <si>
    <t>12:00-3:45</t>
  </si>
  <si>
    <t>4:00-7:45</t>
  </si>
  <si>
    <t>Monday</t>
  </si>
  <si>
    <t>Tuesday</t>
  </si>
  <si>
    <t>Wednesday</t>
  </si>
  <si>
    <t>Axles counts for control station A</t>
  </si>
  <si>
    <t>Station</t>
  </si>
  <si>
    <t>Time</t>
  </si>
  <si>
    <t>Axle Count</t>
  </si>
  <si>
    <t>Axle Counts for coverage stations</t>
  </si>
  <si>
    <t>Sample Vehicle Classificatoin Count</t>
  </si>
  <si>
    <t>Vehicle Class</t>
  </si>
  <si>
    <t>Vehicle Count</t>
  </si>
  <si>
    <t>2 - axle</t>
  </si>
  <si>
    <t>3 - axle</t>
  </si>
  <si>
    <t>4 - acle</t>
  </si>
  <si>
    <t>5 - axle</t>
  </si>
  <si>
    <t>Adjusted axle counts for coverage stations</t>
  </si>
  <si>
    <t>Adjusted axle counts for control station A</t>
  </si>
  <si>
    <t>Total</t>
  </si>
  <si>
    <t>Control data and calibration of hourly variation pattern</t>
  </si>
  <si>
    <t>Count (Vehs)</t>
  </si>
  <si>
    <t>% of 12 hr</t>
  </si>
  <si>
    <t>Calibration of Daily Variation Factors</t>
  </si>
  <si>
    <t>Adjustment Factor</t>
  </si>
  <si>
    <t>Average</t>
  </si>
  <si>
    <t>12-hr Ctrl-Ct Location A</t>
  </si>
  <si>
    <t>Axles Obs</t>
  </si>
  <si>
    <t>Axles/Veh =</t>
  </si>
  <si>
    <t>12-hr expanded Count (vehs)</t>
  </si>
  <si>
    <t>12-hr adjusted count</t>
  </si>
  <si>
    <t>12-hr Volumes</t>
  </si>
  <si>
    <t>Veh Count</t>
  </si>
  <si>
    <t>Month</t>
  </si>
  <si>
    <t>January</t>
  </si>
  <si>
    <t>April</t>
  </si>
  <si>
    <t>July</t>
  </si>
  <si>
    <t>October</t>
  </si>
  <si>
    <t>Daily Factor</t>
  </si>
  <si>
    <t>Thursday</t>
  </si>
  <si>
    <t>Friday</t>
  </si>
  <si>
    <t>Saturday</t>
  </si>
  <si>
    <t>Sunday</t>
  </si>
  <si>
    <t>Average 24-hr Count</t>
  </si>
  <si>
    <t>Monthly Adjustment Factor</t>
  </si>
  <si>
    <t>February</t>
  </si>
  <si>
    <t>March</t>
  </si>
  <si>
    <t>May</t>
  </si>
  <si>
    <t>June</t>
  </si>
  <si>
    <t>August</t>
  </si>
  <si>
    <t>September</t>
  </si>
  <si>
    <t>November</t>
  </si>
  <si>
    <t>December</t>
  </si>
  <si>
    <t>Veh Observed</t>
  </si>
  <si>
    <t>Middle Speed</t>
  </si>
  <si>
    <t>% Freq in group</t>
  </si>
  <si>
    <t>Cum % Freq</t>
  </si>
  <si>
    <t>nS</t>
  </si>
  <si>
    <t>nS^2</t>
  </si>
  <si>
    <t>Total =</t>
  </si>
  <si>
    <t>A)</t>
  </si>
  <si>
    <t>Speed Low</t>
  </si>
  <si>
    <t>Speed High</t>
  </si>
  <si>
    <t>Median Speed</t>
  </si>
  <si>
    <t>Modal Speed</t>
  </si>
  <si>
    <t>Pace</t>
  </si>
  <si>
    <t>% vehicles in pace</t>
  </si>
  <si>
    <t>37-47 mph</t>
  </si>
  <si>
    <t>(see graph)</t>
  </si>
  <si>
    <t>41 mph</t>
  </si>
  <si>
    <t>42 mph</t>
  </si>
  <si>
    <t>B)</t>
  </si>
  <si>
    <t>C)</t>
  </si>
  <si>
    <t>Mean Speed (mi/h)</t>
  </si>
  <si>
    <t>Standard Deviation (mi/h)</t>
  </si>
  <si>
    <t>D)</t>
  </si>
  <si>
    <t>SE of Mean E</t>
  </si>
  <si>
    <t>95% Confidence mu</t>
  </si>
  <si>
    <t>99.7% Confidence mu</t>
  </si>
  <si>
    <t>E)</t>
  </si>
  <si>
    <t>No. of Samples</t>
  </si>
  <si>
    <t>Eq 11-10 (pg199)</t>
  </si>
  <si>
    <t>F)</t>
  </si>
  <si>
    <t>From the chi-square analysis, we can see that the reults confirm normal distribution</t>
  </si>
  <si>
    <t>Speed Group</t>
  </si>
  <si>
    <t>Upper Limit</t>
  </si>
  <si>
    <t>Lower Limit</t>
  </si>
  <si>
    <t>Prob z&lt;= zd</t>
  </si>
  <si>
    <t>Upper Limit on STD Normal zd</t>
  </si>
  <si>
    <t>Observed Frequency n</t>
  </si>
  <si>
    <t>Prob of Occurrence in Group</t>
  </si>
  <si>
    <t>Theoretical Freq f</t>
  </si>
  <si>
    <t>Combined Group n</t>
  </si>
  <si>
    <t>Combined Group f</t>
  </si>
  <si>
    <t>Chi-Square Group X^2</t>
  </si>
  <si>
    <t>Probability</t>
  </si>
  <si>
    <t>P</t>
  </si>
  <si>
    <t>Chi^2 Value</t>
  </si>
  <si>
    <t>P=</t>
  </si>
  <si>
    <t>df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</si>
</sst>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1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1" fontId="0" fillId="0" borderId="1" xfId="0" applyNumberFormat="1" applyBorder="1" applyAlignment="1">
      <alignment horizontal="center"/>
    </xf>
    <xf numFmtId="1" fontId="0" fillId="0" borderId="0" xfId="0" applyNumberFormat="1"/>
    <xf numFmtId="1" fontId="0" fillId="0" borderId="1" xfId="0" applyNumberFormat="1" applyBorder="1"/>
    <xf numFmtId="10" fontId="0" fillId="0" borderId="1" xfId="1" applyNumberFormat="1" applyFont="1" applyBorder="1"/>
    <xf numFmtId="9" fontId="0" fillId="0" borderId="1" xfId="1" applyFont="1" applyBorder="1"/>
    <xf numFmtId="164" fontId="0" fillId="0" borderId="0" xfId="0" applyNumberFormat="1"/>
    <xf numFmtId="2" fontId="0" fillId="0" borderId="1" xfId="0" applyNumberFormat="1" applyBorder="1"/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/>
    <xf numFmtId="0" fontId="0" fillId="2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9" fontId="0" fillId="2" borderId="0" xfId="1" applyFont="1" applyFill="1"/>
    <xf numFmtId="1" fontId="0" fillId="2" borderId="0" xfId="0" applyNumberFormat="1" applyFill="1"/>
    <xf numFmtId="10" fontId="0" fillId="0" borderId="1" xfId="0" applyNumberFormat="1" applyBorder="1"/>
    <xf numFmtId="0" fontId="0" fillId="0" borderId="2" xfId="0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1" fontId="0" fillId="2" borderId="1" xfId="0" applyNumberFormat="1" applyFill="1" applyBorder="1"/>
    <xf numFmtId="0" fontId="0" fillId="0" borderId="1" xfId="0" applyBorder="1" applyAlignment="1">
      <alignment horizontal="right"/>
    </xf>
    <xf numFmtId="10" fontId="0" fillId="2" borderId="1" xfId="0" applyNumberFormat="1" applyFill="1" applyBorder="1"/>
    <xf numFmtId="171" fontId="0" fillId="0" borderId="1" xfId="0" applyNumberFormat="1" applyBorder="1"/>
    <xf numFmtId="171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0" xfId="0" applyNumberFormat="1" applyBorder="1"/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/>
    </xf>
    <xf numFmtId="171" fontId="0" fillId="0" borderId="0" xfId="0" applyNumberFormat="1" applyFill="1" applyBorder="1"/>
    <xf numFmtId="1" fontId="0" fillId="0" borderId="0" xfId="0" applyNumberFormat="1" applyFill="1" applyBorder="1"/>
    <xf numFmtId="164" fontId="0" fillId="0" borderId="0" xfId="0" applyNumberFormat="1" applyFill="1" applyBorder="1"/>
    <xf numFmtId="0" fontId="5" fillId="0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11-1'!$B$5:$B$14</c:f>
              <c:numCache>
                <c:formatCode>General</c:formatCode>
                <c:ptCount val="10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</c:numCache>
            </c:numRef>
          </c:xVal>
          <c:yVal>
            <c:numRef>
              <c:f>'Problem 11-1'!$F$5:$F$14</c:f>
              <c:numCache>
                <c:formatCode>0.00%</c:formatCode>
                <c:ptCount val="10"/>
                <c:pt idx="0">
                  <c:v>0</c:v>
                </c:pt>
                <c:pt idx="1">
                  <c:v>2.3668639053254437E-2</c:v>
                </c:pt>
                <c:pt idx="2">
                  <c:v>5.3254437869822487E-2</c:v>
                </c:pt>
                <c:pt idx="3">
                  <c:v>0.10650887573964497</c:v>
                </c:pt>
                <c:pt idx="4">
                  <c:v>0.20710059171597633</c:v>
                </c:pt>
                <c:pt idx="5">
                  <c:v>0.24852071005917159</c:v>
                </c:pt>
                <c:pt idx="6">
                  <c:v>0.1893491124260355</c:v>
                </c:pt>
                <c:pt idx="7">
                  <c:v>0.11834319526627218</c:v>
                </c:pt>
                <c:pt idx="8">
                  <c:v>5.3254437869822487E-2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44-B24A-8FD3-CC46A3C65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587647"/>
        <c:axId val="1882668095"/>
      </c:scatterChart>
      <c:valAx>
        <c:axId val="188158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668095"/>
        <c:crosses val="autoZero"/>
        <c:crossBetween val="midCat"/>
      </c:valAx>
      <c:valAx>
        <c:axId val="188266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58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Frequency</a:t>
            </a:r>
            <a:r>
              <a:rPr lang="en-US" baseline="0"/>
              <a:t>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11-1'!$B$5:$B$14</c:f>
              <c:numCache>
                <c:formatCode>General</c:formatCode>
                <c:ptCount val="10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</c:numCache>
            </c:numRef>
          </c:xVal>
          <c:yVal>
            <c:numRef>
              <c:f>'Problem 11-1'!$G$5:$G$14</c:f>
              <c:numCache>
                <c:formatCode>0.00%</c:formatCode>
                <c:ptCount val="10"/>
                <c:pt idx="0">
                  <c:v>0</c:v>
                </c:pt>
                <c:pt idx="1">
                  <c:v>2.3668639053254437E-2</c:v>
                </c:pt>
                <c:pt idx="2">
                  <c:v>7.6923076923076927E-2</c:v>
                </c:pt>
                <c:pt idx="3">
                  <c:v>0.18343195266272189</c:v>
                </c:pt>
                <c:pt idx="4">
                  <c:v>0.39053254437869822</c:v>
                </c:pt>
                <c:pt idx="5">
                  <c:v>0.63905325443786976</c:v>
                </c:pt>
                <c:pt idx="6">
                  <c:v>0.82840236686390523</c:v>
                </c:pt>
                <c:pt idx="7">
                  <c:v>0.94674556213017746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93-0842-9570-D56FAABB6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587647"/>
        <c:axId val="1882668095"/>
      </c:scatterChart>
      <c:valAx>
        <c:axId val="188158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668095"/>
        <c:crosses val="autoZero"/>
        <c:crossBetween val="midCat"/>
      </c:valAx>
      <c:valAx>
        <c:axId val="188266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58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1</xdr:row>
      <xdr:rowOff>29633</xdr:rowOff>
    </xdr:from>
    <xdr:to>
      <xdr:col>16</xdr:col>
      <xdr:colOff>527050</xdr:colOff>
      <xdr:row>15</xdr:row>
      <xdr:rowOff>105834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14979F-2073-6643-9A67-156111EA8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16</xdr:row>
      <xdr:rowOff>84666</xdr:rowOff>
    </xdr:from>
    <xdr:to>
      <xdr:col>16</xdr:col>
      <xdr:colOff>520700</xdr:colOff>
      <xdr:row>30</xdr:row>
      <xdr:rowOff>160867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767BB7-F3DA-F143-B559-8DB62BA3C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79375</xdr:colOff>
      <xdr:row>5</xdr:row>
      <xdr:rowOff>97014</xdr:rowOff>
    </xdr:from>
    <xdr:to>
      <xdr:col>14</xdr:col>
      <xdr:colOff>88195</xdr:colOff>
      <xdr:row>14</xdr:row>
      <xdr:rowOff>8819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BE84300-CB73-764C-AD28-C2985B5B29DB}"/>
            </a:ext>
          </a:extLst>
        </xdr:cNvPr>
        <xdr:cNvCxnSpPr/>
      </xdr:nvCxnSpPr>
      <xdr:spPr>
        <a:xfrm flipH="1">
          <a:off x="11138958" y="1067153"/>
          <a:ext cx="8820" cy="165805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388055</xdr:colOff>
      <xdr:row>7</xdr:row>
      <xdr:rowOff>61737</xdr:rowOff>
    </xdr:from>
    <xdr:to>
      <xdr:col>14</xdr:col>
      <xdr:colOff>291042</xdr:colOff>
      <xdr:row>7</xdr:row>
      <xdr:rowOff>61737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55650C8B-6791-4745-A496-EBB7DABA8013}"/>
            </a:ext>
          </a:extLst>
        </xdr:cNvPr>
        <xdr:cNvCxnSpPr/>
      </xdr:nvCxnSpPr>
      <xdr:spPr>
        <a:xfrm>
          <a:off x="10777361" y="1419931"/>
          <a:ext cx="573264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379236</xdr:colOff>
      <xdr:row>7</xdr:row>
      <xdr:rowOff>70556</xdr:rowOff>
    </xdr:from>
    <xdr:to>
      <xdr:col>13</xdr:col>
      <xdr:colOff>388055</xdr:colOff>
      <xdr:row>26</xdr:row>
      <xdr:rowOff>88195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6C13851B-5984-AB4A-819F-1977457AC208}"/>
            </a:ext>
          </a:extLst>
        </xdr:cNvPr>
        <xdr:cNvCxnSpPr/>
      </xdr:nvCxnSpPr>
      <xdr:spPr>
        <a:xfrm flipH="1">
          <a:off x="10768542" y="1428750"/>
          <a:ext cx="8819" cy="3704167"/>
        </a:xfrm>
        <a:prstGeom prst="line">
          <a:avLst/>
        </a:prstGeom>
        <a:ln w="952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299861</xdr:colOff>
      <xdr:row>7</xdr:row>
      <xdr:rowOff>61737</xdr:rowOff>
    </xdr:from>
    <xdr:to>
      <xdr:col>14</xdr:col>
      <xdr:colOff>335139</xdr:colOff>
      <xdr:row>22</xdr:row>
      <xdr:rowOff>8820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4D068A3F-85C4-FB45-AFEB-8F1550BDEE8B}"/>
            </a:ext>
          </a:extLst>
        </xdr:cNvPr>
        <xdr:cNvCxnSpPr/>
      </xdr:nvCxnSpPr>
      <xdr:spPr>
        <a:xfrm>
          <a:off x="11359444" y="1419931"/>
          <a:ext cx="35278" cy="2857500"/>
        </a:xfrm>
        <a:prstGeom prst="line">
          <a:avLst/>
        </a:prstGeom>
        <a:ln w="952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537986</xdr:colOff>
      <xdr:row>18</xdr:row>
      <xdr:rowOff>17639</xdr:rowOff>
    </xdr:from>
    <xdr:to>
      <xdr:col>8</xdr:col>
      <xdr:colOff>537986</xdr:colOff>
      <xdr:row>22</xdr:row>
      <xdr:rowOff>141111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7FF82DE7-CEC4-7A4A-92DA-A50EE811CE57}"/>
            </a:ext>
          </a:extLst>
        </xdr:cNvPr>
        <xdr:cNvCxnSpPr/>
      </xdr:nvCxnSpPr>
      <xdr:spPr>
        <a:xfrm>
          <a:off x="7346597" y="3510139"/>
          <a:ext cx="0" cy="8995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599722</xdr:colOff>
      <xdr:row>26</xdr:row>
      <xdr:rowOff>114653</xdr:rowOff>
    </xdr:from>
    <xdr:to>
      <xdr:col>13</xdr:col>
      <xdr:colOff>388055</xdr:colOff>
      <xdr:row>26</xdr:row>
      <xdr:rowOff>114653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EDD5A155-3FA0-1F4B-BCF2-AAAAD7ED4B3C}"/>
            </a:ext>
          </a:extLst>
        </xdr:cNvPr>
        <xdr:cNvCxnSpPr/>
      </xdr:nvCxnSpPr>
      <xdr:spPr>
        <a:xfrm flipH="1">
          <a:off x="8978194" y="5159375"/>
          <a:ext cx="1799167" cy="0"/>
        </a:xfrm>
        <a:prstGeom prst="line">
          <a:avLst/>
        </a:prstGeom>
        <a:ln w="952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299861</xdr:colOff>
      <xdr:row>19</xdr:row>
      <xdr:rowOff>185208</xdr:rowOff>
    </xdr:from>
    <xdr:to>
      <xdr:col>12</xdr:col>
      <xdr:colOff>176389</xdr:colOff>
      <xdr:row>21</xdr:row>
      <xdr:rowOff>79375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F779FA7-EE1D-BD40-BC2F-D5BBE75B29AA}"/>
            </a:ext>
          </a:extLst>
        </xdr:cNvPr>
        <xdr:cNvSpPr txBox="1"/>
      </xdr:nvSpPr>
      <xdr:spPr>
        <a:xfrm>
          <a:off x="9348611" y="3871736"/>
          <a:ext cx="546806" cy="2822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81%</a:t>
          </a:r>
        </a:p>
      </xdr:txBody>
    </xdr:sp>
    <xdr:clientData/>
  </xdr:twoCellAnchor>
  <xdr:twoCellAnchor>
    <xdr:from>
      <xdr:col>11</xdr:col>
      <xdr:colOff>97014</xdr:colOff>
      <xdr:row>24</xdr:row>
      <xdr:rowOff>123472</xdr:rowOff>
    </xdr:from>
    <xdr:to>
      <xdr:col>11</xdr:col>
      <xdr:colOff>582083</xdr:colOff>
      <xdr:row>26</xdr:row>
      <xdr:rowOff>26459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7EA095D-F7D4-D747-8626-96745F9B1BDB}"/>
            </a:ext>
          </a:extLst>
        </xdr:cNvPr>
        <xdr:cNvSpPr txBox="1"/>
      </xdr:nvSpPr>
      <xdr:spPr>
        <a:xfrm>
          <a:off x="9145764" y="4780139"/>
          <a:ext cx="485069" cy="2910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35%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0.13785</cdr:x>
      <cdr:y>0.70238</cdr:y>
    </cdr:from>
    <cdr:to>
      <cdr:x>0.52423</cdr:x>
      <cdr:y>0.70553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C13851B-5984-AB4A-819F-1977457AC208}"/>
            </a:ext>
          </a:extLst>
        </cdr:cNvPr>
        <cdr:cNvCxnSpPr/>
      </cdr:nvCxnSpPr>
      <cdr:spPr>
        <a:xfrm xmlns:a="http://schemas.openxmlformats.org/drawingml/2006/main" flipH="1">
          <a:off x="626181" y="1961446"/>
          <a:ext cx="1755070" cy="8819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0.12815</cdr:x>
      <cdr:y>0.38656</cdr:y>
    </cdr:from>
    <cdr:to>
      <cdr:x>0.65626</cdr:x>
      <cdr:y>0.38972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6C13851B-5984-AB4A-819F-1977457AC208}"/>
            </a:ext>
          </a:extLst>
        </cdr:cNvPr>
        <cdr:cNvCxnSpPr/>
      </cdr:nvCxnSpPr>
      <cdr:spPr>
        <a:xfrm xmlns:a="http://schemas.openxmlformats.org/drawingml/2006/main" flipH="1">
          <a:off x="582084" y="1079501"/>
          <a:ext cx="2398889" cy="8820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16DF5-4847-4125-B309-26B1BFAF5A9E}">
  <dimension ref="B2:BK40"/>
  <sheetViews>
    <sheetView topLeftCell="AY14" workbookViewId="0">
      <selection activeCell="BC33" sqref="BC33:BC35"/>
    </sheetView>
  </sheetViews>
  <sheetFormatPr baseColWidth="10" defaultColWidth="8.83203125" defaultRowHeight="15" x14ac:dyDescent="0.2"/>
  <cols>
    <col min="53" max="53" width="13" customWidth="1"/>
    <col min="54" max="54" width="13.5" bestFit="1" customWidth="1"/>
    <col min="55" max="55" width="12.83203125" customWidth="1"/>
    <col min="56" max="56" width="12.33203125" customWidth="1"/>
    <col min="57" max="57" width="12.5" bestFit="1" customWidth="1"/>
    <col min="58" max="58" width="11.5" customWidth="1"/>
    <col min="59" max="59" width="12.83203125" customWidth="1"/>
    <col min="60" max="60" width="10.6640625" customWidth="1"/>
    <col min="61" max="61" width="12.6640625" customWidth="1"/>
    <col min="62" max="62" width="10.5" bestFit="1" customWidth="1"/>
  </cols>
  <sheetData>
    <row r="2" spans="2:61" x14ac:dyDescent="0.2">
      <c r="B2" t="s">
        <v>0</v>
      </c>
      <c r="BA2" t="s">
        <v>9</v>
      </c>
      <c r="BF2" t="s">
        <v>22</v>
      </c>
    </row>
    <row r="3" spans="2:61" x14ac:dyDescent="0.2">
      <c r="BA3" s="18" t="s">
        <v>1</v>
      </c>
      <c r="BB3" s="20" t="s">
        <v>2</v>
      </c>
      <c r="BC3" s="20"/>
      <c r="BD3" s="20"/>
      <c r="BF3" s="18" t="s">
        <v>1</v>
      </c>
      <c r="BG3" s="20" t="s">
        <v>2</v>
      </c>
      <c r="BH3" s="20"/>
      <c r="BI3" s="20"/>
    </row>
    <row r="4" spans="2:61" x14ac:dyDescent="0.2">
      <c r="BA4" s="18"/>
      <c r="BB4" s="1" t="s">
        <v>3</v>
      </c>
      <c r="BC4" s="1" t="s">
        <v>4</v>
      </c>
      <c r="BD4" s="1" t="s">
        <v>5</v>
      </c>
      <c r="BF4" s="18"/>
      <c r="BG4" s="1" t="s">
        <v>3</v>
      </c>
      <c r="BH4" s="1" t="s">
        <v>4</v>
      </c>
      <c r="BI4" s="1" t="s">
        <v>5</v>
      </c>
    </row>
    <row r="5" spans="2:61" x14ac:dyDescent="0.2">
      <c r="BA5" s="1" t="s">
        <v>6</v>
      </c>
      <c r="BB5" s="1">
        <v>3000</v>
      </c>
      <c r="BC5" s="1">
        <v>2800</v>
      </c>
      <c r="BD5" s="1">
        <v>4100</v>
      </c>
      <c r="BF5" s="1" t="s">
        <v>6</v>
      </c>
      <c r="BG5" s="6">
        <f>BB5*(4/3.75)</f>
        <v>3200</v>
      </c>
      <c r="BH5" s="6">
        <f t="shared" ref="BH5:BI5" si="0">BC5*(4/3.75)</f>
        <v>2986.6666666666665</v>
      </c>
      <c r="BI5" s="6">
        <f t="shared" si="0"/>
        <v>4373.333333333333</v>
      </c>
    </row>
    <row r="6" spans="2:61" x14ac:dyDescent="0.2">
      <c r="BA6" s="1" t="s">
        <v>7</v>
      </c>
      <c r="BB6" s="1">
        <v>3300</v>
      </c>
      <c r="BC6" s="1">
        <v>3000</v>
      </c>
      <c r="BD6" s="1">
        <v>4400</v>
      </c>
      <c r="BF6" s="1" t="s">
        <v>7</v>
      </c>
      <c r="BG6" s="6">
        <f t="shared" ref="BG6:BG7" si="1">BB6*(4/3.75)</f>
        <v>3520</v>
      </c>
      <c r="BH6" s="6">
        <f>BC6*(4/3.75)</f>
        <v>3200</v>
      </c>
      <c r="BI6" s="6">
        <f t="shared" ref="BI6:BI7" si="2">BD6*(4/3.75)</f>
        <v>4693.333333333333</v>
      </c>
    </row>
    <row r="7" spans="2:61" x14ac:dyDescent="0.2">
      <c r="BA7" s="1" t="s">
        <v>8</v>
      </c>
      <c r="BB7" s="1">
        <v>4000</v>
      </c>
      <c r="BC7" s="1">
        <v>3600</v>
      </c>
      <c r="BD7" s="1">
        <v>5000</v>
      </c>
      <c r="BF7" s="1" t="s">
        <v>8</v>
      </c>
      <c r="BG7" s="6">
        <f t="shared" si="1"/>
        <v>4266.666666666667</v>
      </c>
      <c r="BH7" s="6">
        <f t="shared" ref="BH7" si="3">BC7*(4/3.75)</f>
        <v>3840</v>
      </c>
      <c r="BI7" s="6">
        <f t="shared" si="2"/>
        <v>5333.333333333333</v>
      </c>
    </row>
    <row r="9" spans="2:61" x14ac:dyDescent="0.2">
      <c r="AZ9" s="4"/>
      <c r="BA9" s="5" t="s">
        <v>13</v>
      </c>
      <c r="BF9" s="5" t="s">
        <v>21</v>
      </c>
    </row>
    <row r="10" spans="2:61" x14ac:dyDescent="0.2">
      <c r="BA10" s="2" t="s">
        <v>10</v>
      </c>
      <c r="BB10" s="1" t="s">
        <v>1</v>
      </c>
      <c r="BC10" s="1" t="s">
        <v>11</v>
      </c>
      <c r="BD10" s="1" t="s">
        <v>12</v>
      </c>
      <c r="BF10" s="2" t="s">
        <v>10</v>
      </c>
      <c r="BG10" s="1" t="s">
        <v>1</v>
      </c>
      <c r="BH10" s="1" t="s">
        <v>11</v>
      </c>
      <c r="BI10" s="1" t="s">
        <v>12</v>
      </c>
    </row>
    <row r="11" spans="2:61" x14ac:dyDescent="0.2">
      <c r="BA11" s="1">
        <v>1</v>
      </c>
      <c r="BB11" s="1" t="s">
        <v>6</v>
      </c>
      <c r="BC11" s="1" t="s">
        <v>3</v>
      </c>
      <c r="BD11" s="1">
        <v>1900</v>
      </c>
      <c r="BF11" s="1">
        <v>1</v>
      </c>
      <c r="BG11" s="1" t="s">
        <v>6</v>
      </c>
      <c r="BH11" s="1" t="s">
        <v>3</v>
      </c>
      <c r="BI11" s="6">
        <f>BD11*(4/3.75)</f>
        <v>2026.6666666666667</v>
      </c>
    </row>
    <row r="12" spans="2:61" x14ac:dyDescent="0.2">
      <c r="BA12" s="1">
        <v>2</v>
      </c>
      <c r="BB12" s="1" t="s">
        <v>6</v>
      </c>
      <c r="BC12" s="1" t="s">
        <v>4</v>
      </c>
      <c r="BD12" s="1">
        <v>2600</v>
      </c>
      <c r="BF12" s="1">
        <v>2</v>
      </c>
      <c r="BG12" s="1" t="s">
        <v>6</v>
      </c>
      <c r="BH12" s="1" t="s">
        <v>4</v>
      </c>
      <c r="BI12" s="6">
        <f t="shared" ref="BI12:BI19" si="4">BD12*(4/3.75)</f>
        <v>2773.3333333333335</v>
      </c>
    </row>
    <row r="13" spans="2:61" x14ac:dyDescent="0.2">
      <c r="BA13" s="1">
        <v>3</v>
      </c>
      <c r="BB13" s="1" t="s">
        <v>6</v>
      </c>
      <c r="BC13" s="1" t="s">
        <v>5</v>
      </c>
      <c r="BD13" s="1">
        <v>1500</v>
      </c>
      <c r="BF13" s="1">
        <v>3</v>
      </c>
      <c r="BG13" s="1" t="s">
        <v>6</v>
      </c>
      <c r="BH13" s="1" t="s">
        <v>5</v>
      </c>
      <c r="BI13" s="6">
        <f t="shared" si="4"/>
        <v>1600</v>
      </c>
    </row>
    <row r="14" spans="2:61" x14ac:dyDescent="0.2">
      <c r="BA14" s="1">
        <v>4</v>
      </c>
      <c r="BB14" s="1" t="s">
        <v>7</v>
      </c>
      <c r="BC14" s="1" t="s">
        <v>3</v>
      </c>
      <c r="BD14" s="1">
        <v>3000</v>
      </c>
      <c r="BF14" s="1">
        <v>4</v>
      </c>
      <c r="BG14" s="1" t="s">
        <v>7</v>
      </c>
      <c r="BH14" s="1" t="s">
        <v>3</v>
      </c>
      <c r="BI14" s="6">
        <f t="shared" si="4"/>
        <v>3200</v>
      </c>
    </row>
    <row r="15" spans="2:61" x14ac:dyDescent="0.2">
      <c r="BA15" s="1">
        <v>5</v>
      </c>
      <c r="BB15" s="1" t="s">
        <v>7</v>
      </c>
      <c r="BC15" s="1" t="s">
        <v>4</v>
      </c>
      <c r="BD15" s="1">
        <v>3600</v>
      </c>
      <c r="BF15" s="1">
        <v>5</v>
      </c>
      <c r="BG15" s="1" t="s">
        <v>7</v>
      </c>
      <c r="BH15" s="1" t="s">
        <v>4</v>
      </c>
      <c r="BI15" s="6">
        <f t="shared" si="4"/>
        <v>3840</v>
      </c>
    </row>
    <row r="16" spans="2:61" x14ac:dyDescent="0.2">
      <c r="BA16" s="1">
        <v>6</v>
      </c>
      <c r="BB16" s="1" t="s">
        <v>7</v>
      </c>
      <c r="BC16" s="1" t="s">
        <v>5</v>
      </c>
      <c r="BD16" s="1">
        <v>4800</v>
      </c>
      <c r="BF16" s="1">
        <v>6</v>
      </c>
      <c r="BG16" s="1" t="s">
        <v>7</v>
      </c>
      <c r="BH16" s="1" t="s">
        <v>5</v>
      </c>
      <c r="BI16" s="6">
        <f t="shared" si="4"/>
        <v>5120</v>
      </c>
    </row>
    <row r="17" spans="53:63" x14ac:dyDescent="0.2">
      <c r="BA17" s="1">
        <v>7</v>
      </c>
      <c r="BB17" s="1" t="s">
        <v>8</v>
      </c>
      <c r="BC17" s="1" t="s">
        <v>3</v>
      </c>
      <c r="BD17" s="1">
        <v>3500</v>
      </c>
      <c r="BF17" s="1">
        <v>7</v>
      </c>
      <c r="BG17" s="1" t="s">
        <v>8</v>
      </c>
      <c r="BH17" s="1" t="s">
        <v>3</v>
      </c>
      <c r="BI17" s="6">
        <f t="shared" si="4"/>
        <v>3733.3333333333335</v>
      </c>
    </row>
    <row r="18" spans="53:63" x14ac:dyDescent="0.2">
      <c r="BA18" s="1">
        <v>8</v>
      </c>
      <c r="BB18" s="1" t="s">
        <v>8</v>
      </c>
      <c r="BC18" s="1" t="s">
        <v>4</v>
      </c>
      <c r="BD18" s="1">
        <v>3200</v>
      </c>
      <c r="BF18" s="1">
        <v>8</v>
      </c>
      <c r="BG18" s="1" t="s">
        <v>8</v>
      </c>
      <c r="BH18" s="1" t="s">
        <v>4</v>
      </c>
      <c r="BI18" s="6">
        <f t="shared" si="4"/>
        <v>3413.3333333333335</v>
      </c>
    </row>
    <row r="19" spans="53:63" x14ac:dyDescent="0.2">
      <c r="BA19" s="1">
        <v>9</v>
      </c>
      <c r="BB19" s="1" t="s">
        <v>8</v>
      </c>
      <c r="BC19" s="1" t="s">
        <v>5</v>
      </c>
      <c r="BD19" s="1">
        <v>4400</v>
      </c>
      <c r="BF19" s="1">
        <v>9</v>
      </c>
      <c r="BG19" s="1" t="s">
        <v>8</v>
      </c>
      <c r="BH19" s="1" t="s">
        <v>5</v>
      </c>
      <c r="BI19" s="6">
        <f t="shared" si="4"/>
        <v>4693.333333333333</v>
      </c>
    </row>
    <row r="21" spans="53:63" x14ac:dyDescent="0.2">
      <c r="BA21" t="s">
        <v>14</v>
      </c>
      <c r="BE21" t="s">
        <v>24</v>
      </c>
    </row>
    <row r="22" spans="53:63" x14ac:dyDescent="0.2">
      <c r="BA22" s="1" t="s">
        <v>15</v>
      </c>
      <c r="BB22" s="2" t="s">
        <v>16</v>
      </c>
      <c r="BC22" s="2" t="s">
        <v>31</v>
      </c>
      <c r="BE22" s="18" t="s">
        <v>11</v>
      </c>
      <c r="BF22" s="20" t="s">
        <v>6</v>
      </c>
      <c r="BG22" s="20"/>
      <c r="BH22" s="21" t="s">
        <v>7</v>
      </c>
      <c r="BI22" s="21"/>
      <c r="BJ22" s="20" t="s">
        <v>8</v>
      </c>
      <c r="BK22" s="20"/>
    </row>
    <row r="23" spans="53:63" x14ac:dyDescent="0.2">
      <c r="BA23" s="1" t="s">
        <v>17</v>
      </c>
      <c r="BB23" s="1">
        <v>1100</v>
      </c>
      <c r="BC23" s="1">
        <f>BB23*2</f>
        <v>2200</v>
      </c>
      <c r="BE23" s="18"/>
      <c r="BF23" s="3" t="s">
        <v>25</v>
      </c>
      <c r="BG23" s="3" t="s">
        <v>26</v>
      </c>
      <c r="BH23" s="3" t="s">
        <v>25</v>
      </c>
      <c r="BI23" s="3" t="s">
        <v>26</v>
      </c>
      <c r="BJ23" s="3" t="s">
        <v>25</v>
      </c>
      <c r="BK23" s="3" t="s">
        <v>26</v>
      </c>
    </row>
    <row r="24" spans="53:63" x14ac:dyDescent="0.2">
      <c r="BA24" s="1" t="s">
        <v>18</v>
      </c>
      <c r="BB24" s="1">
        <v>130</v>
      </c>
      <c r="BC24" s="1">
        <f>BB24*3</f>
        <v>390</v>
      </c>
      <c r="BE24" s="1" t="s">
        <v>3</v>
      </c>
      <c r="BF24" s="8">
        <f>BG5</f>
        <v>3200</v>
      </c>
      <c r="BG24" s="9">
        <f>BF24/SUM($BF$24:$BF$26)</f>
        <v>0.30303030303030304</v>
      </c>
      <c r="BH24" s="8">
        <f>BG6</f>
        <v>3520</v>
      </c>
      <c r="BI24" s="9">
        <f>BH24/SUM($BH$24:$BH$26)</f>
        <v>0.30841121495327106</v>
      </c>
      <c r="BJ24" s="8">
        <f>BG7</f>
        <v>4266.666666666667</v>
      </c>
      <c r="BK24" s="9">
        <f>BJ24/SUM($BJ$24:$BJ$26)</f>
        <v>0.3174603174603175</v>
      </c>
    </row>
    <row r="25" spans="53:63" x14ac:dyDescent="0.2">
      <c r="BA25" s="1" t="s">
        <v>19</v>
      </c>
      <c r="BB25" s="1">
        <v>40</v>
      </c>
      <c r="BC25" s="1">
        <f>BB25*4</f>
        <v>160</v>
      </c>
      <c r="BE25" s="1" t="s">
        <v>4</v>
      </c>
      <c r="BF25" s="8">
        <f>BH5</f>
        <v>2986.6666666666665</v>
      </c>
      <c r="BG25" s="9">
        <f>BF25/SUM($BF$24:$BF$26)</f>
        <v>0.28282828282828282</v>
      </c>
      <c r="BH25" s="8">
        <f>BH6</f>
        <v>3200</v>
      </c>
      <c r="BI25" s="9">
        <f>BH25/SUM($BH$24:$BH$26)</f>
        <v>0.28037383177570097</v>
      </c>
      <c r="BJ25" s="8">
        <f>BH7</f>
        <v>3840</v>
      </c>
      <c r="BK25" s="9">
        <f>BJ25/SUM($BJ$24:$BJ$26)</f>
        <v>0.2857142857142857</v>
      </c>
    </row>
    <row r="26" spans="53:63" x14ac:dyDescent="0.2">
      <c r="BA26" s="1" t="s">
        <v>20</v>
      </c>
      <c r="BB26" s="1">
        <v>6</v>
      </c>
      <c r="BC26" s="1">
        <f>BB26*5</f>
        <v>30</v>
      </c>
      <c r="BE26" s="1" t="s">
        <v>5</v>
      </c>
      <c r="BF26" s="8">
        <f>BI5</f>
        <v>4373.333333333333</v>
      </c>
      <c r="BG26" s="9">
        <f>BF26/SUM($BF$24:$BF$26)</f>
        <v>0.41414141414141409</v>
      </c>
      <c r="BH26" s="8">
        <f>BI6</f>
        <v>4693.333333333333</v>
      </c>
      <c r="BI26" s="9">
        <f>BH26/SUM($BH$24:$BH$26)</f>
        <v>0.41121495327102803</v>
      </c>
      <c r="BJ26" s="8">
        <f>BI7</f>
        <v>5333.333333333333</v>
      </c>
      <c r="BK26" s="9">
        <f>BJ26/SUM($BJ$24:$BJ$26)</f>
        <v>0.3968253968253968</v>
      </c>
    </row>
    <row r="27" spans="53:63" x14ac:dyDescent="0.2">
      <c r="BA27" s="2" t="s">
        <v>23</v>
      </c>
      <c r="BB27" s="1">
        <f>SUM(BB23:BB26)</f>
        <v>1276</v>
      </c>
      <c r="BC27" s="1">
        <f>SUM(BC23:BC26)</f>
        <v>2780</v>
      </c>
      <c r="BE27" s="2" t="s">
        <v>23</v>
      </c>
      <c r="BF27" s="8">
        <f>SUM(BF24:BF26)</f>
        <v>10560</v>
      </c>
      <c r="BG27" s="10">
        <f t="shared" ref="BG27:BK27" si="5">SUM(BG24:BG26)</f>
        <v>1</v>
      </c>
      <c r="BH27" s="8">
        <f t="shared" si="5"/>
        <v>11413.333333333332</v>
      </c>
      <c r="BI27" s="10">
        <f t="shared" si="5"/>
        <v>1</v>
      </c>
      <c r="BJ27" s="8">
        <f t="shared" si="5"/>
        <v>13440</v>
      </c>
      <c r="BK27" s="10">
        <f t="shared" si="5"/>
        <v>1</v>
      </c>
    </row>
    <row r="28" spans="53:63" x14ac:dyDescent="0.2">
      <c r="BA28" s="2" t="s">
        <v>32</v>
      </c>
      <c r="BB28" s="12">
        <f>BC27/BB27</f>
        <v>2.1786833855799372</v>
      </c>
      <c r="BC28" s="3"/>
    </row>
    <row r="30" spans="53:63" x14ac:dyDescent="0.2">
      <c r="BA30" s="5" t="s">
        <v>27</v>
      </c>
      <c r="BE30" s="19" t="s">
        <v>10</v>
      </c>
      <c r="BF30" s="18" t="s">
        <v>1</v>
      </c>
      <c r="BG30" s="18" t="s">
        <v>11</v>
      </c>
      <c r="BH30" s="15" t="s">
        <v>36</v>
      </c>
      <c r="BI30" s="16" t="s">
        <v>33</v>
      </c>
      <c r="BJ30" s="16" t="s">
        <v>34</v>
      </c>
      <c r="BK30" s="17" t="s">
        <v>35</v>
      </c>
    </row>
    <row r="31" spans="53:63" x14ac:dyDescent="0.2">
      <c r="BA31" s="18" t="s">
        <v>1</v>
      </c>
      <c r="BB31" s="15" t="s">
        <v>30</v>
      </c>
      <c r="BC31" s="15" t="s">
        <v>28</v>
      </c>
      <c r="BE31" s="19"/>
      <c r="BF31" s="18"/>
      <c r="BG31" s="18"/>
      <c r="BH31" s="15"/>
      <c r="BI31" s="16"/>
      <c r="BJ31" s="16"/>
      <c r="BK31" s="17"/>
    </row>
    <row r="32" spans="53:63" x14ac:dyDescent="0.2">
      <c r="BA32" s="18"/>
      <c r="BB32" s="15"/>
      <c r="BC32" s="15"/>
      <c r="BE32" s="1">
        <v>1</v>
      </c>
      <c r="BF32" s="1" t="s">
        <v>6</v>
      </c>
      <c r="BG32" s="1" t="s">
        <v>3</v>
      </c>
      <c r="BH32" s="6">
        <f t="shared" ref="BH32:BH40" si="6">BI11</f>
        <v>2026.6666666666667</v>
      </c>
      <c r="BI32" s="6">
        <f>BH32/BG24</f>
        <v>6688</v>
      </c>
      <c r="BJ32" s="6">
        <f>BI32*$BC$33</f>
        <v>7476.1481481481469</v>
      </c>
      <c r="BK32" s="13">
        <f>BJ32/$BB$28</f>
        <v>3431.4982147615237</v>
      </c>
    </row>
    <row r="33" spans="53:63" x14ac:dyDescent="0.2">
      <c r="BA33" s="1" t="s">
        <v>6</v>
      </c>
      <c r="BB33" s="6">
        <f>BF27</f>
        <v>10560</v>
      </c>
      <c r="BC33" s="14">
        <f>$BB$37/BB33</f>
        <v>1.1178451178451176</v>
      </c>
      <c r="BE33" s="1">
        <v>2</v>
      </c>
      <c r="BF33" s="1" t="s">
        <v>6</v>
      </c>
      <c r="BG33" s="1" t="s">
        <v>4</v>
      </c>
      <c r="BH33" s="6">
        <f t="shared" si="6"/>
        <v>2773.3333333333335</v>
      </c>
      <c r="BI33" s="6">
        <f>BH33/BG25</f>
        <v>9805.7142857142862</v>
      </c>
      <c r="BJ33" s="6">
        <f t="shared" ref="BJ33:BJ34" si="7">BI33*$BC$33</f>
        <v>10961.269841269839</v>
      </c>
      <c r="BK33" s="13">
        <f t="shared" ref="BK33:BK40" si="8">BJ33/$BB$28</f>
        <v>5031.1439990864446</v>
      </c>
    </row>
    <row r="34" spans="53:63" x14ac:dyDescent="0.2">
      <c r="BA34" s="1" t="s">
        <v>7</v>
      </c>
      <c r="BB34" s="6">
        <f>BH27</f>
        <v>11413.333333333332</v>
      </c>
      <c r="BC34" s="14">
        <f>$BB$37/BB34</f>
        <v>1.0342679127725858</v>
      </c>
      <c r="BE34" s="1">
        <v>3</v>
      </c>
      <c r="BF34" s="1" t="s">
        <v>6</v>
      </c>
      <c r="BG34" s="1" t="s">
        <v>5</v>
      </c>
      <c r="BH34" s="6">
        <f t="shared" si="6"/>
        <v>1600</v>
      </c>
      <c r="BI34" s="6">
        <f>BH34/BG26</f>
        <v>3863.414634146342</v>
      </c>
      <c r="BJ34" s="6">
        <f t="shared" si="7"/>
        <v>4318.6991869918693</v>
      </c>
      <c r="BK34" s="13">
        <f t="shared" si="8"/>
        <v>1982.2518570509444</v>
      </c>
    </row>
    <row r="35" spans="53:63" x14ac:dyDescent="0.2">
      <c r="BA35" s="1" t="s">
        <v>8</v>
      </c>
      <c r="BB35" s="6">
        <f>BJ27</f>
        <v>13440</v>
      </c>
      <c r="BC35" s="14">
        <f>$BB$37/BB35</f>
        <v>0.87830687830687826</v>
      </c>
      <c r="BE35" s="1">
        <v>4</v>
      </c>
      <c r="BF35" s="1" t="s">
        <v>7</v>
      </c>
      <c r="BG35" s="1" t="s">
        <v>3</v>
      </c>
      <c r="BH35" s="6">
        <f t="shared" si="6"/>
        <v>3200</v>
      </c>
      <c r="BI35" s="6">
        <f>BH35/BI24</f>
        <v>10375.757575757574</v>
      </c>
      <c r="BJ35" s="6">
        <f>BI35*$BC$34</f>
        <v>10731.313131313131</v>
      </c>
      <c r="BK35" s="13">
        <f t="shared" si="8"/>
        <v>4925.5955235811352</v>
      </c>
    </row>
    <row r="36" spans="53:63" x14ac:dyDescent="0.2">
      <c r="BA36" s="1" t="s">
        <v>23</v>
      </c>
      <c r="BB36" s="6">
        <f>SUM(BB33:BB35)</f>
        <v>35413.333333333328</v>
      </c>
      <c r="BC36" s="1"/>
      <c r="BE36" s="1">
        <v>5</v>
      </c>
      <c r="BF36" s="1" t="s">
        <v>7</v>
      </c>
      <c r="BG36" s="1" t="s">
        <v>4</v>
      </c>
      <c r="BH36" s="6">
        <f t="shared" si="6"/>
        <v>3840</v>
      </c>
      <c r="BI36" s="6">
        <f t="shared" ref="BI36:BI37" si="9">BH36/BI25</f>
        <v>13695.999999999998</v>
      </c>
      <c r="BJ36" s="6">
        <f t="shared" ref="BJ36:BJ37" si="10">BI36*$BC$34</f>
        <v>14165.333333333332</v>
      </c>
      <c r="BK36" s="13">
        <f t="shared" si="8"/>
        <v>6501.7860911270982</v>
      </c>
    </row>
    <row r="37" spans="53:63" x14ac:dyDescent="0.2">
      <c r="BA37" s="1" t="s">
        <v>29</v>
      </c>
      <c r="BB37" s="6">
        <f>AVERAGE(BB33:BB35)</f>
        <v>11804.444444444443</v>
      </c>
      <c r="BC37" s="1"/>
      <c r="BE37" s="1">
        <v>6</v>
      </c>
      <c r="BF37" s="1" t="s">
        <v>7</v>
      </c>
      <c r="BG37" s="1" t="s">
        <v>5</v>
      </c>
      <c r="BH37" s="6">
        <f t="shared" si="6"/>
        <v>5120</v>
      </c>
      <c r="BI37" s="6">
        <f t="shared" si="9"/>
        <v>12450.909090909092</v>
      </c>
      <c r="BJ37" s="6">
        <f t="shared" si="10"/>
        <v>12877.57575757576</v>
      </c>
      <c r="BK37" s="13">
        <f t="shared" si="8"/>
        <v>5910.7146282973636</v>
      </c>
    </row>
    <row r="38" spans="53:63" x14ac:dyDescent="0.2">
      <c r="BE38" s="1">
        <v>7</v>
      </c>
      <c r="BF38" s="1" t="s">
        <v>8</v>
      </c>
      <c r="BG38" s="1" t="s">
        <v>3</v>
      </c>
      <c r="BH38" s="6">
        <f t="shared" si="6"/>
        <v>3733.3333333333335</v>
      </c>
      <c r="BI38" s="6">
        <f>BH38/BK24</f>
        <v>11759.999999999998</v>
      </c>
      <c r="BJ38" s="6">
        <f>BI38*$BC$35</f>
        <v>10328.888888888887</v>
      </c>
      <c r="BK38" s="13">
        <f t="shared" si="8"/>
        <v>4740.8856914468415</v>
      </c>
    </row>
    <row r="39" spans="53:63" x14ac:dyDescent="0.2">
      <c r="BE39" s="1">
        <v>8</v>
      </c>
      <c r="BF39" s="1" t="s">
        <v>8</v>
      </c>
      <c r="BG39" s="1" t="s">
        <v>4</v>
      </c>
      <c r="BH39" s="6">
        <f t="shared" si="6"/>
        <v>3413.3333333333335</v>
      </c>
      <c r="BI39" s="6">
        <f t="shared" ref="BI39:BI40" si="11">BH39/BK25</f>
        <v>11946.666666666668</v>
      </c>
      <c r="BJ39" s="6">
        <f t="shared" ref="BJ39:BJ40" si="12">BI39*$BC$35</f>
        <v>10492.839506172841</v>
      </c>
      <c r="BK39" s="13">
        <f t="shared" si="8"/>
        <v>4816.1378452793324</v>
      </c>
    </row>
    <row r="40" spans="53:63" x14ac:dyDescent="0.2">
      <c r="BE40" s="1">
        <v>9</v>
      </c>
      <c r="BF40" s="1" t="s">
        <v>8</v>
      </c>
      <c r="BG40" s="1" t="s">
        <v>5</v>
      </c>
      <c r="BH40" s="6">
        <f t="shared" si="6"/>
        <v>4693.333333333333</v>
      </c>
      <c r="BI40" s="6">
        <f t="shared" si="11"/>
        <v>11827.2</v>
      </c>
      <c r="BJ40" s="6">
        <f t="shared" si="12"/>
        <v>10387.911111111111</v>
      </c>
      <c r="BK40" s="13">
        <f t="shared" si="8"/>
        <v>4767.9764668265389</v>
      </c>
    </row>
  </sheetData>
  <mergeCells count="18">
    <mergeCell ref="BJ22:BK22"/>
    <mergeCell ref="BA3:BA4"/>
    <mergeCell ref="BB3:BD3"/>
    <mergeCell ref="BF3:BF4"/>
    <mergeCell ref="BG3:BI3"/>
    <mergeCell ref="BE22:BE23"/>
    <mergeCell ref="BF22:BG22"/>
    <mergeCell ref="BH22:BI22"/>
    <mergeCell ref="BH30:BH31"/>
    <mergeCell ref="BI30:BI31"/>
    <mergeCell ref="BJ30:BJ31"/>
    <mergeCell ref="BK30:BK31"/>
    <mergeCell ref="BA31:BA32"/>
    <mergeCell ref="BB31:BB32"/>
    <mergeCell ref="BC31:BC32"/>
    <mergeCell ref="BE30:BE31"/>
    <mergeCell ref="BF30:BF31"/>
    <mergeCell ref="BG30:BG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BC024-A9C5-4E60-83EC-81BA4E0D1ACC}">
  <dimension ref="C2:N29"/>
  <sheetViews>
    <sheetView workbookViewId="0">
      <selection activeCell="K25" sqref="K25"/>
    </sheetView>
  </sheetViews>
  <sheetFormatPr baseColWidth="10" defaultColWidth="8.83203125" defaultRowHeight="15" x14ac:dyDescent="0.2"/>
  <cols>
    <col min="3" max="3" width="10.1640625" bestFit="1" customWidth="1"/>
    <col min="4" max="4" width="9.5" bestFit="1" customWidth="1"/>
  </cols>
  <sheetData>
    <row r="2" spans="3:14" x14ac:dyDescent="0.2">
      <c r="C2" s="18" t="s">
        <v>37</v>
      </c>
      <c r="D2" s="20" t="s">
        <v>1</v>
      </c>
      <c r="E2" s="20"/>
      <c r="F2" s="20"/>
      <c r="G2" s="20"/>
      <c r="H2" s="20"/>
      <c r="I2" s="20"/>
      <c r="J2" s="20"/>
    </row>
    <row r="3" spans="3:14" x14ac:dyDescent="0.2">
      <c r="C3" s="18"/>
      <c r="D3" s="3" t="s">
        <v>6</v>
      </c>
      <c r="E3" s="3" t="s">
        <v>7</v>
      </c>
      <c r="F3" s="3" t="s">
        <v>8</v>
      </c>
      <c r="G3" s="3" t="s">
        <v>43</v>
      </c>
      <c r="H3" s="3" t="s">
        <v>44</v>
      </c>
      <c r="I3" s="3" t="s">
        <v>45</v>
      </c>
      <c r="J3" s="3" t="s">
        <v>46</v>
      </c>
    </row>
    <row r="4" spans="3:14" x14ac:dyDescent="0.2">
      <c r="C4" s="3" t="s">
        <v>38</v>
      </c>
      <c r="D4" s="3">
        <v>2000</v>
      </c>
      <c r="E4" s="3">
        <v>2200</v>
      </c>
      <c r="F4" s="3">
        <v>2250</v>
      </c>
      <c r="G4" s="3">
        <v>2000</v>
      </c>
      <c r="H4" s="3">
        <v>1800</v>
      </c>
      <c r="I4" s="3">
        <v>1500</v>
      </c>
      <c r="J4" s="3">
        <v>950</v>
      </c>
    </row>
    <row r="5" spans="3:14" x14ac:dyDescent="0.2">
      <c r="C5" s="3" t="s">
        <v>39</v>
      </c>
      <c r="D5" s="3">
        <v>1900</v>
      </c>
      <c r="E5" s="3">
        <v>2080</v>
      </c>
      <c r="F5" s="3">
        <v>2110</v>
      </c>
      <c r="G5" s="3">
        <v>1890</v>
      </c>
      <c r="H5" s="3">
        <v>1750</v>
      </c>
      <c r="I5" s="3">
        <v>1400</v>
      </c>
      <c r="J5" s="3">
        <v>890</v>
      </c>
    </row>
    <row r="6" spans="3:14" x14ac:dyDescent="0.2">
      <c r="C6" s="3" t="s">
        <v>40</v>
      </c>
      <c r="D6" s="3">
        <v>1700</v>
      </c>
      <c r="E6" s="3">
        <v>1850</v>
      </c>
      <c r="F6" s="3">
        <v>1900</v>
      </c>
      <c r="G6" s="3">
        <v>1710</v>
      </c>
      <c r="H6" s="3">
        <v>1580</v>
      </c>
      <c r="I6" s="3">
        <v>1150</v>
      </c>
      <c r="J6" s="3">
        <v>800</v>
      </c>
    </row>
    <row r="7" spans="3:14" x14ac:dyDescent="0.2">
      <c r="C7" s="3" t="s">
        <v>41</v>
      </c>
      <c r="D7" s="3">
        <v>2100</v>
      </c>
      <c r="E7" s="3">
        <v>2270</v>
      </c>
      <c r="F7" s="3">
        <v>2300</v>
      </c>
      <c r="G7" s="3">
        <v>2050</v>
      </c>
      <c r="H7" s="3">
        <v>1800</v>
      </c>
      <c r="I7" s="3">
        <v>1550</v>
      </c>
      <c r="J7" s="3">
        <v>1010</v>
      </c>
    </row>
    <row r="8" spans="3:14" x14ac:dyDescent="0.2">
      <c r="C8" s="3" t="s">
        <v>23</v>
      </c>
      <c r="D8" s="3">
        <f>SUM(D4:D7)</f>
        <v>7700</v>
      </c>
      <c r="E8" s="3">
        <f t="shared" ref="E8:J8" si="0">SUM(E4:E7)</f>
        <v>8400</v>
      </c>
      <c r="F8" s="3">
        <f t="shared" si="0"/>
        <v>8560</v>
      </c>
      <c r="G8" s="3">
        <f t="shared" si="0"/>
        <v>7650</v>
      </c>
      <c r="H8" s="3">
        <f t="shared" si="0"/>
        <v>6930</v>
      </c>
      <c r="I8" s="3">
        <f t="shared" si="0"/>
        <v>5600</v>
      </c>
      <c r="J8" s="3">
        <f t="shared" si="0"/>
        <v>3650</v>
      </c>
      <c r="N8" s="7"/>
    </row>
    <row r="9" spans="3:14" x14ac:dyDescent="0.2">
      <c r="C9" s="3" t="s">
        <v>29</v>
      </c>
      <c r="D9" s="8">
        <f>AVERAGE(D4:D7)</f>
        <v>1925</v>
      </c>
      <c r="E9" s="8">
        <f t="shared" ref="E9:J9" si="1">AVERAGE(E4:E7)</f>
        <v>2100</v>
      </c>
      <c r="F9" s="8">
        <f t="shared" si="1"/>
        <v>2140</v>
      </c>
      <c r="G9" s="8">
        <f t="shared" si="1"/>
        <v>1912.5</v>
      </c>
      <c r="H9" s="8">
        <f t="shared" si="1"/>
        <v>1732.5</v>
      </c>
      <c r="I9" s="8">
        <f t="shared" si="1"/>
        <v>1400</v>
      </c>
      <c r="J9" s="8">
        <f t="shared" si="1"/>
        <v>912.5</v>
      </c>
    </row>
    <row r="10" spans="3:14" x14ac:dyDescent="0.2">
      <c r="C10" s="23" t="s">
        <v>42</v>
      </c>
      <c r="D10" s="24">
        <f>AVERAGE($D$9:$J$9)/D9</f>
        <v>0.89962894248608527</v>
      </c>
      <c r="E10" s="24">
        <f t="shared" ref="E10:J10" si="2">AVERAGE($D$9:$J$9)/E9</f>
        <v>0.82465986394557822</v>
      </c>
      <c r="F10" s="24">
        <f t="shared" si="2"/>
        <v>0.80924566088117489</v>
      </c>
      <c r="G10" s="24">
        <f t="shared" si="2"/>
        <v>0.90550887021475257</v>
      </c>
      <c r="H10" s="24">
        <f t="shared" si="2"/>
        <v>0.99958771387342815</v>
      </c>
      <c r="I10" s="24">
        <f t="shared" si="2"/>
        <v>1.2369897959183673</v>
      </c>
      <c r="J10" s="24">
        <f t="shared" si="2"/>
        <v>1.8978473581213307</v>
      </c>
    </row>
    <row r="14" spans="3:14" ht="15" customHeight="1" x14ac:dyDescent="0.2">
      <c r="C14" s="18" t="s">
        <v>37</v>
      </c>
      <c r="D14" s="15" t="s">
        <v>47</v>
      </c>
      <c r="E14" s="15"/>
      <c r="F14" s="25" t="s">
        <v>48</v>
      </c>
      <c r="G14" s="25"/>
    </row>
    <row r="15" spans="3:14" x14ac:dyDescent="0.2">
      <c r="C15" s="18"/>
      <c r="D15" s="15"/>
      <c r="E15" s="15"/>
      <c r="F15" s="25"/>
      <c r="G15" s="25"/>
    </row>
    <row r="16" spans="3:14" x14ac:dyDescent="0.2">
      <c r="C16" s="3" t="s">
        <v>38</v>
      </c>
      <c r="D16" s="20">
        <v>2250</v>
      </c>
      <c r="E16" s="20"/>
      <c r="F16" s="26">
        <f>AVERAGE($D$16:$E$27)/D16</f>
        <v>0.90370370370370368</v>
      </c>
      <c r="G16" s="26"/>
    </row>
    <row r="17" spans="3:7" x14ac:dyDescent="0.2">
      <c r="C17" s="3" t="s">
        <v>49</v>
      </c>
      <c r="D17" s="20">
        <v>2200</v>
      </c>
      <c r="E17" s="20"/>
      <c r="F17" s="26">
        <f t="shared" ref="F17:F27" si="3">AVERAGE($D$16:$E$27)/D17</f>
        <v>0.9242424242424242</v>
      </c>
      <c r="G17" s="26"/>
    </row>
    <row r="18" spans="3:7" x14ac:dyDescent="0.2">
      <c r="C18" s="3" t="s">
        <v>50</v>
      </c>
      <c r="D18" s="20">
        <v>2000</v>
      </c>
      <c r="E18" s="20"/>
      <c r="F18" s="26">
        <f t="shared" si="3"/>
        <v>1.0166666666666666</v>
      </c>
      <c r="G18" s="26"/>
    </row>
    <row r="19" spans="3:7" x14ac:dyDescent="0.2">
      <c r="C19" s="3" t="s">
        <v>39</v>
      </c>
      <c r="D19" s="20">
        <v>2100</v>
      </c>
      <c r="E19" s="20"/>
      <c r="F19" s="26">
        <f t="shared" si="3"/>
        <v>0.96825396825396826</v>
      </c>
      <c r="G19" s="26"/>
    </row>
    <row r="20" spans="3:7" x14ac:dyDescent="0.2">
      <c r="C20" s="3" t="s">
        <v>51</v>
      </c>
      <c r="D20" s="20">
        <v>1950</v>
      </c>
      <c r="E20" s="20"/>
      <c r="F20" s="26">
        <f t="shared" si="3"/>
        <v>1.0427350427350428</v>
      </c>
      <c r="G20" s="26"/>
    </row>
    <row r="21" spans="3:7" x14ac:dyDescent="0.2">
      <c r="C21" s="3" t="s">
        <v>52</v>
      </c>
      <c r="D21" s="20">
        <v>1850</v>
      </c>
      <c r="E21" s="20"/>
      <c r="F21" s="26">
        <f t="shared" si="3"/>
        <v>1.099099099099099</v>
      </c>
      <c r="G21" s="26"/>
    </row>
    <row r="22" spans="3:7" x14ac:dyDescent="0.2">
      <c r="C22" s="3" t="s">
        <v>40</v>
      </c>
      <c r="D22" s="20">
        <v>1800</v>
      </c>
      <c r="E22" s="20"/>
      <c r="F22" s="26">
        <f t="shared" si="3"/>
        <v>1.1296296296296295</v>
      </c>
      <c r="G22" s="26"/>
    </row>
    <row r="23" spans="3:7" x14ac:dyDescent="0.2">
      <c r="C23" s="3" t="s">
        <v>53</v>
      </c>
      <c r="D23" s="20">
        <v>1700</v>
      </c>
      <c r="E23" s="20"/>
      <c r="F23" s="26">
        <f t="shared" si="3"/>
        <v>1.196078431372549</v>
      </c>
      <c r="G23" s="26"/>
    </row>
    <row r="24" spans="3:7" x14ac:dyDescent="0.2">
      <c r="C24" s="3" t="s">
        <v>54</v>
      </c>
      <c r="D24" s="20">
        <v>2000</v>
      </c>
      <c r="E24" s="20"/>
      <c r="F24" s="26">
        <f t="shared" si="3"/>
        <v>1.0166666666666666</v>
      </c>
      <c r="G24" s="26"/>
    </row>
    <row r="25" spans="3:7" x14ac:dyDescent="0.2">
      <c r="C25" s="3" t="s">
        <v>41</v>
      </c>
      <c r="D25" s="20">
        <v>2100</v>
      </c>
      <c r="E25" s="20"/>
      <c r="F25" s="26">
        <f t="shared" si="3"/>
        <v>0.96825396825396826</v>
      </c>
      <c r="G25" s="26"/>
    </row>
    <row r="26" spans="3:7" x14ac:dyDescent="0.2">
      <c r="C26" s="3" t="s">
        <v>55</v>
      </c>
      <c r="D26" s="20">
        <v>2150</v>
      </c>
      <c r="E26" s="20"/>
      <c r="F26" s="26">
        <f t="shared" si="3"/>
        <v>0.94573643410852715</v>
      </c>
      <c r="G26" s="26"/>
    </row>
    <row r="27" spans="3:7" x14ac:dyDescent="0.2">
      <c r="C27" s="3" t="s">
        <v>56</v>
      </c>
      <c r="D27" s="20">
        <v>2300</v>
      </c>
      <c r="E27" s="20"/>
      <c r="F27" s="26">
        <f t="shared" si="3"/>
        <v>0.88405797101449268</v>
      </c>
      <c r="G27" s="26"/>
    </row>
    <row r="28" spans="3:7" x14ac:dyDescent="0.2">
      <c r="C28" s="3" t="s">
        <v>23</v>
      </c>
      <c r="D28" s="20">
        <f>SUM(D16:D27)</f>
        <v>24400</v>
      </c>
      <c r="E28" s="20"/>
      <c r="F28" s="3"/>
      <c r="G28" s="3"/>
    </row>
    <row r="29" spans="3:7" x14ac:dyDescent="0.2">
      <c r="C29" s="3" t="s">
        <v>29</v>
      </c>
      <c r="D29" s="27">
        <f>AVERAGE(D16:D27)</f>
        <v>2033.3333333333333</v>
      </c>
      <c r="E29" s="27"/>
      <c r="F29" s="3"/>
      <c r="G29" s="3"/>
    </row>
  </sheetData>
  <mergeCells count="31">
    <mergeCell ref="D26:E26"/>
    <mergeCell ref="D27:E27"/>
    <mergeCell ref="D28:E28"/>
    <mergeCell ref="D29:E29"/>
    <mergeCell ref="F16:G16"/>
    <mergeCell ref="F17:G17"/>
    <mergeCell ref="F18:G18"/>
    <mergeCell ref="F19:G19"/>
    <mergeCell ref="F20:G20"/>
    <mergeCell ref="F21:G21"/>
    <mergeCell ref="F27:G27"/>
    <mergeCell ref="F22:G22"/>
    <mergeCell ref="F23:G23"/>
    <mergeCell ref="F24:G24"/>
    <mergeCell ref="F25:G25"/>
    <mergeCell ref="F26:G26"/>
    <mergeCell ref="D21:E21"/>
    <mergeCell ref="D22:E22"/>
    <mergeCell ref="D23:E23"/>
    <mergeCell ref="D24:E24"/>
    <mergeCell ref="D25:E25"/>
    <mergeCell ref="D16:E16"/>
    <mergeCell ref="D17:E17"/>
    <mergeCell ref="D18:E18"/>
    <mergeCell ref="D19:E19"/>
    <mergeCell ref="D20:E20"/>
    <mergeCell ref="D2:J2"/>
    <mergeCell ref="C2:C3"/>
    <mergeCell ref="C14:C15"/>
    <mergeCell ref="D14:E15"/>
    <mergeCell ref="F14:G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C6B90-1015-45AC-BCFE-8FCA5A47D1C3}">
  <dimension ref="A4:AX60"/>
  <sheetViews>
    <sheetView tabSelected="1" topLeftCell="T20" zoomScale="108" zoomScaleNormal="144" workbookViewId="0">
      <selection activeCell="AB44" sqref="AB44"/>
    </sheetView>
  </sheetViews>
  <sheetFormatPr baseColWidth="10" defaultColWidth="8.83203125" defaultRowHeight="15" x14ac:dyDescent="0.2"/>
  <cols>
    <col min="3" max="3" width="14.1640625" bestFit="1" customWidth="1"/>
    <col min="4" max="5" width="11.33203125" bestFit="1" customWidth="1"/>
    <col min="6" max="6" width="12.1640625" bestFit="1" customWidth="1"/>
    <col min="7" max="7" width="12.83203125" bestFit="1" customWidth="1"/>
    <col min="8" max="8" width="10" bestFit="1" customWidth="1"/>
    <col min="9" max="9" width="11.83203125" customWidth="1"/>
    <col min="19" max="19" width="10.6640625" customWidth="1"/>
    <col min="20" max="20" width="10.33203125" customWidth="1"/>
  </cols>
  <sheetData>
    <row r="4" spans="1:22" x14ac:dyDescent="0.2">
      <c r="A4" t="s">
        <v>64</v>
      </c>
      <c r="B4" s="3" t="s">
        <v>65</v>
      </c>
      <c r="C4" s="1" t="s">
        <v>66</v>
      </c>
      <c r="D4" s="1" t="s">
        <v>57</v>
      </c>
      <c r="E4" s="1" t="s">
        <v>58</v>
      </c>
      <c r="F4" s="1" t="s">
        <v>59</v>
      </c>
      <c r="G4" s="1" t="s">
        <v>60</v>
      </c>
      <c r="H4" s="1" t="s">
        <v>61</v>
      </c>
      <c r="I4" s="1" t="s">
        <v>62</v>
      </c>
    </row>
    <row r="5" spans="1:22" x14ac:dyDescent="0.2">
      <c r="B5" s="3">
        <v>15</v>
      </c>
      <c r="C5" s="3">
        <v>20</v>
      </c>
      <c r="D5" s="1">
        <v>0</v>
      </c>
      <c r="E5" s="3">
        <v>17.5</v>
      </c>
      <c r="F5" s="9">
        <f>D5/$D$15</f>
        <v>0</v>
      </c>
      <c r="G5" s="32">
        <f>F5</f>
        <v>0</v>
      </c>
      <c r="H5" s="8">
        <f>D5*E5</f>
        <v>0</v>
      </c>
      <c r="I5" s="8">
        <f>D5*E5^2</f>
        <v>0</v>
      </c>
    </row>
    <row r="6" spans="1:22" x14ac:dyDescent="0.2">
      <c r="B6" s="3">
        <v>20</v>
      </c>
      <c r="C6" s="3">
        <v>25</v>
      </c>
      <c r="D6" s="1">
        <v>4</v>
      </c>
      <c r="E6" s="3">
        <v>22.5</v>
      </c>
      <c r="F6" s="9">
        <f t="shared" ref="F6:F14" si="0">D6/$D$15</f>
        <v>2.3668639053254437E-2</v>
      </c>
      <c r="G6" s="32">
        <f>SUM(F5:F6)</f>
        <v>2.3668639053254437E-2</v>
      </c>
      <c r="H6" s="8">
        <f>D6*E6</f>
        <v>90</v>
      </c>
      <c r="I6" s="8">
        <f t="shared" ref="I6:I14" si="1">D6*E6^2</f>
        <v>2025</v>
      </c>
    </row>
    <row r="7" spans="1:22" x14ac:dyDescent="0.2">
      <c r="B7" s="3">
        <v>25</v>
      </c>
      <c r="C7" s="3">
        <v>30</v>
      </c>
      <c r="D7" s="1">
        <v>9</v>
      </c>
      <c r="E7" s="3">
        <v>27.5</v>
      </c>
      <c r="F7" s="9">
        <f t="shared" si="0"/>
        <v>5.3254437869822487E-2</v>
      </c>
      <c r="G7" s="32">
        <f>SUM(F5:F7)</f>
        <v>7.6923076923076927E-2</v>
      </c>
      <c r="H7" s="8">
        <f>E7*D7</f>
        <v>247.5</v>
      </c>
      <c r="I7" s="8">
        <f t="shared" si="1"/>
        <v>6806.25</v>
      </c>
      <c r="R7" t="s">
        <v>75</v>
      </c>
      <c r="S7" s="20" t="s">
        <v>67</v>
      </c>
      <c r="T7" s="20"/>
      <c r="U7" s="23" t="s">
        <v>73</v>
      </c>
      <c r="V7" t="s">
        <v>72</v>
      </c>
    </row>
    <row r="8" spans="1:22" x14ac:dyDescent="0.2">
      <c r="B8" s="3">
        <v>30</v>
      </c>
      <c r="C8" s="3">
        <v>35</v>
      </c>
      <c r="D8" s="1">
        <v>18</v>
      </c>
      <c r="E8" s="3">
        <v>32.5</v>
      </c>
      <c r="F8" s="9">
        <f t="shared" si="0"/>
        <v>0.10650887573964497</v>
      </c>
      <c r="G8" s="32">
        <f>SUM(F5:F8)</f>
        <v>0.18343195266272189</v>
      </c>
      <c r="H8" s="8">
        <f t="shared" ref="H8:H14" si="2">E8*D8</f>
        <v>585</v>
      </c>
      <c r="I8" s="8">
        <f t="shared" si="1"/>
        <v>19012.5</v>
      </c>
      <c r="S8" s="20" t="s">
        <v>68</v>
      </c>
      <c r="T8" s="20"/>
      <c r="U8" s="23" t="s">
        <v>74</v>
      </c>
      <c r="V8" t="s">
        <v>72</v>
      </c>
    </row>
    <row r="9" spans="1:22" x14ac:dyDescent="0.2">
      <c r="B9" s="3">
        <v>35</v>
      </c>
      <c r="C9" s="3">
        <v>40</v>
      </c>
      <c r="D9" s="1">
        <v>35</v>
      </c>
      <c r="E9" s="3">
        <v>37.5</v>
      </c>
      <c r="F9" s="9">
        <f t="shared" si="0"/>
        <v>0.20710059171597633</v>
      </c>
      <c r="G9" s="32">
        <f>SUM(F5:F9)</f>
        <v>0.39053254437869822</v>
      </c>
      <c r="H9" s="8">
        <f t="shared" si="2"/>
        <v>1312.5</v>
      </c>
      <c r="I9" s="8">
        <f t="shared" si="1"/>
        <v>49218.75</v>
      </c>
      <c r="S9" s="20" t="s">
        <v>69</v>
      </c>
      <c r="T9" s="20"/>
      <c r="U9" s="23" t="s">
        <v>71</v>
      </c>
      <c r="V9" t="s">
        <v>72</v>
      </c>
    </row>
    <row r="10" spans="1:22" x14ac:dyDescent="0.2">
      <c r="B10" s="3">
        <v>40</v>
      </c>
      <c r="C10" s="3">
        <v>45</v>
      </c>
      <c r="D10" s="1">
        <v>42</v>
      </c>
      <c r="E10" s="3">
        <v>42.5</v>
      </c>
      <c r="F10" s="9">
        <f t="shared" si="0"/>
        <v>0.24852071005917159</v>
      </c>
      <c r="G10" s="32">
        <f>SUM(F5:F10)</f>
        <v>0.63905325443786976</v>
      </c>
      <c r="H10" s="8">
        <f t="shared" si="2"/>
        <v>1785</v>
      </c>
      <c r="I10" s="8">
        <f t="shared" si="1"/>
        <v>75862.5</v>
      </c>
      <c r="S10" s="20" t="s">
        <v>70</v>
      </c>
      <c r="T10" s="20"/>
      <c r="U10" s="38">
        <v>0.46</v>
      </c>
      <c r="V10" t="s">
        <v>72</v>
      </c>
    </row>
    <row r="11" spans="1:22" x14ac:dyDescent="0.2">
      <c r="B11" s="3">
        <v>45</v>
      </c>
      <c r="C11" s="3">
        <v>50</v>
      </c>
      <c r="D11" s="1">
        <v>32</v>
      </c>
      <c r="E11" s="3">
        <v>47.5</v>
      </c>
      <c r="F11" s="9">
        <f t="shared" si="0"/>
        <v>0.1893491124260355</v>
      </c>
      <c r="G11" s="32">
        <f>SUM(F5:F11)</f>
        <v>0.82840236686390523</v>
      </c>
      <c r="H11" s="8">
        <f t="shared" si="2"/>
        <v>1520</v>
      </c>
      <c r="I11" s="8">
        <f t="shared" si="1"/>
        <v>72200</v>
      </c>
    </row>
    <row r="12" spans="1:22" x14ac:dyDescent="0.2">
      <c r="B12" s="3">
        <v>50</v>
      </c>
      <c r="C12" s="3">
        <v>55</v>
      </c>
      <c r="D12" s="1">
        <v>20</v>
      </c>
      <c r="E12" s="3">
        <v>52.5</v>
      </c>
      <c r="F12" s="9">
        <f t="shared" si="0"/>
        <v>0.11834319526627218</v>
      </c>
      <c r="G12" s="32">
        <f>SUM(F5:F12)</f>
        <v>0.94674556213017746</v>
      </c>
      <c r="H12" s="8">
        <f t="shared" si="2"/>
        <v>1050</v>
      </c>
      <c r="I12" s="8">
        <f t="shared" si="1"/>
        <v>55125</v>
      </c>
    </row>
    <row r="13" spans="1:22" x14ac:dyDescent="0.2">
      <c r="B13" s="3">
        <v>55</v>
      </c>
      <c r="C13" s="3">
        <v>60</v>
      </c>
      <c r="D13" s="1">
        <v>9</v>
      </c>
      <c r="E13" s="3">
        <v>57.5</v>
      </c>
      <c r="F13" s="9">
        <f t="shared" si="0"/>
        <v>5.3254437869822487E-2</v>
      </c>
      <c r="G13" s="32">
        <f>SUM(F5:F13)</f>
        <v>1</v>
      </c>
      <c r="H13" s="8">
        <f t="shared" si="2"/>
        <v>517.5</v>
      </c>
      <c r="I13" s="8">
        <f t="shared" si="1"/>
        <v>29756.25</v>
      </c>
      <c r="R13" t="s">
        <v>76</v>
      </c>
      <c r="S13" s="20" t="s">
        <v>77</v>
      </c>
      <c r="T13" s="20"/>
      <c r="U13" s="24">
        <f>H15/D15</f>
        <v>42.056213017751482</v>
      </c>
      <c r="V13" s="11"/>
    </row>
    <row r="14" spans="1:22" x14ac:dyDescent="0.2">
      <c r="B14" s="3">
        <v>60</v>
      </c>
      <c r="C14" s="37">
        <v>65</v>
      </c>
      <c r="D14" s="1">
        <v>0</v>
      </c>
      <c r="E14" s="3">
        <v>62.5</v>
      </c>
      <c r="F14" s="9">
        <f t="shared" si="0"/>
        <v>0</v>
      </c>
      <c r="G14" s="32">
        <f>SUM(F5:F14)</f>
        <v>1</v>
      </c>
      <c r="H14" s="8">
        <f t="shared" si="2"/>
        <v>0</v>
      </c>
      <c r="I14" s="8">
        <f t="shared" si="1"/>
        <v>0</v>
      </c>
      <c r="S14" s="20" t="s">
        <v>78</v>
      </c>
      <c r="T14" s="20"/>
      <c r="U14" s="24">
        <f>SQRT((I15-(D15*(U13^2)))/(D15-1))</f>
        <v>8.1253996152025696</v>
      </c>
      <c r="V14" s="11"/>
    </row>
    <row r="15" spans="1:22" x14ac:dyDescent="0.2">
      <c r="C15" s="28" t="s">
        <v>63</v>
      </c>
      <c r="D15" s="29">
        <f>SUM(D5:D14)</f>
        <v>169</v>
      </c>
      <c r="F15" s="30">
        <f t="shared" ref="F15:I15" si="3">SUM(F5:F14)</f>
        <v>1</v>
      </c>
      <c r="H15" s="31">
        <f t="shared" si="3"/>
        <v>7107.5</v>
      </c>
      <c r="I15" s="31">
        <f t="shared" si="3"/>
        <v>310006.25</v>
      </c>
      <c r="U15" s="11"/>
      <c r="V15" s="11"/>
    </row>
    <row r="16" spans="1:22" x14ac:dyDescent="0.2">
      <c r="U16" s="11"/>
      <c r="V16" s="11"/>
    </row>
    <row r="17" spans="18:31" x14ac:dyDescent="0.2">
      <c r="R17" t="s">
        <v>79</v>
      </c>
      <c r="S17" s="20" t="s">
        <v>80</v>
      </c>
      <c r="T17" s="20"/>
      <c r="U17" s="24">
        <f>U14/SQRT(D15)</f>
        <v>0.62503073963096689</v>
      </c>
      <c r="V17" s="24"/>
    </row>
    <row r="18" spans="18:31" x14ac:dyDescent="0.2">
      <c r="S18" s="20" t="s">
        <v>81</v>
      </c>
      <c r="T18" s="20"/>
      <c r="U18" s="24">
        <f>U13-1.96*U17</f>
        <v>40.831152768074787</v>
      </c>
      <c r="V18" s="24">
        <f>U13+1.96*U17</f>
        <v>43.281273267428176</v>
      </c>
    </row>
    <row r="19" spans="18:31" x14ac:dyDescent="0.2">
      <c r="S19" s="20" t="s">
        <v>82</v>
      </c>
      <c r="T19" s="20"/>
      <c r="U19" s="24">
        <f>U13-3*U17</f>
        <v>40.181120798858579</v>
      </c>
      <c r="V19" s="24">
        <f>U13+3*U17</f>
        <v>43.931305236644384</v>
      </c>
    </row>
    <row r="22" spans="18:31" x14ac:dyDescent="0.2">
      <c r="R22" t="s">
        <v>83</v>
      </c>
      <c r="S22" s="21" t="s">
        <v>84</v>
      </c>
      <c r="T22" s="21"/>
      <c r="U22" s="23">
        <f>(3.84*U14^2)/((0.8^2))</f>
        <v>396.1327134404043</v>
      </c>
      <c r="V22" s="33" t="s">
        <v>85</v>
      </c>
      <c r="W22" s="22"/>
    </row>
    <row r="25" spans="18:31" x14ac:dyDescent="0.2">
      <c r="R25" t="s">
        <v>86</v>
      </c>
      <c r="S25" t="s">
        <v>87</v>
      </c>
    </row>
    <row r="27" spans="18:31" x14ac:dyDescent="0.2">
      <c r="S27" s="20" t="s">
        <v>88</v>
      </c>
      <c r="T27" s="20"/>
      <c r="U27" s="34" t="s">
        <v>93</v>
      </c>
      <c r="V27" s="34" t="s">
        <v>92</v>
      </c>
      <c r="W27" s="34" t="s">
        <v>91</v>
      </c>
      <c r="X27" s="34" t="s">
        <v>94</v>
      </c>
      <c r="Y27" s="34" t="s">
        <v>95</v>
      </c>
      <c r="Z27" s="34" t="s">
        <v>96</v>
      </c>
      <c r="AA27" s="34" t="s">
        <v>97</v>
      </c>
      <c r="AB27" s="34" t="s">
        <v>98</v>
      </c>
      <c r="AD27" s="3" t="s">
        <v>99</v>
      </c>
      <c r="AE27" s="3" t="s">
        <v>101</v>
      </c>
    </row>
    <row r="28" spans="18:31" x14ac:dyDescent="0.2">
      <c r="S28" s="3" t="s">
        <v>89</v>
      </c>
      <c r="T28" s="3" t="s">
        <v>90</v>
      </c>
      <c r="U28" s="34"/>
      <c r="V28" s="34"/>
      <c r="W28" s="34"/>
      <c r="X28" s="34"/>
      <c r="Y28" s="34"/>
      <c r="Z28" s="34"/>
      <c r="AA28" s="34"/>
      <c r="AB28" s="34"/>
      <c r="AD28" s="3">
        <v>0.95</v>
      </c>
      <c r="AE28" s="3">
        <v>0.7107</v>
      </c>
    </row>
    <row r="29" spans="18:31" x14ac:dyDescent="0.2">
      <c r="S29" s="3">
        <v>20</v>
      </c>
      <c r="T29" s="3">
        <v>60</v>
      </c>
      <c r="U29" s="1">
        <v>0</v>
      </c>
      <c r="V29" s="35">
        <f>(S29-$U$13)/$U$14</f>
        <v>-2.7144773257040122</v>
      </c>
      <c r="W29" s="40">
        <f>_xlfn.NORM.S.DIST(V29,TRUE)</f>
        <v>3.3190222154592772E-3</v>
      </c>
      <c r="X29" s="39">
        <f>W29</f>
        <v>3.3190222154592772E-3</v>
      </c>
      <c r="Y29" s="8">
        <f>X29*$D$15</f>
        <v>0.56091475441261784</v>
      </c>
      <c r="Z29" s="3"/>
      <c r="AA29" s="8"/>
      <c r="AB29" s="3"/>
      <c r="AD29" s="3" t="s">
        <v>100</v>
      </c>
      <c r="AE29" s="3">
        <f>AB39</f>
        <v>0.78285834754989558</v>
      </c>
    </row>
    <row r="30" spans="18:31" x14ac:dyDescent="0.2">
      <c r="S30" s="3">
        <v>25</v>
      </c>
      <c r="T30" s="3">
        <v>55</v>
      </c>
      <c r="U30" s="1">
        <v>4</v>
      </c>
      <c r="V30" s="35">
        <f t="shared" ref="V30:V38" si="4">(S30-$U$13)/$U$14</f>
        <v>-2.0991229755444172</v>
      </c>
      <c r="W30" s="40">
        <f t="shared" ref="W30:W38" si="5">_xlfn.NORM.S.DIST(V30,TRUE)</f>
        <v>1.7903030791495033E-2</v>
      </c>
      <c r="X30" s="39">
        <f>W30-W29</f>
        <v>1.4584008576035756E-2</v>
      </c>
      <c r="Y30" s="8">
        <f t="shared" ref="Y30:Y38" si="6">X30*$D$15</f>
        <v>2.4646974493500426</v>
      </c>
      <c r="Z30" s="3"/>
      <c r="AA30" s="8"/>
      <c r="AB30" s="3"/>
      <c r="AD30" s="3">
        <v>0.9</v>
      </c>
      <c r="AE30" s="3">
        <v>1.0640000000000001</v>
      </c>
    </row>
    <row r="31" spans="18:31" x14ac:dyDescent="0.2">
      <c r="S31" s="3">
        <v>30</v>
      </c>
      <c r="T31" s="3">
        <v>50</v>
      </c>
      <c r="U31" s="1">
        <v>9</v>
      </c>
      <c r="V31" s="35">
        <f t="shared" si="4"/>
        <v>-1.4837686253848223</v>
      </c>
      <c r="W31" s="40">
        <f t="shared" si="5"/>
        <v>6.893515663003047E-2</v>
      </c>
      <c r="X31" s="39">
        <f t="shared" ref="X31:X38" si="7">W31-W30</f>
        <v>5.1032125838535433E-2</v>
      </c>
      <c r="Y31" s="8">
        <f t="shared" si="6"/>
        <v>8.6244292667124878</v>
      </c>
      <c r="Z31" s="3">
        <v>13</v>
      </c>
      <c r="AA31" s="8">
        <f>SUM(Y29:Y31)</f>
        <v>11.650041470475148</v>
      </c>
      <c r="AB31" s="3">
        <f>((Z31-AA31)^2)/AA31</f>
        <v>0.15642760036995587</v>
      </c>
    </row>
    <row r="32" spans="18:31" x14ac:dyDescent="0.2">
      <c r="S32" s="3">
        <v>35</v>
      </c>
      <c r="T32" s="3">
        <v>45</v>
      </c>
      <c r="U32" s="1">
        <v>18</v>
      </c>
      <c r="V32" s="35">
        <f t="shared" si="4"/>
        <v>-0.86841427522522752</v>
      </c>
      <c r="W32" s="40">
        <f t="shared" si="5"/>
        <v>0.19258379140256363</v>
      </c>
      <c r="X32" s="39">
        <f t="shared" si="7"/>
        <v>0.12364863477253316</v>
      </c>
      <c r="Y32" s="8">
        <f t="shared" si="6"/>
        <v>20.896619276558102</v>
      </c>
      <c r="Z32" s="3">
        <f>U32</f>
        <v>18</v>
      </c>
      <c r="AA32" s="8">
        <f>Y32</f>
        <v>20.896619276558102</v>
      </c>
      <c r="AB32" s="3">
        <f t="shared" ref="AB32:AB37" si="8">((Z32-AA32)^2)/AA32</f>
        <v>0.40151964881421581</v>
      </c>
      <c r="AD32" s="23" t="s">
        <v>102</v>
      </c>
      <c r="AE32" s="23">
        <f>AD30+(AD28-AD30)*((AE30-AE29)/(AE30-AE28))</f>
        <v>0.93978794968158852</v>
      </c>
    </row>
    <row r="33" spans="19:50" x14ac:dyDescent="0.2">
      <c r="S33" s="3">
        <v>40</v>
      </c>
      <c r="T33" s="3">
        <v>40</v>
      </c>
      <c r="U33" s="1">
        <v>35</v>
      </c>
      <c r="V33" s="35">
        <f t="shared" si="4"/>
        <v>-0.25305992506563252</v>
      </c>
      <c r="W33" s="40">
        <f t="shared" si="5"/>
        <v>0.40011095313785755</v>
      </c>
      <c r="X33" s="39">
        <f t="shared" si="7"/>
        <v>0.20752716173529392</v>
      </c>
      <c r="Y33" s="8">
        <f t="shared" si="6"/>
        <v>35.072090333264676</v>
      </c>
      <c r="Z33" s="3">
        <f>U33</f>
        <v>35</v>
      </c>
      <c r="AA33" s="8">
        <f t="shared" ref="AA33:AA37" si="9">Y33</f>
        <v>35.072090333264676</v>
      </c>
      <c r="AB33" s="3">
        <f t="shared" si="8"/>
        <v>1.4818096386125021E-4</v>
      </c>
    </row>
    <row r="34" spans="19:50" x14ac:dyDescent="0.2">
      <c r="S34" s="3">
        <v>45</v>
      </c>
      <c r="T34" s="3">
        <v>35</v>
      </c>
      <c r="U34" s="1">
        <v>42</v>
      </c>
      <c r="V34" s="35">
        <f t="shared" si="4"/>
        <v>0.36229442509396242</v>
      </c>
      <c r="W34" s="40">
        <f t="shared" si="5"/>
        <v>0.64143398812533947</v>
      </c>
      <c r="X34" s="39">
        <f t="shared" si="7"/>
        <v>0.24132303498748192</v>
      </c>
      <c r="Y34" s="8">
        <f t="shared" si="6"/>
        <v>40.783592912884444</v>
      </c>
      <c r="Z34" s="3">
        <f>U34</f>
        <v>42</v>
      </c>
      <c r="AA34" s="8">
        <f t="shared" si="9"/>
        <v>40.783592912884444</v>
      </c>
      <c r="AB34" s="3">
        <f t="shared" si="8"/>
        <v>3.6280427885437685E-2</v>
      </c>
    </row>
    <row r="35" spans="19:50" x14ac:dyDescent="0.2">
      <c r="S35" s="3">
        <v>50</v>
      </c>
      <c r="T35" s="3">
        <v>30</v>
      </c>
      <c r="U35" s="1">
        <v>32</v>
      </c>
      <c r="V35" s="35">
        <f t="shared" si="4"/>
        <v>0.97764877525355731</v>
      </c>
      <c r="W35" s="40">
        <f t="shared" si="5"/>
        <v>0.83587596754324955</v>
      </c>
      <c r="X35" s="39">
        <f t="shared" si="7"/>
        <v>0.19444197941791008</v>
      </c>
      <c r="Y35" s="8">
        <f t="shared" si="6"/>
        <v>32.860694521626804</v>
      </c>
      <c r="Z35" s="3">
        <f>U35</f>
        <v>32</v>
      </c>
      <c r="AA35" s="8">
        <f t="shared" si="9"/>
        <v>32.860694521626804</v>
      </c>
      <c r="AB35" s="3">
        <f t="shared" si="8"/>
        <v>2.2543499775114308E-2</v>
      </c>
    </row>
    <row r="36" spans="19:50" x14ac:dyDescent="0.2">
      <c r="S36" s="3">
        <v>55</v>
      </c>
      <c r="T36" s="3">
        <v>25</v>
      </c>
      <c r="U36" s="1">
        <v>20</v>
      </c>
      <c r="V36" s="35">
        <f t="shared" si="4"/>
        <v>1.5930031254131523</v>
      </c>
      <c r="W36" s="40">
        <f t="shared" si="5"/>
        <v>0.94442025504548988</v>
      </c>
      <c r="X36" s="39">
        <f t="shared" si="7"/>
        <v>0.10854428750224032</v>
      </c>
      <c r="Y36" s="8">
        <f t="shared" si="6"/>
        <v>18.343984587878616</v>
      </c>
      <c r="Z36" s="3">
        <v>20</v>
      </c>
      <c r="AA36" s="8">
        <f t="shared" si="9"/>
        <v>18.343984587878616</v>
      </c>
      <c r="AB36" s="3">
        <f t="shared" si="8"/>
        <v>0.14949789300388308</v>
      </c>
    </row>
    <row r="37" spans="19:50" x14ac:dyDescent="0.2">
      <c r="S37" s="3">
        <v>60</v>
      </c>
      <c r="T37" s="3">
        <v>20</v>
      </c>
      <c r="U37" s="1">
        <v>9</v>
      </c>
      <c r="V37" s="35">
        <f t="shared" si="4"/>
        <v>2.2083574755727473</v>
      </c>
      <c r="W37" s="40">
        <f t="shared" si="5"/>
        <v>0.98639031816490164</v>
      </c>
      <c r="X37" s="39">
        <f t="shared" si="7"/>
        <v>4.197006311941176E-2</v>
      </c>
      <c r="Y37" s="8">
        <f t="shared" si="6"/>
        <v>7.0929406671805877</v>
      </c>
      <c r="Z37" s="3">
        <v>9</v>
      </c>
      <c r="AA37" s="8">
        <f>SUM(Y37:Y38)</f>
        <v>9.3929768973122112</v>
      </c>
      <c r="AB37" s="3">
        <f t="shared" si="8"/>
        <v>1.6441096737427552E-2</v>
      </c>
    </row>
    <row r="38" spans="19:50" x14ac:dyDescent="0.2">
      <c r="S38" s="3">
        <v>65</v>
      </c>
      <c r="T38" s="3">
        <v>15</v>
      </c>
      <c r="U38" s="1">
        <v>0</v>
      </c>
      <c r="V38" s="35">
        <f t="shared" si="4"/>
        <v>2.8237118257323424</v>
      </c>
      <c r="W38" s="40">
        <f t="shared" si="5"/>
        <v>0.9976264477212724</v>
      </c>
      <c r="X38" s="39">
        <f>1-W37</f>
        <v>1.3609681835098364E-2</v>
      </c>
      <c r="Y38" s="8">
        <f t="shared" si="6"/>
        <v>2.3000362301316235</v>
      </c>
      <c r="Z38" s="3"/>
      <c r="AA38" s="3"/>
      <c r="AB38" s="3"/>
    </row>
    <row r="39" spans="19:50" x14ac:dyDescent="0.2">
      <c r="X39" s="23">
        <f>SUM(X29:X38)</f>
        <v>1</v>
      </c>
      <c r="Y39" s="36">
        <f>SUM(Y29:Y38)</f>
        <v>169</v>
      </c>
      <c r="Z39" s="23">
        <f>SUM(Z29:Z38)</f>
        <v>169</v>
      </c>
      <c r="AA39" s="36">
        <f>SUM(AA29:AA38)</f>
        <v>169.00000000000003</v>
      </c>
      <c r="AB39" s="23">
        <f>SUM(AB29:AB38)</f>
        <v>0.78285834754989558</v>
      </c>
    </row>
    <row r="40" spans="19:50" x14ac:dyDescent="0.2">
      <c r="AB40" t="s">
        <v>103</v>
      </c>
      <c r="AE40" s="45"/>
      <c r="AF40" s="45"/>
      <c r="AG40" s="45"/>
      <c r="AH40" s="45"/>
      <c r="AI40" s="45"/>
      <c r="AJ40" s="45"/>
      <c r="AK40" s="45"/>
      <c r="AL40" s="45"/>
      <c r="AM40" s="45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</row>
    <row r="41" spans="19:50" x14ac:dyDescent="0.2">
      <c r="S41" s="41"/>
      <c r="T41" s="41"/>
      <c r="U41" s="42"/>
      <c r="V41" s="43"/>
      <c r="W41" s="41"/>
      <c r="X41" s="41"/>
      <c r="Y41" s="44"/>
      <c r="Z41" s="41"/>
      <c r="AA41" s="41"/>
      <c r="AE41" s="47"/>
      <c r="AF41" s="47"/>
      <c r="AG41" s="47"/>
      <c r="AH41" s="47"/>
      <c r="AI41" s="47"/>
      <c r="AJ41" s="47"/>
      <c r="AK41" s="47"/>
      <c r="AL41" s="47"/>
      <c r="AM41" s="47"/>
      <c r="AN41" s="48"/>
      <c r="AO41" s="46"/>
      <c r="AP41" s="46"/>
      <c r="AQ41" s="46"/>
      <c r="AR41" s="46"/>
      <c r="AS41" s="46"/>
      <c r="AT41" s="46"/>
      <c r="AU41" s="46"/>
      <c r="AV41" s="46"/>
      <c r="AW41" s="46"/>
      <c r="AX41" s="46"/>
    </row>
    <row r="42" spans="19:50" x14ac:dyDescent="0.2">
      <c r="S42" s="41"/>
      <c r="T42" s="41"/>
      <c r="U42" s="42"/>
      <c r="V42" s="43"/>
      <c r="W42" s="41"/>
      <c r="X42" s="41"/>
      <c r="Y42" s="44"/>
      <c r="Z42" s="41"/>
      <c r="AA42" s="44"/>
      <c r="AE42" s="49"/>
      <c r="AF42" s="46"/>
      <c r="AG42" s="50"/>
      <c r="AH42" s="50"/>
      <c r="AI42" s="50"/>
      <c r="AJ42" s="51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</row>
    <row r="43" spans="19:50" x14ac:dyDescent="0.2">
      <c r="S43" s="41"/>
      <c r="T43" s="41"/>
      <c r="U43" s="42"/>
      <c r="V43" s="43"/>
      <c r="W43" s="41"/>
      <c r="X43" s="41"/>
      <c r="Y43" s="44"/>
      <c r="Z43" s="41"/>
      <c r="AA43" s="41"/>
      <c r="AE43" s="49"/>
      <c r="AF43" s="46"/>
      <c r="AG43" s="50"/>
      <c r="AH43" s="50"/>
      <c r="AI43" s="50"/>
      <c r="AJ43" s="51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</row>
    <row r="44" spans="19:50" x14ac:dyDescent="0.2">
      <c r="S44" s="41"/>
      <c r="T44" s="41"/>
      <c r="U44" s="42"/>
      <c r="V44" s="43"/>
      <c r="W44" s="41"/>
      <c r="X44" s="41"/>
      <c r="Y44" s="44"/>
      <c r="Z44" s="41"/>
      <c r="AA44" s="44"/>
      <c r="AE44" s="49"/>
      <c r="AF44" s="46"/>
      <c r="AG44" s="50"/>
      <c r="AH44" s="50"/>
      <c r="AI44" s="50"/>
      <c r="AJ44" s="51"/>
      <c r="AK44" s="46"/>
      <c r="AL44" s="51"/>
      <c r="AM44" s="52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</row>
    <row r="45" spans="19:50" x14ac:dyDescent="0.2">
      <c r="S45" s="41"/>
      <c r="T45" s="41"/>
      <c r="U45" s="42"/>
      <c r="V45" s="43"/>
      <c r="W45" s="41"/>
      <c r="X45" s="41"/>
      <c r="Y45" s="44"/>
      <c r="Z45" s="41"/>
      <c r="AA45" s="44"/>
      <c r="AE45" s="49"/>
      <c r="AF45" s="46"/>
      <c r="AG45" s="50"/>
      <c r="AH45" s="50"/>
      <c r="AI45" s="50"/>
      <c r="AJ45" s="51"/>
      <c r="AK45" s="46"/>
      <c r="AL45" s="51"/>
      <c r="AM45" s="52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</row>
    <row r="46" spans="19:50" x14ac:dyDescent="0.2">
      <c r="S46" s="41"/>
      <c r="T46" s="41"/>
      <c r="U46" s="42"/>
      <c r="V46" s="43"/>
      <c r="W46" s="41"/>
      <c r="X46" s="41"/>
      <c r="Y46" s="44"/>
      <c r="Z46" s="41"/>
      <c r="AA46" s="44"/>
      <c r="AE46" s="49"/>
      <c r="AF46" s="46"/>
      <c r="AG46" s="50"/>
      <c r="AH46" s="50"/>
      <c r="AI46" s="50"/>
      <c r="AJ46" s="51"/>
      <c r="AK46" s="46"/>
      <c r="AL46" s="51"/>
      <c r="AM46" s="52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</row>
    <row r="47" spans="19:50" x14ac:dyDescent="0.2">
      <c r="S47" s="41"/>
      <c r="T47" s="41"/>
      <c r="U47" s="42"/>
      <c r="V47" s="43"/>
      <c r="W47" s="41"/>
      <c r="X47" s="41"/>
      <c r="Y47" s="44"/>
      <c r="Z47" s="41"/>
      <c r="AA47" s="44"/>
      <c r="AE47" s="49"/>
      <c r="AF47" s="46"/>
      <c r="AG47" s="50"/>
      <c r="AH47" s="50"/>
      <c r="AI47" s="50"/>
      <c r="AJ47" s="51"/>
      <c r="AK47" s="46"/>
      <c r="AL47" s="51"/>
      <c r="AM47" s="52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</row>
    <row r="48" spans="19:50" x14ac:dyDescent="0.2">
      <c r="S48" s="41"/>
      <c r="T48" s="41"/>
      <c r="U48" s="42"/>
      <c r="V48" s="43"/>
      <c r="W48" s="41"/>
      <c r="X48" s="41"/>
      <c r="Y48" s="44"/>
      <c r="Z48" s="41"/>
      <c r="AA48" s="44"/>
      <c r="AE48" s="49"/>
      <c r="AF48" s="46"/>
      <c r="AG48" s="50"/>
      <c r="AH48" s="50"/>
      <c r="AI48" s="50"/>
      <c r="AJ48" s="51"/>
      <c r="AK48" s="46"/>
      <c r="AL48" s="51"/>
      <c r="AM48" s="52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</row>
    <row r="49" spans="19:50" x14ac:dyDescent="0.2">
      <c r="S49" s="41"/>
      <c r="T49" s="41"/>
      <c r="U49" s="42"/>
      <c r="V49" s="43"/>
      <c r="W49" s="41"/>
      <c r="X49" s="41"/>
      <c r="Y49" s="44"/>
      <c r="Z49" s="41"/>
      <c r="AA49" s="44"/>
      <c r="AE49" s="49"/>
      <c r="AF49" s="46"/>
      <c r="AG49" s="50"/>
      <c r="AH49" s="50"/>
      <c r="AI49" s="50"/>
      <c r="AJ49" s="51"/>
      <c r="AK49" s="46"/>
      <c r="AL49" s="51"/>
      <c r="AM49" s="52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</row>
    <row r="50" spans="19:50" x14ac:dyDescent="0.2">
      <c r="S50" s="41"/>
      <c r="T50" s="41"/>
      <c r="U50" s="42"/>
      <c r="V50" s="43"/>
      <c r="W50" s="41"/>
      <c r="X50" s="41"/>
      <c r="Y50" s="44"/>
      <c r="Z50" s="41"/>
      <c r="AA50" s="44"/>
      <c r="AE50" s="49"/>
      <c r="AF50" s="46"/>
      <c r="AG50" s="50"/>
      <c r="AH50" s="50"/>
      <c r="AI50" s="50"/>
      <c r="AJ50" s="51"/>
      <c r="AK50" s="46"/>
      <c r="AL50" s="51"/>
      <c r="AM50" s="52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</row>
    <row r="51" spans="19:50" x14ac:dyDescent="0.2">
      <c r="S51" s="41"/>
      <c r="T51" s="41"/>
      <c r="U51" s="41"/>
      <c r="V51" s="41"/>
      <c r="W51" s="41"/>
      <c r="X51" s="41"/>
      <c r="Y51" s="44"/>
      <c r="Z51" s="41"/>
      <c r="AA51" s="41"/>
      <c r="AE51" s="49"/>
      <c r="AF51" s="46"/>
      <c r="AG51" s="50"/>
      <c r="AH51" s="50"/>
      <c r="AI51" s="50"/>
      <c r="AJ51" s="51"/>
      <c r="AK51" s="46"/>
      <c r="AL51" s="51"/>
      <c r="AM51" s="52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</row>
    <row r="52" spans="19:50" x14ac:dyDescent="0.2">
      <c r="AE52" s="49"/>
      <c r="AF52" s="46"/>
      <c r="AG52" s="50"/>
      <c r="AH52" s="50"/>
      <c r="AI52" s="50"/>
      <c r="AJ52" s="51"/>
      <c r="AK52" s="46"/>
      <c r="AL52" s="51"/>
      <c r="AM52" s="52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</row>
    <row r="53" spans="19:50" x14ac:dyDescent="0.2">
      <c r="AE53" s="49"/>
      <c r="AF53" s="46"/>
      <c r="AG53" s="50"/>
      <c r="AH53" s="50"/>
      <c r="AI53" s="50"/>
      <c r="AJ53" s="51"/>
      <c r="AK53" s="46"/>
      <c r="AL53" s="51"/>
      <c r="AM53" s="52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</row>
    <row r="54" spans="19:50" x14ac:dyDescent="0.2">
      <c r="AE54" s="49"/>
      <c r="AF54" s="46"/>
      <c r="AG54" s="50"/>
      <c r="AH54" s="50"/>
      <c r="AI54" s="50"/>
      <c r="AJ54" s="51"/>
      <c r="AK54" s="46"/>
      <c r="AL54" s="51"/>
      <c r="AM54" s="52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</row>
    <row r="55" spans="19:50" x14ac:dyDescent="0.2">
      <c r="AE55" s="49"/>
      <c r="AF55" s="46"/>
      <c r="AG55" s="50"/>
      <c r="AH55" s="50"/>
      <c r="AI55" s="50"/>
      <c r="AJ55" s="51"/>
      <c r="AK55" s="46"/>
      <c r="AL55" s="51"/>
      <c r="AM55" s="52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</row>
    <row r="56" spans="19:50" x14ac:dyDescent="0.2">
      <c r="AE56" s="49"/>
      <c r="AF56" s="46"/>
      <c r="AG56" s="50"/>
      <c r="AH56" s="50"/>
      <c r="AI56" s="50"/>
      <c r="AJ56" s="51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</row>
    <row r="57" spans="19:50" x14ac:dyDescent="0.2">
      <c r="AE57" s="49"/>
      <c r="AF57" s="46"/>
      <c r="AG57" s="50"/>
      <c r="AH57" s="50"/>
      <c r="AI57" s="50"/>
      <c r="AJ57" s="51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</row>
    <row r="58" spans="19:50" x14ac:dyDescent="0.2">
      <c r="AE58" s="46"/>
      <c r="AF58" s="46"/>
      <c r="AG58" s="46"/>
      <c r="AH58" s="53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</row>
    <row r="59" spans="19:50" x14ac:dyDescent="0.2"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</row>
    <row r="60" spans="19:50" x14ac:dyDescent="0.2"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</row>
  </sheetData>
  <mergeCells count="21">
    <mergeCell ref="X27:X28"/>
    <mergeCell ref="Y27:Y28"/>
    <mergeCell ref="Z27:Z28"/>
    <mergeCell ref="AA27:AA28"/>
    <mergeCell ref="AB27:AB28"/>
    <mergeCell ref="AE40:AM40"/>
    <mergeCell ref="S17:T17"/>
    <mergeCell ref="S18:T18"/>
    <mergeCell ref="S19:T19"/>
    <mergeCell ref="S22:T22"/>
    <mergeCell ref="V22:W22"/>
    <mergeCell ref="S27:T27"/>
    <mergeCell ref="U27:U28"/>
    <mergeCell ref="V27:V28"/>
    <mergeCell ref="W27:W28"/>
    <mergeCell ref="S9:T9"/>
    <mergeCell ref="S7:T7"/>
    <mergeCell ref="S8:T8"/>
    <mergeCell ref="S10:T10"/>
    <mergeCell ref="S13:T13"/>
    <mergeCell ref="S14:T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10-1</vt:lpstr>
      <vt:lpstr>Problem 10-4</vt:lpstr>
      <vt:lpstr>Problem 11-1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Evan Barnes</dc:creator>
  <cp:lastModifiedBy>Max Barnes</cp:lastModifiedBy>
  <dcterms:created xsi:type="dcterms:W3CDTF">2020-09-15T23:36:08Z</dcterms:created>
  <dcterms:modified xsi:type="dcterms:W3CDTF">2020-09-17T00:01:20Z</dcterms:modified>
</cp:coreProperties>
</file>