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BarneyH\Desktop\17Spring\FixedIncomeSecurities\Assignments\FI assignment 4\"/>
    </mc:Choice>
  </mc:AlternateContent>
  <bookViews>
    <workbookView xWindow="0" yWindow="0" windowWidth="19200" windowHeight="6950"/>
  </bookViews>
  <sheets>
    <sheet name="Q4" sheetId="1" r:id="rId1"/>
    <sheet name="Q2&amp;3" sheetId="2" r:id="rId2"/>
    <sheet name="Q2&amp;3s" sheetId="3" r:id="rId3"/>
    <sheet name="Q2&amp;3ss" sheetId="4" r:id="rId4"/>
    <sheet name="Mar27's DFs" sheetId="6" r:id="rId5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4" hidden="1">42821.9033217593</definedName>
    <definedName name="IQ_NAMES_REVISION_DATE_" hidden="1">42818.6721643519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N18" i="3" l="1"/>
  <c r="N5" i="3"/>
  <c r="B7" i="2"/>
  <c r="B6" i="2"/>
  <c r="E3" i="2" s="1"/>
  <c r="C3" i="3"/>
  <c r="N10" i="3" l="1"/>
  <c r="E14" i="2"/>
  <c r="I30" i="4" l="1"/>
  <c r="I5" i="4"/>
  <c r="I33" i="3"/>
  <c r="I18" i="3"/>
  <c r="J30" i="4" l="1"/>
  <c r="K30" i="4" s="1"/>
  <c r="E31" i="4"/>
  <c r="G31" i="4" s="1"/>
  <c r="H30" i="4" s="1"/>
  <c r="E30" i="4" s="1"/>
  <c r="B32" i="4"/>
  <c r="J5" i="4"/>
  <c r="K5" i="4" s="1"/>
  <c r="E5" i="4"/>
  <c r="H5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6" i="4"/>
  <c r="E25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6" i="4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D3" i="1" l="1"/>
  <c r="G19" i="3"/>
  <c r="G9" i="3"/>
  <c r="E34" i="3"/>
  <c r="G34" i="3" s="1"/>
  <c r="H33" i="3" s="1"/>
  <c r="E33" i="3" s="1"/>
  <c r="J33" i="3" s="1"/>
  <c r="K33" i="3" s="1"/>
  <c r="C31" i="3" s="1"/>
  <c r="B9" i="2" s="1"/>
  <c r="E4" i="2" s="1"/>
  <c r="E24" i="3"/>
  <c r="G24" i="3" s="1"/>
  <c r="E20" i="3"/>
  <c r="G20" i="3" s="1"/>
  <c r="E21" i="3"/>
  <c r="G21" i="3" s="1"/>
  <c r="E22" i="3"/>
  <c r="G22" i="3" s="1"/>
  <c r="E23" i="3"/>
  <c r="G23" i="3" s="1"/>
  <c r="E19" i="3"/>
  <c r="E15" i="3"/>
  <c r="G15" i="3" s="1"/>
  <c r="E7" i="3"/>
  <c r="G7" i="3" s="1"/>
  <c r="E8" i="3"/>
  <c r="G8" i="3" s="1"/>
  <c r="E9" i="3"/>
  <c r="E10" i="3"/>
  <c r="G10" i="3" s="1"/>
  <c r="E11" i="3"/>
  <c r="G11" i="3" s="1"/>
  <c r="E12" i="3"/>
  <c r="G12" i="3" s="1"/>
  <c r="E13" i="3"/>
  <c r="G13" i="3" s="1"/>
  <c r="E14" i="3"/>
  <c r="G14" i="3" s="1"/>
  <c r="E6" i="3"/>
  <c r="G6" i="3" s="1"/>
  <c r="E15" i="2" l="1"/>
  <c r="H18" i="3"/>
  <c r="E18" i="3" s="1"/>
  <c r="J18" i="3" s="1"/>
  <c r="K18" i="3" s="1"/>
  <c r="H5" i="3"/>
  <c r="E5" i="3" s="1"/>
  <c r="I5" i="3" s="1"/>
  <c r="J5" i="3" s="1"/>
  <c r="K5" i="3" s="1"/>
  <c r="B8" i="2" l="1"/>
  <c r="E5" i="2" s="1"/>
  <c r="E17" i="2" s="1"/>
</calcChain>
</file>

<file path=xl/comments1.xml><?xml version="1.0" encoding="utf-8"?>
<comments xmlns="http://schemas.openxmlformats.org/spreadsheetml/2006/main">
  <authors>
    <author>Author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means if interest rate goes up by 1%, the asset side will decrease by 4.5MM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 the asset size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larger the maturity you picked, the more the notional principal would be </t>
        </r>
      </text>
    </comment>
  </commentList>
</comments>
</file>

<file path=xl/comments2.xml><?xml version="1.0" encoding="utf-8"?>
<comments xmlns="http://schemas.openxmlformats.org/spreadsheetml/2006/main">
  <authors>
    <author>Huang, Xihui H</author>
  </authors>
  <commentList>
    <comment ref="F4" authorId="0" shapeId="0">
      <text>
        <r>
          <rPr>
            <b/>
            <sz val="8"/>
            <color indexed="81"/>
            <rFont val="Tahoma"/>
            <family val="2"/>
          </rPr>
          <t>Huang, Xihui H:</t>
        </r>
        <r>
          <rPr>
            <sz val="8"/>
            <color indexed="81"/>
            <rFont val="Tahoma"/>
            <family val="2"/>
          </rPr>
          <t xml:space="preserve">
use LIBOR 6
m curve</t>
        </r>
      </text>
    </comment>
  </commentList>
</comments>
</file>

<file path=xl/comments3.xml><?xml version="1.0" encoding="utf-8"?>
<comments xmlns="http://schemas.openxmlformats.org/spreadsheetml/2006/main">
  <authors>
    <author>BarneyH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BarneyH:</t>
        </r>
        <r>
          <rPr>
            <sz val="9"/>
            <color indexed="81"/>
            <rFont val="Tahoma"/>
            <family val="2"/>
          </rPr>
          <t xml:space="preserve">
I take 100 for convenience, you can take 1000. 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BarneyH:</t>
        </r>
        <r>
          <rPr>
            <sz val="9"/>
            <color indexed="81"/>
            <rFont val="Tahoma"/>
            <family val="2"/>
          </rPr>
          <t xml:space="preserve">
LIBOR6M
</t>
        </r>
      </text>
    </comment>
  </commentList>
</comments>
</file>

<file path=xl/sharedStrings.xml><?xml version="1.0" encoding="utf-8"?>
<sst xmlns="http://schemas.openxmlformats.org/spreadsheetml/2006/main" count="142" uniqueCount="92">
  <si>
    <t>assuming flat term structure and flat LIBOR curve</t>
    <phoneticPr fontId="1" type="noConversion"/>
  </si>
  <si>
    <t>Interest rate (Yield)</t>
    <phoneticPr fontId="1" type="noConversion"/>
  </si>
  <si>
    <t>RISK A</t>
    <phoneticPr fontId="1" type="noConversion"/>
  </si>
  <si>
    <t>LIBOR</t>
    <phoneticPr fontId="1" type="noConversion"/>
  </si>
  <si>
    <t>RISK L</t>
    <phoneticPr fontId="1" type="noConversion"/>
  </si>
  <si>
    <t>Net RISK</t>
    <phoneticPr fontId="1" type="noConversion"/>
  </si>
  <si>
    <t>Loans (A)</t>
    <phoneticPr fontId="1" type="noConversion"/>
  </si>
  <si>
    <t>Deposits (L)</t>
    <phoneticPr fontId="1" type="noConversion"/>
  </si>
  <si>
    <t>MD A</t>
    <phoneticPr fontId="1" type="noConversion"/>
  </si>
  <si>
    <t>MD L</t>
    <phoneticPr fontId="1" type="noConversion"/>
  </si>
  <si>
    <t>maturity pickedup</t>
    <phoneticPr fontId="1" type="noConversion"/>
  </si>
  <si>
    <t>gap no more than (bps)</t>
    <phoneticPr fontId="1" type="noConversion"/>
  </si>
  <si>
    <t>pay fixed</t>
    <phoneticPr fontId="1" type="noConversion"/>
  </si>
  <si>
    <t>RISK fixed</t>
    <phoneticPr fontId="1" type="noConversion"/>
  </si>
  <si>
    <t>receive floating</t>
    <phoneticPr fontId="1" type="noConversion"/>
  </si>
  <si>
    <t>RISK fl</t>
    <phoneticPr fontId="1" type="noConversion"/>
  </si>
  <si>
    <t>MD fixed</t>
    <phoneticPr fontId="1" type="noConversion"/>
  </si>
  <si>
    <t>MD fl</t>
    <phoneticPr fontId="1" type="noConversion"/>
  </si>
  <si>
    <t>Assets</t>
  </si>
  <si>
    <t>note 1</t>
  </si>
  <si>
    <t>Total Par</t>
  </si>
  <si>
    <t>Maturity</t>
  </si>
  <si>
    <t xml:space="preserve">settlement </t>
  </si>
  <si>
    <t>today</t>
  </si>
  <si>
    <t>Coupon rate</t>
  </si>
  <si>
    <t>Pay Freq</t>
  </si>
  <si>
    <t>semi</t>
  </si>
  <si>
    <t>time</t>
  </si>
  <si>
    <t>CF</t>
  </si>
  <si>
    <t>DF</t>
  </si>
  <si>
    <t>PV</t>
  </si>
  <si>
    <t>YTM</t>
  </si>
  <si>
    <t>Duration</t>
  </si>
  <si>
    <t>M.D</t>
  </si>
  <si>
    <t>note 2</t>
  </si>
  <si>
    <t>Liabilities</t>
  </si>
  <si>
    <t>Price</t>
  </si>
  <si>
    <t>Total M.D</t>
  </si>
  <si>
    <t>AF</t>
  </si>
  <si>
    <t>Ypar</t>
  </si>
  <si>
    <t>Obsersed</t>
  </si>
  <si>
    <t>used</t>
  </si>
  <si>
    <t>Par</t>
  </si>
  <si>
    <t>Pay Date</t>
  </si>
  <si>
    <t>Payments(Rcv)</t>
  </si>
  <si>
    <t>Payments(Pay)</t>
  </si>
  <si>
    <t>Net Payments</t>
  </si>
  <si>
    <t>Discount</t>
  </si>
  <si>
    <t>09/28/2018</t>
  </si>
  <si>
    <t>09/30/2019</t>
  </si>
  <si>
    <t>03/30/2020</t>
  </si>
  <si>
    <t>03/29/2021</t>
  </si>
  <si>
    <t>03/28/2024</t>
  </si>
  <si>
    <t>09/30/2024</t>
  </si>
  <si>
    <t>09/29/2025</t>
  </si>
  <si>
    <t>03/30/2026</t>
  </si>
  <si>
    <t>03/30/2027</t>
  </si>
  <si>
    <t>09/29/2026</t>
  </si>
  <si>
    <t>03/31/2025</t>
  </si>
  <si>
    <t>09/29/2023</t>
  </si>
  <si>
    <t>03/29/2023</t>
  </si>
  <si>
    <t>09/29/2022</t>
  </si>
  <si>
    <t>03/29/2022</t>
  </si>
  <si>
    <t>09/29/2021</t>
  </si>
  <si>
    <t>09/29/2020</t>
  </si>
  <si>
    <t>03/29/2019</t>
  </si>
  <si>
    <t>03/29/2018</t>
  </si>
  <si>
    <t>09/29/2017</t>
  </si>
  <si>
    <t>Balance sheet items of the banks</t>
    <phoneticPr fontId="7" type="noConversion"/>
  </si>
  <si>
    <t>swap items</t>
    <phoneticPr fontId="7" type="noConversion"/>
  </si>
  <si>
    <t>Fixed Leg</t>
    <phoneticPr fontId="7" type="noConversion"/>
  </si>
  <si>
    <t>Maturity</t>
    <phoneticPr fontId="7" type="noConversion"/>
  </si>
  <si>
    <t>Face</t>
    <phoneticPr fontId="7" type="noConversion"/>
  </si>
  <si>
    <t>settlement</t>
    <phoneticPr fontId="7" type="noConversion"/>
  </si>
  <si>
    <t>today</t>
    <phoneticPr fontId="7" type="noConversion"/>
  </si>
  <si>
    <t>Coupon rate</t>
    <phoneticPr fontId="7" type="noConversion"/>
  </si>
  <si>
    <t>Pay Freq</t>
    <phoneticPr fontId="7" type="noConversion"/>
  </si>
  <si>
    <t>semi</t>
    <phoneticPr fontId="7" type="noConversion"/>
  </si>
  <si>
    <t xml:space="preserve">time </t>
    <phoneticPr fontId="7" type="noConversion"/>
  </si>
  <si>
    <t>CF</t>
    <phoneticPr fontId="7" type="noConversion"/>
  </si>
  <si>
    <t>DF</t>
    <phoneticPr fontId="7" type="noConversion"/>
  </si>
  <si>
    <t>PV</t>
    <phoneticPr fontId="7" type="noConversion"/>
  </si>
  <si>
    <t>Price</t>
    <phoneticPr fontId="7" type="noConversion"/>
  </si>
  <si>
    <t>YTM</t>
    <phoneticPr fontId="7" type="noConversion"/>
  </si>
  <si>
    <t>Duration</t>
    <phoneticPr fontId="7" type="noConversion"/>
  </si>
  <si>
    <t>M.D</t>
    <phoneticPr fontId="7" type="noConversion"/>
  </si>
  <si>
    <t>Floated Leg</t>
    <phoneticPr fontId="7" type="noConversion"/>
  </si>
  <si>
    <t>today</t>
    <phoneticPr fontId="7" type="noConversion"/>
  </si>
  <si>
    <t>semi</t>
    <phoneticPr fontId="7" type="noConversion"/>
  </si>
  <si>
    <t>Notional Principal</t>
    <phoneticPr fontId="1" type="noConversion"/>
  </si>
  <si>
    <t>误用PAR来算加权，应该用Price!!!!!!</t>
    <phoneticPr fontId="7" type="noConversion"/>
  </si>
  <si>
    <t>about 162MM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</si>
</sst>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0"/>
    <numFmt numFmtId="177" formatCode="0.0000%"/>
    <numFmt numFmtId="178" formatCode="0.000000"/>
    <numFmt numFmtId="179" formatCode="0.0000_ "/>
    <numFmt numFmtId="180" formatCode="0.0000000"/>
    <numFmt numFmtId="181" formatCode="0.00_ 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indexed="9"/>
      <name val="Calibri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2" borderId="0"/>
  </cellStyleXfs>
  <cellXfs count="16">
    <xf numFmtId="0" fontId="0" fillId="0" borderId="0" xfId="0"/>
    <xf numFmtId="176" fontId="0" fillId="0" borderId="0" xfId="0" applyNumberFormat="1"/>
    <xf numFmtId="10" fontId="0" fillId="0" borderId="0" xfId="0" applyNumberFormat="1"/>
    <xf numFmtId="2" fontId="0" fillId="0" borderId="0" xfId="0" applyNumberFormat="1"/>
    <xf numFmtId="178" fontId="0" fillId="0" borderId="0" xfId="0" applyNumberFormat="1"/>
    <xf numFmtId="0" fontId="0" fillId="0" borderId="1" xfId="0" applyBorder="1"/>
    <xf numFmtId="176" fontId="0" fillId="0" borderId="1" xfId="0" applyNumberFormat="1" applyBorder="1"/>
    <xf numFmtId="177" fontId="0" fillId="0" borderId="0" xfId="1" applyNumberFormat="1" applyFont="1"/>
    <xf numFmtId="0" fontId="6" fillId="2" borderId="0" xfId="2" applyNumberFormat="1" applyFont="1" applyFill="1" applyBorder="1" applyAlignment="1" applyProtection="1"/>
    <xf numFmtId="0" fontId="9" fillId="0" borderId="0" xfId="0" applyFont="1"/>
    <xf numFmtId="177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8" fillId="3" borderId="0" xfId="0" applyFont="1" applyFill="1"/>
    <xf numFmtId="181" fontId="10" fillId="0" borderId="0" xfId="0" applyNumberFormat="1" applyFont="1"/>
    <xf numFmtId="2" fontId="10" fillId="0" borderId="0" xfId="0" applyNumberFormat="1" applyFont="1"/>
  </cellXfs>
  <cellStyles count="3">
    <cellStyle name="blp_column_header" xfId="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18</xdr:row>
      <xdr:rowOff>114300</xdr:rowOff>
    </xdr:to>
    <xdr:sp macro="" textlink="">
      <xdr:nvSpPr>
        <xdr:cNvPr id="1025" name="AutoShape 1" descr="https://outlook.office.com/owa/service.svc/s/GetAttachmentThumbnail?id=AAMkAGNhNDUwOWNlLWQ5MmUtNDdmNi05ZTEyLTAyYjUxZTI4ODM5NwBGAAAAAABokY2sAOhZQ5iq2VdIVh0SBwB9CoJnb5RwRbk0lt7l6jrnAAAAAAEMAAB9CoJnb5RwRbk0lt7l6jrnAAE%2FG5OCAAABEgAQAA38%2BZ2Pv35EsxXkDMdMA5Q%3D&amp;thumbnailType=2&amp;X-OWA-CANARY=rlJF4cyMgUScx2NF7b0gInDm6AzzctQY206l7_5uxkC8NnQDrHU2An3zvEyEbdOIHKOP0Zg7_KQ.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642937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304800</xdr:colOff>
      <xdr:row>14</xdr:row>
      <xdr:rowOff>114300</xdr:rowOff>
    </xdr:to>
    <xdr:sp macro="" textlink="">
      <xdr:nvSpPr>
        <xdr:cNvPr id="1026" name="AutoShape 2" descr="https://outlook.office.com/owa/service.svc/s/GetAttachmentThumbnail?id=AAMkAGNhNDUwOWNlLWQ5MmUtNDdmNi05ZTEyLTAyYjUxZTI4ODM5NwBGAAAAAABokY2sAOhZQ5iq2VdIVh0SBwB9CoJnb5RwRbk0lt7l6jrnAAAAAAEMAAB9CoJnb5RwRbk0lt7l6jrnAAE%2FG5OCAAABEgAQAA38%2BZ2Pv35EsxXkDMdMA5Q%3D&amp;thumbnailType=2&amp;X-OWA-CANARY=rlJF4cyMgUScx2NF7b0gInDm6AzzctQY206l7_5uxkC8NnQDrHU2An3zvEyEbdOIHKOP0Zg7_KQ.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038975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656096</xdr:colOff>
      <xdr:row>0</xdr:row>
      <xdr:rowOff>163512</xdr:rowOff>
    </xdr:from>
    <xdr:to>
      <xdr:col>17</xdr:col>
      <xdr:colOff>655901</xdr:colOff>
      <xdr:row>30</xdr:row>
      <xdr:rowOff>22946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9A989C-CD48-4D50-966F-5A9A16BC8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2284" y="163512"/>
          <a:ext cx="7905555" cy="5098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656167</xdr:colOff>
      <xdr:row>3</xdr:row>
      <xdr:rowOff>7102</xdr:rowOff>
    </xdr:from>
    <xdr:to>
      <xdr:col>21</xdr:col>
      <xdr:colOff>114295</xdr:colOff>
      <xdr:row>27</xdr:row>
      <xdr:rowOff>145363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D06BB9-E3AB-43AE-A046-7F6AAA7C1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38723" y="585658"/>
          <a:ext cx="6753572" cy="43715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656995</xdr:colOff>
      <xdr:row>1</xdr:row>
      <xdr:rowOff>0</xdr:rowOff>
    </xdr:from>
    <xdr:to>
      <xdr:col>17</xdr:col>
      <xdr:colOff>632380</xdr:colOff>
      <xdr:row>28</xdr:row>
      <xdr:rowOff>106904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8A833C-8441-498F-9DF2-05B5A07A4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7884" y="183444"/>
          <a:ext cx="7270829" cy="48694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tabSelected="1" zoomScale="80" zoomScaleNormal="80" workbookViewId="0">
      <selection activeCell="E17" sqref="E17"/>
    </sheetView>
  </sheetViews>
  <sheetFormatPr defaultRowHeight="14" x14ac:dyDescent="0.3"/>
  <cols>
    <col min="1" max="1" width="11.58203125" customWidth="1"/>
    <col min="2" max="2" width="9.58203125" bestFit="1" customWidth="1"/>
    <col min="3" max="3" width="11.25" customWidth="1"/>
  </cols>
  <sheetData>
    <row r="2" spans="1:9" x14ac:dyDescent="0.3">
      <c r="A2" t="s">
        <v>27</v>
      </c>
      <c r="B2" t="s">
        <v>29</v>
      </c>
      <c r="C2" t="s">
        <v>38</v>
      </c>
      <c r="D2" t="s">
        <v>39</v>
      </c>
      <c r="F2" t="s">
        <v>40</v>
      </c>
    </row>
    <row r="3" spans="1:9" x14ac:dyDescent="0.3">
      <c r="A3">
        <v>0</v>
      </c>
      <c r="D3" s="7">
        <f>2*(1-B23)/C23</f>
        <v>2.3478491580289734E-2</v>
      </c>
      <c r="F3" s="7">
        <v>2.393E-2</v>
      </c>
      <c r="I3" t="s">
        <v>41</v>
      </c>
    </row>
    <row r="4" spans="1:9" x14ac:dyDescent="0.3">
      <c r="A4">
        <v>0.5</v>
      </c>
      <c r="B4">
        <v>0.99377099999999996</v>
      </c>
      <c r="C4" s="4">
        <f>SUM($B$4:B4)</f>
        <v>0.99377099999999996</v>
      </c>
      <c r="H4">
        <v>0.99375899999999995</v>
      </c>
      <c r="I4">
        <v>0.99374499999999999</v>
      </c>
    </row>
    <row r="5" spans="1:9" x14ac:dyDescent="0.3">
      <c r="A5">
        <v>1</v>
      </c>
      <c r="B5">
        <v>0.98641500000000004</v>
      </c>
      <c r="C5" s="4">
        <f>SUM($B$4:B5)</f>
        <v>1.980186</v>
      </c>
      <c r="H5">
        <v>0.98635399999999995</v>
      </c>
      <c r="I5">
        <v>0.98629100000000003</v>
      </c>
    </row>
    <row r="6" spans="1:9" x14ac:dyDescent="0.3">
      <c r="A6">
        <v>1.5</v>
      </c>
      <c r="B6">
        <v>0.97792999999999997</v>
      </c>
      <c r="C6" s="4">
        <f>SUM($B$4:B6)</f>
        <v>2.958116</v>
      </c>
      <c r="H6">
        <v>0.97772000000000003</v>
      </c>
      <c r="I6">
        <v>0.97759499999999999</v>
      </c>
    </row>
    <row r="7" spans="1:9" x14ac:dyDescent="0.3">
      <c r="A7">
        <v>2</v>
      </c>
      <c r="B7">
        <v>0.96847000000000005</v>
      </c>
      <c r="C7" s="4">
        <f>SUM($B$4:B7)</f>
        <v>3.9265859999999999</v>
      </c>
      <c r="H7">
        <v>0.96823300000000001</v>
      </c>
      <c r="I7">
        <v>0.96819100000000002</v>
      </c>
    </row>
    <row r="8" spans="1:9" x14ac:dyDescent="0.3">
      <c r="A8">
        <v>2.5</v>
      </c>
      <c r="B8">
        <v>0.95845199999999997</v>
      </c>
      <c r="C8" s="4">
        <f>SUM($B$4:B8)</f>
        <v>4.8850379999999998</v>
      </c>
      <c r="H8">
        <v>0.95795799999999998</v>
      </c>
      <c r="I8">
        <v>0.95789299999999999</v>
      </c>
    </row>
    <row r="9" spans="1:9" x14ac:dyDescent="0.3">
      <c r="A9">
        <v>3</v>
      </c>
      <c r="B9">
        <v>0.94789400000000001</v>
      </c>
      <c r="C9" s="4">
        <f>SUM($B$4:B9)</f>
        <v>5.8329319999999996</v>
      </c>
      <c r="H9">
        <v>0.94715300000000002</v>
      </c>
      <c r="I9">
        <v>0.94706199999999996</v>
      </c>
    </row>
    <row r="10" spans="1:9" x14ac:dyDescent="0.3">
      <c r="A10">
        <v>3.5</v>
      </c>
      <c r="B10">
        <v>0.93716100000000002</v>
      </c>
      <c r="C10" s="4">
        <f>SUM($B$4:B10)</f>
        <v>6.7700929999999993</v>
      </c>
      <c r="H10">
        <v>0.93625800000000003</v>
      </c>
      <c r="I10">
        <v>0.93616100000000002</v>
      </c>
    </row>
    <row r="11" spans="1:9" x14ac:dyDescent="0.3">
      <c r="A11">
        <v>4</v>
      </c>
      <c r="B11">
        <v>0.92607799999999996</v>
      </c>
      <c r="C11" s="4">
        <f>SUM($B$4:B11)</f>
        <v>7.6961709999999997</v>
      </c>
      <c r="H11">
        <v>0.924871</v>
      </c>
      <c r="I11">
        <v>0.92477100000000001</v>
      </c>
    </row>
    <row r="12" spans="1:9" x14ac:dyDescent="0.3">
      <c r="A12">
        <v>4.5</v>
      </c>
      <c r="B12">
        <v>0.91489399999999999</v>
      </c>
      <c r="C12" s="4">
        <f>SUM($B$4:B12)</f>
        <v>8.611065</v>
      </c>
      <c r="H12">
        <v>0.913493</v>
      </c>
      <c r="I12">
        <v>0.91341799999999995</v>
      </c>
    </row>
    <row r="13" spans="1:9" x14ac:dyDescent="0.3">
      <c r="A13">
        <v>5</v>
      </c>
      <c r="B13">
        <v>0.90359199999999995</v>
      </c>
      <c r="C13" s="4">
        <f>SUM($B$4:B13)</f>
        <v>9.5146569999999997</v>
      </c>
      <c r="H13">
        <v>0.90192499999999998</v>
      </c>
      <c r="I13">
        <v>0.90188000000000001</v>
      </c>
    </row>
    <row r="14" spans="1:9" x14ac:dyDescent="0.3">
      <c r="A14">
        <v>5.5</v>
      </c>
      <c r="B14">
        <v>0.89218699999999995</v>
      </c>
      <c r="C14" s="4">
        <f>SUM($B$4:B14)</f>
        <v>10.406844</v>
      </c>
      <c r="H14">
        <v>0.89028200000000002</v>
      </c>
      <c r="I14">
        <v>0.89026300000000003</v>
      </c>
    </row>
    <row r="15" spans="1:9" x14ac:dyDescent="0.3">
      <c r="A15">
        <v>6</v>
      </c>
      <c r="B15">
        <v>0.88077399999999995</v>
      </c>
      <c r="C15" s="4">
        <f>SUM($B$4:B15)</f>
        <v>11.287618</v>
      </c>
      <c r="H15">
        <v>0.87862899999999999</v>
      </c>
      <c r="I15">
        <v>0.87863999999999998</v>
      </c>
    </row>
    <row r="16" spans="1:9" x14ac:dyDescent="0.3">
      <c r="A16">
        <v>6.5</v>
      </c>
      <c r="B16">
        <v>0.86930099999999999</v>
      </c>
      <c r="C16" s="4">
        <f>SUM($B$4:B16)</f>
        <v>12.156919</v>
      </c>
      <c r="H16">
        <v>0.86692100000000005</v>
      </c>
      <c r="I16">
        <v>0.86696099999999998</v>
      </c>
    </row>
    <row r="17" spans="1:9" x14ac:dyDescent="0.3">
      <c r="A17">
        <v>7</v>
      </c>
      <c r="B17">
        <v>0.8579</v>
      </c>
      <c r="C17" s="4">
        <f>SUM($B$4:B17)</f>
        <v>13.014819000000001</v>
      </c>
      <c r="H17">
        <v>0.85522299999999996</v>
      </c>
      <c r="I17">
        <v>0.85529500000000003</v>
      </c>
    </row>
    <row r="18" spans="1:9" x14ac:dyDescent="0.3">
      <c r="A18">
        <v>7.5</v>
      </c>
      <c r="B18">
        <v>0.84625700000000004</v>
      </c>
      <c r="C18" s="4">
        <f>SUM($B$4:B18)</f>
        <v>13.861076000000001</v>
      </c>
      <c r="H18">
        <v>0.84337499999999999</v>
      </c>
      <c r="I18">
        <v>0.84347700000000003</v>
      </c>
    </row>
    <row r="19" spans="1:9" x14ac:dyDescent="0.3">
      <c r="A19">
        <v>8</v>
      </c>
      <c r="B19">
        <v>0.83480200000000004</v>
      </c>
      <c r="C19" s="4">
        <f>SUM($B$4:B19)</f>
        <v>14.695878</v>
      </c>
      <c r="H19">
        <v>0.83191499999999996</v>
      </c>
      <c r="I19">
        <v>0.83204699999999998</v>
      </c>
    </row>
    <row r="20" spans="1:9" x14ac:dyDescent="0.3">
      <c r="A20">
        <v>8.5</v>
      </c>
      <c r="B20">
        <v>0.82347800000000004</v>
      </c>
      <c r="C20" s="4">
        <f>SUM($B$4:B20)</f>
        <v>15.519356</v>
      </c>
      <c r="H20">
        <v>0.82015800000000005</v>
      </c>
      <c r="I20">
        <v>0.82035000000000002</v>
      </c>
    </row>
    <row r="21" spans="1:9" x14ac:dyDescent="0.3">
      <c r="A21">
        <v>9</v>
      </c>
      <c r="B21">
        <v>0.81213500000000005</v>
      </c>
      <c r="C21" s="4">
        <f>SUM($B$4:B21)</f>
        <v>16.331491</v>
      </c>
      <c r="H21">
        <v>0.80857500000000004</v>
      </c>
      <c r="I21">
        <v>0.80882699999999996</v>
      </c>
    </row>
    <row r="22" spans="1:9" x14ac:dyDescent="0.3">
      <c r="A22">
        <v>9.5</v>
      </c>
      <c r="B22">
        <v>0.80083400000000005</v>
      </c>
      <c r="C22" s="4">
        <f>SUM($B$4:B22)</f>
        <v>17.132325000000002</v>
      </c>
      <c r="H22">
        <v>0.79713100000000003</v>
      </c>
      <c r="I22">
        <v>0.79739800000000005</v>
      </c>
    </row>
    <row r="23" spans="1:9" x14ac:dyDescent="0.3">
      <c r="A23">
        <v>10</v>
      </c>
      <c r="B23">
        <v>0.78961000000000003</v>
      </c>
      <c r="C23" s="4">
        <f>SUM($B$4:B23)</f>
        <v>17.921935000000001</v>
      </c>
      <c r="H23">
        <v>0.78564100000000003</v>
      </c>
      <c r="I23">
        <v>0.78592499999999998</v>
      </c>
    </row>
  </sheetData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zoomScale="80" zoomScaleNormal="80" workbookViewId="0">
      <selection activeCell="H14" sqref="H14"/>
    </sheetView>
  </sheetViews>
  <sheetFormatPr defaultRowHeight="14" x14ac:dyDescent="0.3"/>
  <cols>
    <col min="1" max="1" width="20.25" customWidth="1"/>
    <col min="2" max="2" width="15.6640625" customWidth="1"/>
    <col min="4" max="4" width="20.83203125" customWidth="1"/>
    <col min="5" max="5" width="13.25" customWidth="1"/>
  </cols>
  <sheetData>
    <row r="1" spans="1:5" x14ac:dyDescent="0.3">
      <c r="A1" t="s">
        <v>0</v>
      </c>
    </row>
    <row r="3" spans="1:5" x14ac:dyDescent="0.3">
      <c r="A3" t="s">
        <v>1</v>
      </c>
      <c r="B3">
        <v>0.05</v>
      </c>
      <c r="D3" t="s">
        <v>2</v>
      </c>
      <c r="E3" s="3">
        <f>B8/100*B6</f>
        <v>17256456.606780894</v>
      </c>
    </row>
    <row r="4" spans="1:5" x14ac:dyDescent="0.3">
      <c r="A4" t="s">
        <v>3</v>
      </c>
      <c r="B4">
        <v>0.05</v>
      </c>
      <c r="D4" t="s">
        <v>4</v>
      </c>
      <c r="E4" s="3">
        <f>B9/100*B7</f>
        <v>1720726.0264430845</v>
      </c>
    </row>
    <row r="5" spans="1:5" x14ac:dyDescent="0.3">
      <c r="D5" t="s">
        <v>5</v>
      </c>
      <c r="E5" s="3">
        <f>E3-E4</f>
        <v>15535730.580337809</v>
      </c>
    </row>
    <row r="6" spans="1:5" x14ac:dyDescent="0.3">
      <c r="A6" t="s">
        <v>6</v>
      </c>
      <c r="B6" s="14">
        <f>'Q2&amp;3s'!H5+'Q2&amp;3s'!H18</f>
        <v>440672803.25</v>
      </c>
    </row>
    <row r="7" spans="1:5" x14ac:dyDescent="0.3">
      <c r="A7" t="s">
        <v>7</v>
      </c>
      <c r="B7" s="15">
        <f>'Q2&amp;3s'!H33</f>
        <v>348250419.5625</v>
      </c>
    </row>
    <row r="8" spans="1:5" x14ac:dyDescent="0.3">
      <c r="A8" t="s">
        <v>8</v>
      </c>
      <c r="B8" s="1">
        <f>'Q2&amp;3s'!C3</f>
        <v>3.9159341079170389</v>
      </c>
    </row>
    <row r="9" spans="1:5" x14ac:dyDescent="0.3">
      <c r="A9" t="s">
        <v>9</v>
      </c>
      <c r="B9" s="1">
        <f>'Q2&amp;3s'!C31</f>
        <v>0.49410594497051802</v>
      </c>
    </row>
    <row r="11" spans="1:5" x14ac:dyDescent="0.3">
      <c r="A11" t="s">
        <v>10</v>
      </c>
      <c r="B11">
        <v>10</v>
      </c>
    </row>
    <row r="12" spans="1:5" x14ac:dyDescent="0.3">
      <c r="A12" t="s">
        <v>42</v>
      </c>
      <c r="B12">
        <v>100</v>
      </c>
      <c r="D12" t="s">
        <v>11</v>
      </c>
      <c r="E12">
        <v>50</v>
      </c>
    </row>
    <row r="13" spans="1:5" x14ac:dyDescent="0.3">
      <c r="A13" t="s">
        <v>12</v>
      </c>
      <c r="B13">
        <v>0.05</v>
      </c>
      <c r="D13" t="s">
        <v>13</v>
      </c>
      <c r="E13" s="3">
        <f>'Q2&amp;3ss'!K5*B12/100</f>
        <v>8.7322190464139613</v>
      </c>
    </row>
    <row r="14" spans="1:5" x14ac:dyDescent="0.3">
      <c r="A14" t="s">
        <v>14</v>
      </c>
      <c r="B14" t="s">
        <v>3</v>
      </c>
      <c r="D14" t="s">
        <v>15</v>
      </c>
      <c r="E14" s="3">
        <f>'Q2&amp;3ss'!K30*100/100</f>
        <v>0.49458094769634398</v>
      </c>
    </row>
    <row r="15" spans="1:5" x14ac:dyDescent="0.3">
      <c r="A15" t="s">
        <v>16</v>
      </c>
      <c r="B15" s="1">
        <v>7.7217349291848114</v>
      </c>
      <c r="D15" t="s">
        <v>5</v>
      </c>
      <c r="E15" s="3">
        <f>E13-E14</f>
        <v>8.2376380987176177</v>
      </c>
    </row>
    <row r="16" spans="1:5" x14ac:dyDescent="0.3">
      <c r="A16" t="s">
        <v>17</v>
      </c>
      <c r="B16" s="1">
        <v>0.95238095238095233</v>
      </c>
    </row>
    <row r="17" spans="4:5" x14ac:dyDescent="0.3">
      <c r="D17" t="s">
        <v>89</v>
      </c>
      <c r="E17" s="3">
        <f>(E5-E12*B6/10000)/E15*100</f>
        <v>161846956.66787434</v>
      </c>
    </row>
    <row r="18" spans="4:5" x14ac:dyDescent="0.3">
      <c r="E18" s="13" t="s">
        <v>91</v>
      </c>
    </row>
  </sheetData>
  <phoneticPr fontId="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topLeftCell="A13" zoomScale="80" zoomScaleNormal="80" workbookViewId="0">
      <selection activeCell="H33" sqref="H33"/>
    </sheetView>
  </sheetViews>
  <sheetFormatPr defaultRowHeight="14" x14ac:dyDescent="0.3"/>
  <cols>
    <col min="1" max="2" width="15" customWidth="1"/>
    <col min="5" max="5" width="14.83203125" customWidth="1"/>
    <col min="6" max="6" width="10.25" customWidth="1"/>
    <col min="7" max="8" width="14.83203125" customWidth="1"/>
    <col min="9" max="9" width="9.58203125" bestFit="1" customWidth="1"/>
    <col min="14" max="14" width="22.33203125" customWidth="1"/>
  </cols>
  <sheetData>
    <row r="1" spans="1:14" ht="17.5" x14ac:dyDescent="0.35">
      <c r="A1" s="9" t="s">
        <v>68</v>
      </c>
    </row>
    <row r="2" spans="1:14" x14ac:dyDescent="0.3">
      <c r="C2" t="s">
        <v>90</v>
      </c>
    </row>
    <row r="3" spans="1:14" x14ac:dyDescent="0.3">
      <c r="A3" t="s">
        <v>18</v>
      </c>
      <c r="B3" s="5" t="s">
        <v>37</v>
      </c>
      <c r="C3" s="6">
        <f>H5/(H5+H18)*K5+H18/(H5+H18)*K18</f>
        <v>3.9159341079170389</v>
      </c>
    </row>
    <row r="4" spans="1:14" x14ac:dyDescent="0.3">
      <c r="A4" t="s">
        <v>19</v>
      </c>
      <c r="D4" t="s">
        <v>27</v>
      </c>
      <c r="E4" t="s">
        <v>28</v>
      </c>
      <c r="F4" t="s">
        <v>29</v>
      </c>
      <c r="G4" t="s">
        <v>30</v>
      </c>
      <c r="H4" t="s">
        <v>36</v>
      </c>
      <c r="I4" t="s">
        <v>31</v>
      </c>
      <c r="J4" t="s">
        <v>32</v>
      </c>
      <c r="K4" t="s">
        <v>33</v>
      </c>
    </row>
    <row r="5" spans="1:14" x14ac:dyDescent="0.3">
      <c r="A5" t="s">
        <v>20</v>
      </c>
      <c r="B5">
        <v>250000000</v>
      </c>
      <c r="D5">
        <v>0</v>
      </c>
      <c r="E5" s="3">
        <f>-H5</f>
        <v>-285364606.25</v>
      </c>
      <c r="H5" s="3">
        <f>SUM(G6:G15)</f>
        <v>285364606.25</v>
      </c>
      <c r="I5" s="2">
        <f>IRR(E5:E15)*2</f>
        <v>2.0119478294848392E-2</v>
      </c>
      <c r="J5">
        <f>(1+I5)/I5-(1+I5+B6*(B8-I5))/(B8*(1+I5)^B6-B8+I5)</f>
        <v>4.5787427873626569</v>
      </c>
      <c r="K5" s="1">
        <f>J5/(1+I5)</f>
        <v>4.4884377612474609</v>
      </c>
      <c r="N5">
        <f>K5/100*H5</f>
        <v>12808412.744160132</v>
      </c>
    </row>
    <row r="6" spans="1:14" x14ac:dyDescent="0.3">
      <c r="A6" t="s">
        <v>21</v>
      </c>
      <c r="B6">
        <v>5</v>
      </c>
      <c r="D6">
        <v>0.5</v>
      </c>
      <c r="E6">
        <f>$B$5*$B$8/2</f>
        <v>6250000</v>
      </c>
      <c r="F6">
        <v>0.99377099999999996</v>
      </c>
      <c r="G6" s="3">
        <f>E6*F6</f>
        <v>6211068.75</v>
      </c>
    </row>
    <row r="7" spans="1:14" x14ac:dyDescent="0.3">
      <c r="A7" t="s">
        <v>22</v>
      </c>
      <c r="B7" t="s">
        <v>23</v>
      </c>
      <c r="D7">
        <v>1</v>
      </c>
      <c r="E7">
        <f t="shared" ref="E7:E14" si="0">$B$5*$B$8/2</f>
        <v>6250000</v>
      </c>
      <c r="F7">
        <v>0.98641500000000004</v>
      </c>
      <c r="G7" s="3">
        <f t="shared" ref="G7:G15" si="1">E7*F7</f>
        <v>6165093.75</v>
      </c>
    </row>
    <row r="8" spans="1:14" x14ac:dyDescent="0.3">
      <c r="A8" t="s">
        <v>24</v>
      </c>
      <c r="B8">
        <v>0.05</v>
      </c>
      <c r="D8">
        <v>1.5</v>
      </c>
      <c r="E8">
        <f t="shared" si="0"/>
        <v>6250000</v>
      </c>
      <c r="F8">
        <v>0.97792999999999997</v>
      </c>
      <c r="G8" s="3">
        <f t="shared" si="1"/>
        <v>6112062.5</v>
      </c>
    </row>
    <row r="9" spans="1:14" x14ac:dyDescent="0.3">
      <c r="A9" t="s">
        <v>25</v>
      </c>
      <c r="B9" t="s">
        <v>26</v>
      </c>
      <c r="D9">
        <v>2</v>
      </c>
      <c r="E9">
        <f t="shared" si="0"/>
        <v>6250000</v>
      </c>
      <c r="F9">
        <v>0.96847000000000005</v>
      </c>
      <c r="G9" s="3">
        <f t="shared" si="1"/>
        <v>6052937.5</v>
      </c>
    </row>
    <row r="10" spans="1:14" x14ac:dyDescent="0.3">
      <c r="D10">
        <v>2.5</v>
      </c>
      <c r="E10">
        <f t="shared" si="0"/>
        <v>6250000</v>
      </c>
      <c r="F10">
        <v>0.95845199999999997</v>
      </c>
      <c r="G10" s="3">
        <f t="shared" si="1"/>
        <v>5990325</v>
      </c>
      <c r="N10">
        <f>N5+N18</f>
        <v>17256456.606780898</v>
      </c>
    </row>
    <row r="11" spans="1:14" x14ac:dyDescent="0.3">
      <c r="D11">
        <v>3</v>
      </c>
      <c r="E11">
        <f t="shared" si="0"/>
        <v>6250000</v>
      </c>
      <c r="F11">
        <v>0.94789400000000001</v>
      </c>
      <c r="G11" s="3">
        <f t="shared" si="1"/>
        <v>5924337.5</v>
      </c>
    </row>
    <row r="12" spans="1:14" x14ac:dyDescent="0.3">
      <c r="D12">
        <v>3.5</v>
      </c>
      <c r="E12">
        <f t="shared" si="0"/>
        <v>6250000</v>
      </c>
      <c r="F12">
        <v>0.93716100000000002</v>
      </c>
      <c r="G12" s="3">
        <f t="shared" si="1"/>
        <v>5857256.25</v>
      </c>
    </row>
    <row r="13" spans="1:14" x14ac:dyDescent="0.3">
      <c r="D13">
        <v>4</v>
      </c>
      <c r="E13">
        <f t="shared" si="0"/>
        <v>6250000</v>
      </c>
      <c r="F13">
        <v>0.92607799999999996</v>
      </c>
      <c r="G13" s="3">
        <f t="shared" si="1"/>
        <v>5787987.5</v>
      </c>
    </row>
    <row r="14" spans="1:14" x14ac:dyDescent="0.3">
      <c r="D14">
        <v>4.5</v>
      </c>
      <c r="E14">
        <f t="shared" si="0"/>
        <v>6250000</v>
      </c>
      <c r="F14">
        <v>0.91489399999999999</v>
      </c>
      <c r="G14" s="3">
        <f t="shared" si="1"/>
        <v>5718087.5</v>
      </c>
    </row>
    <row r="15" spans="1:14" x14ac:dyDescent="0.3">
      <c r="D15">
        <v>5</v>
      </c>
      <c r="E15">
        <f>$B$5*$B$8/2+B5</f>
        <v>256250000</v>
      </c>
      <c r="F15">
        <v>0.90359199999999995</v>
      </c>
      <c r="G15" s="3">
        <f t="shared" si="1"/>
        <v>231545450</v>
      </c>
    </row>
    <row r="17" spans="1:14" x14ac:dyDescent="0.3">
      <c r="A17" t="s">
        <v>34</v>
      </c>
      <c r="D17" t="s">
        <v>27</v>
      </c>
      <c r="E17" t="s">
        <v>28</v>
      </c>
      <c r="F17" t="s">
        <v>29</v>
      </c>
      <c r="G17" t="s">
        <v>30</v>
      </c>
      <c r="H17" t="s">
        <v>36</v>
      </c>
      <c r="I17" t="s">
        <v>31</v>
      </c>
      <c r="J17" t="s">
        <v>32</v>
      </c>
      <c r="K17" t="s">
        <v>33</v>
      </c>
    </row>
    <row r="18" spans="1:14" x14ac:dyDescent="0.3">
      <c r="A18" t="s">
        <v>20</v>
      </c>
      <c r="B18">
        <v>150000000</v>
      </c>
      <c r="D18">
        <v>0</v>
      </c>
      <c r="E18" s="3">
        <f>-H18</f>
        <v>-155308197</v>
      </c>
      <c r="H18" s="3">
        <f>SUM(G19:G24)</f>
        <v>155308197</v>
      </c>
      <c r="I18" s="2">
        <f>IRR(E18:E24)*2</f>
        <v>1.7833153953243475E-2</v>
      </c>
      <c r="J18">
        <f>(1+I18)/I18-(1+I18+B19*(B21-I18))/(B21*(1+I18)^B19-B21+I18)</f>
        <v>2.915085359991437</v>
      </c>
      <c r="K18" s="1">
        <f>J18/(1+I18)</f>
        <v>2.8640110107135972</v>
      </c>
      <c r="N18">
        <f>H18*K18/100</f>
        <v>4448043.8626207644</v>
      </c>
    </row>
    <row r="19" spans="1:14" x14ac:dyDescent="0.3">
      <c r="A19" t="s">
        <v>21</v>
      </c>
      <c r="B19">
        <v>3</v>
      </c>
      <c r="D19">
        <v>0.5</v>
      </c>
      <c r="E19">
        <f>$B$18*$B$21/2</f>
        <v>2250000</v>
      </c>
      <c r="F19">
        <v>0.99377099999999996</v>
      </c>
      <c r="G19" s="3">
        <f>E19*F19</f>
        <v>2235984.75</v>
      </c>
    </row>
    <row r="20" spans="1:14" x14ac:dyDescent="0.3">
      <c r="A20" t="s">
        <v>22</v>
      </c>
      <c r="B20" t="s">
        <v>23</v>
      </c>
      <c r="D20">
        <v>1</v>
      </c>
      <c r="E20">
        <f t="shared" ref="E20:E23" si="2">$B$18*$B$21/2</f>
        <v>2250000</v>
      </c>
      <c r="F20">
        <v>0.98641500000000004</v>
      </c>
      <c r="G20" s="3">
        <f t="shared" ref="G20:G24" si="3">E20*F20</f>
        <v>2219433.75</v>
      </c>
    </row>
    <row r="21" spans="1:14" x14ac:dyDescent="0.3">
      <c r="A21" t="s">
        <v>24</v>
      </c>
      <c r="B21">
        <v>0.03</v>
      </c>
      <c r="D21">
        <v>1.5</v>
      </c>
      <c r="E21">
        <f t="shared" si="2"/>
        <v>2250000</v>
      </c>
      <c r="F21">
        <v>0.97792999999999997</v>
      </c>
      <c r="G21" s="3">
        <f t="shared" si="3"/>
        <v>2200342.5</v>
      </c>
    </row>
    <row r="22" spans="1:14" x14ac:dyDescent="0.3">
      <c r="A22" t="s">
        <v>25</v>
      </c>
      <c r="B22" t="s">
        <v>26</v>
      </c>
      <c r="D22">
        <v>2</v>
      </c>
      <c r="E22">
        <f t="shared" si="2"/>
        <v>2250000</v>
      </c>
      <c r="F22">
        <v>0.96847000000000005</v>
      </c>
      <c r="G22" s="3">
        <f t="shared" si="3"/>
        <v>2179057.5</v>
      </c>
    </row>
    <row r="23" spans="1:14" x14ac:dyDescent="0.3">
      <c r="D23">
        <v>2.5</v>
      </c>
      <c r="E23">
        <f t="shared" si="2"/>
        <v>2250000</v>
      </c>
      <c r="F23">
        <v>0.95845199999999997</v>
      </c>
      <c r="G23" s="3">
        <f t="shared" si="3"/>
        <v>2156517</v>
      </c>
    </row>
    <row r="24" spans="1:14" x14ac:dyDescent="0.3">
      <c r="D24">
        <v>3</v>
      </c>
      <c r="E24">
        <f>$B$18*$B$21/2+B18</f>
        <v>152250000</v>
      </c>
      <c r="F24">
        <v>0.94789400000000001</v>
      </c>
      <c r="G24" s="3">
        <f t="shared" si="3"/>
        <v>144316861.5</v>
      </c>
    </row>
    <row r="31" spans="1:14" x14ac:dyDescent="0.3">
      <c r="A31" t="s">
        <v>35</v>
      </c>
      <c r="B31" s="5" t="s">
        <v>37</v>
      </c>
      <c r="C31" s="6">
        <f>K33</f>
        <v>0.49410594497051802</v>
      </c>
    </row>
    <row r="32" spans="1:14" x14ac:dyDescent="0.3">
      <c r="A32" t="s">
        <v>19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33</v>
      </c>
    </row>
    <row r="33" spans="1:11" x14ac:dyDescent="0.3">
      <c r="A33" t="s">
        <v>20</v>
      </c>
      <c r="B33">
        <v>350000000</v>
      </c>
      <c r="D33">
        <v>0</v>
      </c>
      <c r="E33" s="3">
        <f>-H33</f>
        <v>-348250419.5625</v>
      </c>
      <c r="H33" s="3">
        <f>G34</f>
        <v>348250419.5625</v>
      </c>
      <c r="I33" s="2">
        <f>IRR(E33:E34)*2</f>
        <v>1.2560389390184223E-2</v>
      </c>
      <c r="J33">
        <f>(1+I33)/I33-(1+I33+B34*(B36-I33))/(B36*(1+I33)^B34-B36+I33)</f>
        <v>0.50031210803935267</v>
      </c>
      <c r="K33" s="1">
        <f>J33/(1+I33)</f>
        <v>0.49410594497051802</v>
      </c>
    </row>
    <row r="34" spans="1:11" x14ac:dyDescent="0.3">
      <c r="A34" t="s">
        <v>21</v>
      </c>
      <c r="B34">
        <v>0.5</v>
      </c>
      <c r="D34">
        <v>0.5</v>
      </c>
      <c r="E34">
        <f>B33*B36/2+B33</f>
        <v>350437500</v>
      </c>
      <c r="F34">
        <v>0.99375899999999995</v>
      </c>
      <c r="G34" s="3">
        <f>E34*F34</f>
        <v>348250419.5625</v>
      </c>
    </row>
    <row r="35" spans="1:11" x14ac:dyDescent="0.3">
      <c r="A35" t="s">
        <v>22</v>
      </c>
      <c r="B35" t="s">
        <v>23</v>
      </c>
    </row>
    <row r="36" spans="1:11" x14ac:dyDescent="0.3">
      <c r="A36" t="s">
        <v>24</v>
      </c>
      <c r="B36">
        <v>2.5000000000000001E-3</v>
      </c>
    </row>
    <row r="37" spans="1:11" x14ac:dyDescent="0.3">
      <c r="A37" t="s">
        <v>25</v>
      </c>
      <c r="B37" t="s">
        <v>26</v>
      </c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zoomScale="80" zoomScaleNormal="80" workbookViewId="0">
      <selection activeCell="K5" sqref="K5"/>
    </sheetView>
  </sheetViews>
  <sheetFormatPr defaultRowHeight="14" x14ac:dyDescent="0.3"/>
  <cols>
    <col min="1" max="1" width="13.6640625" customWidth="1"/>
    <col min="2" max="2" width="10.9140625" customWidth="1"/>
    <col min="5" max="8" width="10.4140625" customWidth="1"/>
  </cols>
  <sheetData>
    <row r="1" spans="1:11" ht="17.5" x14ac:dyDescent="0.35">
      <c r="A1" s="9" t="s">
        <v>69</v>
      </c>
    </row>
    <row r="3" spans="1:11" x14ac:dyDescent="0.3">
      <c r="A3" t="s">
        <v>70</v>
      </c>
    </row>
    <row r="4" spans="1:11" x14ac:dyDescent="0.3">
      <c r="A4" t="s">
        <v>72</v>
      </c>
      <c r="B4">
        <v>100</v>
      </c>
      <c r="D4" t="s">
        <v>78</v>
      </c>
      <c r="E4" t="s">
        <v>79</v>
      </c>
      <c r="F4" t="s">
        <v>80</v>
      </c>
      <c r="G4" t="s">
        <v>81</v>
      </c>
      <c r="H4" t="s">
        <v>82</v>
      </c>
      <c r="I4" t="s">
        <v>83</v>
      </c>
      <c r="J4" t="s">
        <v>84</v>
      </c>
      <c r="K4" t="s">
        <v>85</v>
      </c>
    </row>
    <row r="5" spans="1:11" x14ac:dyDescent="0.3">
      <c r="A5" t="s">
        <v>71</v>
      </c>
      <c r="B5">
        <v>10</v>
      </c>
      <c r="D5">
        <v>0</v>
      </c>
      <c r="E5" s="11">
        <f>-H5</f>
        <v>-102.564098785325</v>
      </c>
      <c r="H5" s="11">
        <f>SUM(G6:G25)</f>
        <v>102.564098785325</v>
      </c>
      <c r="I5" s="10">
        <f>IRR(E5:E25)*2</f>
        <v>2.344850824060174E-2</v>
      </c>
      <c r="J5" s="1">
        <f>(1+I5)/I5-(1+I5+B5*(B7-I5))/(B7*(1+I5)^B5-B7+I5)</f>
        <v>8.9369765566825379</v>
      </c>
      <c r="K5" s="1">
        <f>J5/(1+I5)</f>
        <v>8.7322190464139613</v>
      </c>
    </row>
    <row r="6" spans="1:11" x14ac:dyDescent="0.3">
      <c r="A6" t="s">
        <v>73</v>
      </c>
      <c r="B6" t="s">
        <v>74</v>
      </c>
      <c r="D6">
        <v>1</v>
      </c>
      <c r="E6" s="11">
        <f>$B$4*$B$7/2</f>
        <v>1.3169949999999999</v>
      </c>
      <c r="F6" s="11">
        <v>0.99377099999999996</v>
      </c>
      <c r="G6" s="11">
        <f>E6*F6</f>
        <v>1.3087914381449999</v>
      </c>
    </row>
    <row r="7" spans="1:11" x14ac:dyDescent="0.3">
      <c r="A7" t="s">
        <v>75</v>
      </c>
      <c r="B7">
        <v>2.6339899999999999E-2</v>
      </c>
      <c r="D7">
        <v>2</v>
      </c>
      <c r="E7" s="11">
        <f t="shared" ref="E7:E24" si="0">$B$4*$B$7/2</f>
        <v>1.3169949999999999</v>
      </c>
      <c r="F7" s="11">
        <v>0.98641500000000004</v>
      </c>
      <c r="G7" s="11">
        <f t="shared" ref="G7:G25" si="1">E7*F7</f>
        <v>1.2991036229249999</v>
      </c>
    </row>
    <row r="8" spans="1:11" x14ac:dyDescent="0.3">
      <c r="A8" t="s">
        <v>76</v>
      </c>
      <c r="B8" t="s">
        <v>77</v>
      </c>
      <c r="D8">
        <v>3</v>
      </c>
      <c r="E8" s="11">
        <f t="shared" si="0"/>
        <v>1.3169949999999999</v>
      </c>
      <c r="F8" s="11">
        <v>0.97792999999999997</v>
      </c>
      <c r="G8" s="11">
        <f t="shared" si="1"/>
        <v>1.28792892035</v>
      </c>
    </row>
    <row r="9" spans="1:11" x14ac:dyDescent="0.3">
      <c r="D9">
        <v>4</v>
      </c>
      <c r="E9" s="11">
        <f t="shared" si="0"/>
        <v>1.3169949999999999</v>
      </c>
      <c r="F9" s="11">
        <v>0.96847000000000005</v>
      </c>
      <c r="G9" s="11">
        <f t="shared" si="1"/>
        <v>1.2754701476499999</v>
      </c>
    </row>
    <row r="10" spans="1:11" x14ac:dyDescent="0.3">
      <c r="D10">
        <v>5</v>
      </c>
      <c r="E10" s="11">
        <f t="shared" si="0"/>
        <v>1.3169949999999999</v>
      </c>
      <c r="F10" s="11">
        <v>0.95845199999999997</v>
      </c>
      <c r="G10" s="11">
        <f t="shared" si="1"/>
        <v>1.2622764917399998</v>
      </c>
    </row>
    <row r="11" spans="1:11" x14ac:dyDescent="0.3">
      <c r="D11">
        <v>6</v>
      </c>
      <c r="E11" s="11">
        <f t="shared" si="0"/>
        <v>1.3169949999999999</v>
      </c>
      <c r="F11" s="11">
        <v>0.94789400000000001</v>
      </c>
      <c r="G11" s="11">
        <f t="shared" si="1"/>
        <v>1.24837165853</v>
      </c>
    </row>
    <row r="12" spans="1:11" x14ac:dyDescent="0.3">
      <c r="D12">
        <v>7</v>
      </c>
      <c r="E12" s="11">
        <f t="shared" si="0"/>
        <v>1.3169949999999999</v>
      </c>
      <c r="F12" s="11">
        <v>0.93716100000000002</v>
      </c>
      <c r="G12" s="11">
        <f t="shared" si="1"/>
        <v>1.2342363511949999</v>
      </c>
    </row>
    <row r="13" spans="1:11" x14ac:dyDescent="0.3">
      <c r="D13">
        <v>8</v>
      </c>
      <c r="E13" s="11">
        <f t="shared" si="0"/>
        <v>1.3169949999999999</v>
      </c>
      <c r="F13" s="11">
        <v>0.92607799999999996</v>
      </c>
      <c r="G13" s="11">
        <f t="shared" si="1"/>
        <v>1.21964009561</v>
      </c>
    </row>
    <row r="14" spans="1:11" x14ac:dyDescent="0.3">
      <c r="D14">
        <v>9</v>
      </c>
      <c r="E14" s="11">
        <f t="shared" si="0"/>
        <v>1.3169949999999999</v>
      </c>
      <c r="F14" s="11">
        <v>0.91489399999999999</v>
      </c>
      <c r="G14" s="11">
        <f t="shared" si="1"/>
        <v>1.2049108235299999</v>
      </c>
    </row>
    <row r="15" spans="1:11" x14ac:dyDescent="0.3">
      <c r="D15">
        <v>10</v>
      </c>
      <c r="E15" s="11">
        <f t="shared" si="0"/>
        <v>1.3169949999999999</v>
      </c>
      <c r="F15" s="11">
        <v>0.90359199999999995</v>
      </c>
      <c r="G15" s="11">
        <f t="shared" si="1"/>
        <v>1.1900261460399999</v>
      </c>
    </row>
    <row r="16" spans="1:11" x14ac:dyDescent="0.3">
      <c r="D16">
        <v>11</v>
      </c>
      <c r="E16" s="11">
        <f t="shared" si="0"/>
        <v>1.3169949999999999</v>
      </c>
      <c r="F16" s="11">
        <v>0.89218699999999995</v>
      </c>
      <c r="G16" s="11">
        <f t="shared" si="1"/>
        <v>1.1750058180649998</v>
      </c>
    </row>
    <row r="17" spans="1:11" x14ac:dyDescent="0.3">
      <c r="D17">
        <v>12</v>
      </c>
      <c r="E17" s="11">
        <f t="shared" si="0"/>
        <v>1.3169949999999999</v>
      </c>
      <c r="F17" s="11">
        <v>0.88077399999999995</v>
      </c>
      <c r="G17" s="11">
        <f t="shared" si="1"/>
        <v>1.15997495413</v>
      </c>
    </row>
    <row r="18" spans="1:11" x14ac:dyDescent="0.3">
      <c r="D18">
        <v>13</v>
      </c>
      <c r="E18" s="11">
        <f t="shared" si="0"/>
        <v>1.3169949999999999</v>
      </c>
      <c r="F18" s="11">
        <v>0.86930099999999999</v>
      </c>
      <c r="G18" s="11">
        <f t="shared" si="1"/>
        <v>1.1448650704949999</v>
      </c>
    </row>
    <row r="19" spans="1:11" x14ac:dyDescent="0.3">
      <c r="D19">
        <v>14</v>
      </c>
      <c r="E19" s="11">
        <f t="shared" si="0"/>
        <v>1.3169949999999999</v>
      </c>
      <c r="F19" s="11">
        <v>0.8579</v>
      </c>
      <c r="G19" s="11">
        <f t="shared" si="1"/>
        <v>1.1298500105</v>
      </c>
    </row>
    <row r="20" spans="1:11" x14ac:dyDescent="0.3">
      <c r="D20">
        <v>15</v>
      </c>
      <c r="E20" s="11">
        <f t="shared" si="0"/>
        <v>1.3169949999999999</v>
      </c>
      <c r="F20" s="11">
        <v>0.84625700000000004</v>
      </c>
      <c r="G20" s="11">
        <f t="shared" si="1"/>
        <v>1.114516237715</v>
      </c>
    </row>
    <row r="21" spans="1:11" x14ac:dyDescent="0.3">
      <c r="D21">
        <v>16</v>
      </c>
      <c r="E21" s="11">
        <f t="shared" si="0"/>
        <v>1.3169949999999999</v>
      </c>
      <c r="F21" s="11">
        <v>0.83480200000000004</v>
      </c>
      <c r="G21" s="11">
        <f t="shared" si="1"/>
        <v>1.09943005999</v>
      </c>
    </row>
    <row r="22" spans="1:11" x14ac:dyDescent="0.3">
      <c r="D22">
        <v>17</v>
      </c>
      <c r="E22" s="11">
        <f t="shared" si="0"/>
        <v>1.3169949999999999</v>
      </c>
      <c r="F22" s="11">
        <v>0.82347800000000004</v>
      </c>
      <c r="G22" s="11">
        <f t="shared" si="1"/>
        <v>1.0845164086100001</v>
      </c>
    </row>
    <row r="23" spans="1:11" x14ac:dyDescent="0.3">
      <c r="D23">
        <v>18</v>
      </c>
      <c r="E23" s="11">
        <f t="shared" si="0"/>
        <v>1.3169949999999999</v>
      </c>
      <c r="F23" s="11">
        <v>0.81213500000000005</v>
      </c>
      <c r="G23" s="11">
        <f t="shared" si="1"/>
        <v>1.0695777343249999</v>
      </c>
    </row>
    <row r="24" spans="1:11" x14ac:dyDescent="0.3">
      <c r="D24">
        <v>19</v>
      </c>
      <c r="E24" s="11">
        <f t="shared" si="0"/>
        <v>1.3169949999999999</v>
      </c>
      <c r="F24" s="11">
        <v>0.80083400000000005</v>
      </c>
      <c r="G24" s="11">
        <f t="shared" si="1"/>
        <v>1.0546943738300001</v>
      </c>
    </row>
    <row r="25" spans="1:11" x14ac:dyDescent="0.3">
      <c r="D25">
        <v>20</v>
      </c>
      <c r="E25" s="11">
        <f>$B$4*$B$7/2+B4</f>
        <v>101.31699500000001</v>
      </c>
      <c r="F25" s="11">
        <v>0.78961000000000003</v>
      </c>
      <c r="G25" s="11">
        <f t="shared" si="1"/>
        <v>80.000912421950005</v>
      </c>
    </row>
    <row r="28" spans="1:11" x14ac:dyDescent="0.3">
      <c r="A28" t="s">
        <v>86</v>
      </c>
    </row>
    <row r="29" spans="1:11" x14ac:dyDescent="0.3">
      <c r="A29" t="s">
        <v>72</v>
      </c>
      <c r="B29">
        <v>100</v>
      </c>
      <c r="D29" t="s">
        <v>78</v>
      </c>
      <c r="E29" t="s">
        <v>79</v>
      </c>
      <c r="F29" t="s">
        <v>80</v>
      </c>
      <c r="G29" t="s">
        <v>81</v>
      </c>
      <c r="H29" t="s">
        <v>82</v>
      </c>
      <c r="I29" t="s">
        <v>83</v>
      </c>
      <c r="J29" t="s">
        <v>84</v>
      </c>
      <c r="K29" t="s">
        <v>85</v>
      </c>
    </row>
    <row r="30" spans="1:11" x14ac:dyDescent="0.3">
      <c r="A30" t="s">
        <v>71</v>
      </c>
      <c r="B30">
        <v>0.5</v>
      </c>
      <c r="D30">
        <v>0</v>
      </c>
      <c r="E30">
        <f>-H30</f>
        <v>-100</v>
      </c>
      <c r="H30">
        <f>G31</f>
        <v>100</v>
      </c>
      <c r="I30" s="10">
        <f>IRR(E30:E31)*2</f>
        <v>1.2536087287715159E-2</v>
      </c>
      <c r="J30" s="1">
        <f>(1+I30)/I30-(1+I30+B30*(B32-I30))/(B32*(1+I30)^B30-B32+I30)</f>
        <v>0.50078105762750624</v>
      </c>
      <c r="K30">
        <f>J30/(1+I30)</f>
        <v>0.49458094769634398</v>
      </c>
    </row>
    <row r="31" spans="1:11" x14ac:dyDescent="0.3">
      <c r="A31" t="s">
        <v>73</v>
      </c>
      <c r="B31" t="s">
        <v>87</v>
      </c>
      <c r="D31">
        <v>1</v>
      </c>
      <c r="E31">
        <f>100*B32+B29</f>
        <v>100.62680436438576</v>
      </c>
      <c r="F31" s="11">
        <v>0.99377099999999996</v>
      </c>
      <c r="G31">
        <f>E31*F31</f>
        <v>100</v>
      </c>
    </row>
    <row r="32" spans="1:11" x14ac:dyDescent="0.3">
      <c r="A32" t="s">
        <v>75</v>
      </c>
      <c r="B32" s="12">
        <f>1/F31-1</f>
        <v>6.2680436438575793E-3</v>
      </c>
    </row>
    <row r="33" spans="1:2" x14ac:dyDescent="0.3">
      <c r="A33" t="s">
        <v>76</v>
      </c>
      <c r="B33" t="s">
        <v>88</v>
      </c>
    </row>
  </sheetData>
  <phoneticPr fontId="7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80" zoomScaleNormal="80" workbookViewId="0">
      <selection activeCell="G3" sqref="G3"/>
    </sheetView>
  </sheetViews>
  <sheetFormatPr defaultRowHeight="14" x14ac:dyDescent="0.3"/>
  <cols>
    <col min="1" max="1" width="12.83203125" customWidth="1"/>
    <col min="2" max="2" width="11" hidden="1" customWidth="1"/>
    <col min="3" max="3" width="11.9140625" hidden="1" customWidth="1"/>
    <col min="4" max="4" width="9.1640625" hidden="1" customWidth="1"/>
    <col min="5" max="5" width="8.4140625" customWidth="1"/>
    <col min="6" max="6" width="9.1640625" hidden="1" customWidth="1"/>
  </cols>
  <sheetData>
    <row r="1" spans="1:6" ht="14.5" x14ac:dyDescent="0.35">
      <c r="A1" s="8" t="s">
        <v>43</v>
      </c>
      <c r="B1" s="8" t="s">
        <v>44</v>
      </c>
      <c r="C1" s="8" t="s">
        <v>45</v>
      </c>
      <c r="D1" s="8" t="s">
        <v>46</v>
      </c>
      <c r="E1" s="8" t="s">
        <v>47</v>
      </c>
      <c r="F1" s="8" t="s">
        <v>30</v>
      </c>
    </row>
    <row r="2" spans="1:6" x14ac:dyDescent="0.3">
      <c r="A2" t="s">
        <v>67</v>
      </c>
      <c r="B2">
        <v>117362.5</v>
      </c>
      <c r="C2">
        <v>-72941.179999999993</v>
      </c>
      <c r="D2">
        <v>44421.32</v>
      </c>
      <c r="E2" s="4">
        <v>0.99377099999999996</v>
      </c>
      <c r="F2">
        <v>44144.63</v>
      </c>
    </row>
    <row r="3" spans="1:6" x14ac:dyDescent="0.3">
      <c r="A3" t="s">
        <v>66</v>
      </c>
      <c r="B3">
        <v>117362.5</v>
      </c>
      <c r="C3">
        <v>-82660.56</v>
      </c>
      <c r="D3">
        <v>34701.94</v>
      </c>
      <c r="E3" s="4">
        <v>0.98641500000000004</v>
      </c>
      <c r="F3">
        <v>34230.5</v>
      </c>
    </row>
    <row r="4" spans="1:6" x14ac:dyDescent="0.3">
      <c r="A4" t="s">
        <v>48</v>
      </c>
      <c r="B4">
        <v>116710.49</v>
      </c>
      <c r="C4">
        <v>-94277.88</v>
      </c>
      <c r="D4">
        <v>22432.6</v>
      </c>
      <c r="E4" s="4">
        <v>0.97792999999999997</v>
      </c>
      <c r="F4">
        <v>21937.51</v>
      </c>
    </row>
    <row r="5" spans="1:6" x14ac:dyDescent="0.3">
      <c r="A5" t="s">
        <v>65</v>
      </c>
      <c r="B5">
        <v>118014.51</v>
      </c>
      <c r="C5">
        <v>-103803.6</v>
      </c>
      <c r="D5">
        <v>14210.92</v>
      </c>
      <c r="E5" s="4">
        <v>0.96847000000000005</v>
      </c>
      <c r="F5">
        <v>13762.84</v>
      </c>
    </row>
    <row r="6" spans="1:6" x14ac:dyDescent="0.3">
      <c r="A6" t="s">
        <v>49</v>
      </c>
      <c r="B6">
        <v>118014.51</v>
      </c>
      <c r="C6">
        <v>-109981.12</v>
      </c>
      <c r="D6">
        <v>8033.4</v>
      </c>
      <c r="E6" s="4">
        <v>0.95845199999999997</v>
      </c>
      <c r="F6">
        <v>7699.62</v>
      </c>
    </row>
    <row r="7" spans="1:6" x14ac:dyDescent="0.3">
      <c r="A7" t="s">
        <v>50</v>
      </c>
      <c r="B7">
        <v>117362.5</v>
      </c>
      <c r="C7">
        <v>-116748.14</v>
      </c>
      <c r="D7">
        <v>614.36</v>
      </c>
      <c r="E7" s="4">
        <v>0.94789400000000001</v>
      </c>
      <c r="F7">
        <v>582.35</v>
      </c>
    </row>
    <row r="8" spans="1:6" x14ac:dyDescent="0.3">
      <c r="A8" t="s">
        <v>64</v>
      </c>
      <c r="B8">
        <v>116710.49</v>
      </c>
      <c r="C8">
        <v>-119908.84</v>
      </c>
      <c r="D8">
        <v>-3198.35</v>
      </c>
      <c r="E8" s="4">
        <v>0.93716100000000002</v>
      </c>
      <c r="F8">
        <v>-2997.37</v>
      </c>
    </row>
    <row r="9" spans="1:6" x14ac:dyDescent="0.3">
      <c r="A9" t="s">
        <v>51</v>
      </c>
      <c r="B9">
        <v>117362.5</v>
      </c>
      <c r="C9">
        <v>-124993.4</v>
      </c>
      <c r="D9">
        <v>-7630.9</v>
      </c>
      <c r="E9" s="4">
        <v>0.92607799999999996</v>
      </c>
      <c r="F9">
        <v>-7066.81</v>
      </c>
    </row>
    <row r="10" spans="1:6" x14ac:dyDescent="0.3">
      <c r="A10" t="s">
        <v>63</v>
      </c>
      <c r="B10">
        <v>117362.5</v>
      </c>
      <c r="C10">
        <v>-127807.65</v>
      </c>
      <c r="D10">
        <v>-10445.15</v>
      </c>
      <c r="E10" s="4">
        <v>0.91489399999999999</v>
      </c>
      <c r="F10">
        <v>-9556.2000000000007</v>
      </c>
    </row>
    <row r="11" spans="1:6" x14ac:dyDescent="0.3">
      <c r="A11" t="s">
        <v>62</v>
      </c>
      <c r="B11">
        <v>117362.5</v>
      </c>
      <c r="C11">
        <v>-130555.33</v>
      </c>
      <c r="D11">
        <v>-13192.84</v>
      </c>
      <c r="E11" s="4">
        <v>0.90359199999999995</v>
      </c>
      <c r="F11">
        <v>-11920.94</v>
      </c>
    </row>
    <row r="12" spans="1:6" x14ac:dyDescent="0.3">
      <c r="A12" t="s">
        <v>61</v>
      </c>
      <c r="B12">
        <v>117362.5</v>
      </c>
      <c r="C12">
        <v>-134045.57999999999</v>
      </c>
      <c r="D12">
        <v>-16683.080000000002</v>
      </c>
      <c r="E12" s="4">
        <v>0.89218699999999995</v>
      </c>
      <c r="F12">
        <v>-14884.42</v>
      </c>
    </row>
    <row r="13" spans="1:6" x14ac:dyDescent="0.3">
      <c r="A13" t="s">
        <v>60</v>
      </c>
      <c r="B13">
        <v>117362.5</v>
      </c>
      <c r="C13">
        <v>-135685.57</v>
      </c>
      <c r="D13">
        <v>-18323.07</v>
      </c>
      <c r="E13" s="4">
        <v>0.88077399999999995</v>
      </c>
      <c r="F13">
        <v>-16138.48</v>
      </c>
    </row>
    <row r="14" spans="1:6" x14ac:dyDescent="0.3">
      <c r="A14" t="s">
        <v>59</v>
      </c>
      <c r="B14">
        <v>117362.5</v>
      </c>
      <c r="C14">
        <v>-138189.51999999999</v>
      </c>
      <c r="D14">
        <v>-20827.02</v>
      </c>
      <c r="E14" s="4">
        <v>0.86930099999999999</v>
      </c>
      <c r="F14">
        <v>-18104.95</v>
      </c>
    </row>
    <row r="15" spans="1:6" x14ac:dyDescent="0.3">
      <c r="A15" t="s">
        <v>52</v>
      </c>
      <c r="B15">
        <v>116710.49</v>
      </c>
      <c r="C15">
        <v>-138998.16</v>
      </c>
      <c r="D15">
        <v>-22287.68</v>
      </c>
      <c r="E15" s="4">
        <v>0.8579</v>
      </c>
      <c r="F15">
        <v>-19120.599999999999</v>
      </c>
    </row>
    <row r="16" spans="1:6" x14ac:dyDescent="0.3">
      <c r="A16" t="s">
        <v>53</v>
      </c>
      <c r="B16">
        <v>118666.53</v>
      </c>
      <c r="C16">
        <v>-145808.26</v>
      </c>
      <c r="D16">
        <v>-27141.73</v>
      </c>
      <c r="E16" s="4">
        <v>0.84625700000000004</v>
      </c>
      <c r="F16">
        <v>-22968.89</v>
      </c>
    </row>
    <row r="17" spans="1:6" x14ac:dyDescent="0.3">
      <c r="A17" t="s">
        <v>58</v>
      </c>
      <c r="B17">
        <v>117362.5</v>
      </c>
      <c r="C17">
        <v>-145272.4</v>
      </c>
      <c r="D17">
        <v>-27909.9</v>
      </c>
      <c r="E17" s="4">
        <v>0.83480200000000004</v>
      </c>
      <c r="F17">
        <v>-23299.24</v>
      </c>
    </row>
    <row r="18" spans="1:6" x14ac:dyDescent="0.3">
      <c r="A18" t="s">
        <v>54</v>
      </c>
      <c r="B18">
        <v>116710.49</v>
      </c>
      <c r="C18">
        <v>-145575.13</v>
      </c>
      <c r="D18">
        <v>-28864.65</v>
      </c>
      <c r="E18" s="4">
        <v>0.82347800000000004</v>
      </c>
      <c r="F18">
        <v>-23769.39</v>
      </c>
    </row>
    <row r="19" spans="1:6" x14ac:dyDescent="0.3">
      <c r="A19" t="s">
        <v>55</v>
      </c>
      <c r="B19">
        <v>118014.51</v>
      </c>
      <c r="C19">
        <v>-147720.76</v>
      </c>
      <c r="D19">
        <v>-29706.25</v>
      </c>
      <c r="E19" s="4">
        <v>0.81213500000000005</v>
      </c>
      <c r="F19">
        <v>-24125.47</v>
      </c>
    </row>
    <row r="20" spans="1:6" x14ac:dyDescent="0.3">
      <c r="A20" t="s">
        <v>57</v>
      </c>
      <c r="B20">
        <v>116710.49</v>
      </c>
      <c r="C20">
        <v>-149201.5</v>
      </c>
      <c r="D20">
        <v>-32491.01</v>
      </c>
      <c r="E20" s="4">
        <v>0.80083400000000005</v>
      </c>
      <c r="F20">
        <v>-26019.919999999998</v>
      </c>
    </row>
    <row r="21" spans="1:6" x14ac:dyDescent="0.3">
      <c r="A21" t="s">
        <v>56</v>
      </c>
      <c r="B21">
        <v>10118014.51</v>
      </c>
      <c r="C21">
        <v>-10150202.34</v>
      </c>
      <c r="D21">
        <v>-32187.83</v>
      </c>
      <c r="E21" s="4">
        <v>0.78961000000000003</v>
      </c>
      <c r="F21">
        <v>-25415.83</v>
      </c>
    </row>
  </sheetData>
  <phoneticPr fontId="7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Q4</vt:lpstr>
      <vt:lpstr>Q2&amp;3</vt:lpstr>
      <vt:lpstr>Q2&amp;3s</vt:lpstr>
      <vt:lpstr>Q2&amp;3ss</vt:lpstr>
      <vt:lpstr>Mar27's DFs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Xihui H</dc:creator>
  <cp:lastModifiedBy>BarneyH</cp:lastModifiedBy>
  <dcterms:created xsi:type="dcterms:W3CDTF">2017-03-24T16:08:01Z</dcterms:created>
  <dcterms:modified xsi:type="dcterms:W3CDTF">2017-04-29T01:02:31Z</dcterms:modified>
</cp:coreProperties>
</file>