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tcdud-my.sharepoint.com/personal/broantre_tcd_ie/Documents/Research/2024 election/"/>
    </mc:Choice>
  </mc:AlternateContent>
  <xr:revisionPtr revIDLastSave="964" documentId="8_{A7A65AFF-E6D1-7340-8CAC-D9FEF0D9617C}" xr6:coauthVersionLast="47" xr6:coauthVersionMax="47" xr10:uidLastSave="{945F19DE-B9FD-AC4C-AA57-D7F1023A9913}"/>
  <bookViews>
    <workbookView xWindow="0" yWindow="760" windowWidth="30240" windowHeight="17820" activeTab="6" xr2:uid="{7208FA8F-E33C-2340-9B71-B0A8AD09DE1D}"/>
  </bookViews>
  <sheets>
    <sheet name="Chart 1" sheetId="2" r:id="rId1"/>
    <sheet name="Chart 2a" sheetId="7" r:id="rId2"/>
    <sheet name="Chart 2b" sheetId="8" r:id="rId3"/>
    <sheet name="Chart 3" sheetId="5" r:id="rId4"/>
    <sheet name="Chart 4" sheetId="4" r:id="rId5"/>
    <sheet name="Chart 5" sheetId="6" r:id="rId6"/>
    <sheet name="calcs" sheetId="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9" i="1" l="1"/>
  <c r="M38" i="1"/>
  <c r="M37" i="1"/>
  <c r="M36" i="1"/>
  <c r="D38" i="1"/>
  <c r="E38" i="1"/>
  <c r="F38" i="1"/>
  <c r="G38" i="1"/>
  <c r="H38" i="1"/>
  <c r="D36" i="1"/>
  <c r="E36" i="1"/>
  <c r="F36" i="1"/>
  <c r="G36" i="1"/>
  <c r="H36" i="1"/>
  <c r="C36" i="1"/>
  <c r="J37" i="1"/>
  <c r="J38" i="1"/>
  <c r="J39" i="1"/>
  <c r="D3" i="1"/>
  <c r="E3" i="1"/>
  <c r="F3" i="1"/>
  <c r="G3" i="1"/>
  <c r="H3" i="1"/>
  <c r="B3" i="1"/>
  <c r="C3" i="1"/>
  <c r="B32" i="1" l="1"/>
  <c r="B31" i="1"/>
  <c r="B33" i="1" s="1"/>
  <c r="C31" i="1"/>
  <c r="C33" i="1" s="1"/>
  <c r="C32" i="1"/>
  <c r="H24" i="1"/>
  <c r="G24" i="1"/>
  <c r="F24" i="1"/>
  <c r="E24" i="1"/>
  <c r="B24" i="1"/>
  <c r="B28" i="1" s="1"/>
  <c r="D24" i="1"/>
  <c r="C24" i="1"/>
  <c r="C22" i="1"/>
  <c r="D22" i="1"/>
  <c r="E22" i="1"/>
  <c r="F22" i="1"/>
  <c r="G22" i="1"/>
  <c r="H22" i="1"/>
  <c r="B22" i="1"/>
  <c r="G16" i="1"/>
  <c r="G37" i="1" s="1"/>
  <c r="F16" i="1"/>
  <c r="F37" i="1" s="1"/>
  <c r="E16" i="1"/>
  <c r="E37" i="1" s="1"/>
  <c r="D16" i="1"/>
  <c r="D37" i="1" s="1"/>
  <c r="B45" i="1"/>
  <c r="B44" i="1"/>
  <c r="B43" i="1"/>
  <c r="K11" i="1"/>
  <c r="K17" i="1"/>
  <c r="K39" i="1"/>
  <c r="I36" i="1"/>
  <c r="L36" i="1" s="1"/>
  <c r="C18" i="1"/>
  <c r="C12" i="1"/>
  <c r="C16" i="1"/>
  <c r="C10" i="1"/>
  <c r="C11" i="1" s="1"/>
  <c r="K9" i="1"/>
  <c r="L9" i="1" s="1"/>
  <c r="C4" i="1"/>
  <c r="D4" i="1" s="1"/>
  <c r="K15" i="1"/>
  <c r="L15" i="1" s="1"/>
  <c r="C5" i="1"/>
  <c r="D5" i="1" s="1"/>
  <c r="E5" i="1" s="1"/>
  <c r="F5" i="1" s="1"/>
  <c r="G5" i="1" s="1"/>
  <c r="H5" i="1" s="1"/>
  <c r="D44" i="1" s="1"/>
  <c r="K3" i="1"/>
  <c r="L3" i="1" s="1"/>
  <c r="D18" i="1" l="1"/>
  <c r="C39" i="1"/>
  <c r="H16" i="1"/>
  <c r="C37" i="1"/>
  <c r="C6" i="1"/>
  <c r="D12" i="1"/>
  <c r="D6" i="1" s="1"/>
  <c r="E28" i="1"/>
  <c r="D28" i="1"/>
  <c r="E4" i="1"/>
  <c r="F4" i="1" s="1"/>
  <c r="G4" i="1" s="1"/>
  <c r="H4" i="1" s="1"/>
  <c r="D43" i="1" s="1"/>
  <c r="C43" i="1" s="1"/>
  <c r="D10" i="1"/>
  <c r="G28" i="1"/>
  <c r="C28" i="1"/>
  <c r="F28" i="1"/>
  <c r="H28" i="1"/>
  <c r="K5" i="1"/>
  <c r="L11" i="1"/>
  <c r="C17" i="1"/>
  <c r="C38" i="1" s="1"/>
  <c r="K16" i="1" l="1"/>
  <c r="L16" i="1" s="1"/>
  <c r="H37" i="1"/>
  <c r="E18" i="1"/>
  <c r="D39" i="1"/>
  <c r="F10" i="1"/>
  <c r="H10" i="1"/>
  <c r="K10" i="1" s="1"/>
  <c r="K4" i="1"/>
  <c r="L4" i="1" s="1"/>
  <c r="E12" i="1"/>
  <c r="E6" i="1" s="1"/>
  <c r="G10" i="1"/>
  <c r="E10" i="1"/>
  <c r="L17" i="1"/>
  <c r="I37" i="1"/>
  <c r="L37" i="1" s="1"/>
  <c r="I38" i="1"/>
  <c r="L38" i="1" s="1"/>
  <c r="L5" i="1"/>
  <c r="F18" i="1" l="1"/>
  <c r="E39" i="1"/>
  <c r="F12" i="1"/>
  <c r="F6" i="1" s="1"/>
  <c r="L10" i="1"/>
  <c r="G18" i="1" l="1"/>
  <c r="F39" i="1"/>
  <c r="G12" i="1"/>
  <c r="G6" i="1" s="1"/>
  <c r="H18" i="1" l="1"/>
  <c r="G39" i="1"/>
  <c r="H12" i="1"/>
  <c r="H6" i="1" s="1"/>
  <c r="K18" i="1" l="1"/>
  <c r="L18" i="1" s="1"/>
  <c r="H39" i="1"/>
  <c r="I39" i="1" s="1"/>
  <c r="L39" i="1" s="1"/>
  <c r="D45" i="1"/>
  <c r="K6" i="1"/>
  <c r="K12" i="1"/>
  <c r="L6" i="1" l="1"/>
  <c r="L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tc={625D9663-60C4-4346-89F8-DFD8A4B9AE85}</author>
    <author>tc={3A583D0B-EB78-3A43-9E46-E9A3343DF9A8}</author>
    <author>tc={688F4A71-EEEA-264C-938B-BA23ADF00336}</author>
    <author>tc={9CD2A939-8826-974D-99C7-90024FB4009F}</author>
    <author>tc={1F5F44E8-124C-1E4B-BFD5-F433CE936EE0}</author>
    <author>tc={89ABBAA7-65B3-C04A-9B61-DEE69B22335F}</author>
    <author>tc={4A50C08E-74CE-A249-A8E3-CAE24609199B}</author>
    <author>tc={F078C8A3-C1CB-DE4C-A47B-4BE6896F2285}</author>
    <author>tc={EE5D8944-A858-D043-A0AD-9764B49E64F3}</author>
    <author>tc={BBB0D3F5-DC76-C343-835D-7E65787BFB1B}</author>
    <author>tc={C8119806-3340-C94E-BEEC-CC42ED17A53B}</author>
  </authors>
  <commentList>
    <comment ref="A4" authorId="0" shapeId="0" xr:uid="{625D9663-60C4-4346-89F8-DFD8A4B9AE85}">
      <text>
        <t>[Threaded comment]
Your version of Excel allows you to read this threaded comment; however, any edits to it will get removed if the file is opened in a newer version of Excel. Learn more: https://go.microsoft.com/fwlink/?linkid=870924
Comment:
    FG manifesto p.116</t>
      </text>
    </comment>
    <comment ref="A5" authorId="1" shapeId="0" xr:uid="{3A583D0B-EB78-3A43-9E46-E9A3343DF9A8}">
      <text>
        <t>[Threaded comment]
Your version of Excel allows you to read this threaded comment; however, any edits to it will get removed if the file is opened in a newer version of Excel. Learn more: https://go.microsoft.com/fwlink/?linkid=870924
Comment:
    FF Manifesto p.190</t>
      </text>
    </comment>
    <comment ref="A6" authorId="2" shapeId="0" xr:uid="{688F4A71-EEEA-264C-938B-BA23ADF00336}">
      <text>
        <t>[Threaded comment]
Your version of Excel allows you to read this threaded comment; however, any edits to it will get removed if the file is opened in a newer version of Excel. Learn more: https://go.microsoft.com/fwlink/?linkid=870924
Comment:
    SF specify increases rather than levels on p.169 of manifesto, so have added these starting from 2025 start point given by Budget 2025 EFO T11</t>
      </text>
    </comment>
    <comment ref="A10" authorId="3" shapeId="0" xr:uid="{9CD2A939-8826-974D-99C7-90024FB4009F}">
      <text>
        <t>[Threaded comment]
Your version of Excel allows you to read this threaded comment; however, any edits to it will get removed if the file is opened in a newer version of Excel. Learn more: https://go.microsoft.com/fwlink/?linkid=870924
Comment:
    FG manifesto just gives increase in current voted per year by 2030, so back out profile by taking away voted capital from total voted, assuming voted capital follows same path as Budget 2025 EFO</t>
      </text>
    </comment>
    <comment ref="A11" authorId="4" shapeId="0" xr:uid="{1F5F44E8-124C-1E4B-BFD5-F433CE936EE0}">
      <text>
        <t>[Threaded comment]
Your version of Excel allows you to read this threaded comment; however, any edits to it will get removed if the file is opened in a newer version of Excel. Learn more: https://go.microsoft.com/fwlink/?linkid=870924
Comment:
    FF provide these numbers on p.190 of manifesto</t>
      </text>
    </comment>
    <comment ref="A12" authorId="5" shapeId="0" xr:uid="{89ABBAA7-65B3-C04A-9B61-DEE69B22335F}">
      <text>
        <t>[Threaded comment]
Your version of Excel allows you to read this threaded comment; however, any edits to it will get removed if the file is opened in a newer version of Excel. Learn more: https://go.microsoft.com/fwlink/?linkid=870924
Comment:
    SF specify increases rather than levels on p.169 of manifesto, so have added these starting from 2025 start point given by Budget 2025 EFO T11</t>
      </text>
    </comment>
    <comment ref="A16" authorId="6" shapeId="0" xr:uid="{4A50C08E-74CE-A249-A8E3-CAE24609199B}">
      <text>
        <t xml:space="preserve">[Threaded comment]
Your version of Excel allows you to read this threaded comment; however, any edits to it will get removed if the file is opened in a newer version of Excel. Learn more: https://go.microsoft.com/fwlink/?linkid=870924
Comment:
    Adding the FG voted capital increase per year by 2030 from p.116 of manifesto and implied path from capital spending matching EFO T11 until that point </t>
      </text>
    </comment>
    <comment ref="A17" authorId="7" shapeId="0" xr:uid="{F078C8A3-C1CB-DE4C-A47B-4BE6896F2285}">
      <text>
        <t>[Threaded comment]
Your version of Excel allows you to read this threaded comment; however, any edits to it will get removed if the file is opened in a newer version of Excel. Learn more: https://go.microsoft.com/fwlink/?linkid=870924
Comment:
    From p.190 of FF manifesto</t>
      </text>
    </comment>
    <comment ref="A18" authorId="8" shapeId="0" xr:uid="{EE5D8944-A858-D043-A0AD-9764B49E64F3}">
      <text>
        <t>[Threaded comment]
Your version of Excel allows you to read this threaded comment; however, any edits to it will get removed if the file is opened in a newer version of Excel. Learn more: https://go.microsoft.com/fwlink/?linkid=870924
Comment:
    SF specify increases rather than levels on p.169 of manifesto, so have added these starting from 2025 start point given by Budget 2025 EFO T11</t>
      </text>
    </comment>
    <comment ref="A43" authorId="9" shapeId="0" xr:uid="{BBB0D3F5-DC76-C343-835D-7E65787BFB1B}">
      <text>
        <t>[Threaded comment]
Your version of Excel allows you to read this threaded comment; however, any edits to it will get removed if the file is opened in a newer version of Excel. Learn more: https://go.microsoft.com/fwlink/?linkid=870924
Comment:
    Note that FG appear not to have specified in their manifesto	 how 7bn of the increase in total voted expenditure they are promising will be spent. This largely offsets the very low existing level of services figure (15.5bn vs 22bn estimated by IFAC)</t>
      </text>
    </comment>
    <comment ref="A44" authorId="10" shapeId="0" xr:uid="{C8119806-3340-C94E-BEEC-CC42ED17A53B}">
      <text>
        <t>[Threaded comment]
Your version of Excel allows you to read this threaded comment; however, any edits to it will get removed if the file is opened in a newer version of Excel. Learn more: https://go.microsoft.com/fwlink/?linkid=870924
Comment:
    FF’s manifesto commitments come to more than they say total voted expenditure will increase. Not clear why this is.</t>
      </text>
    </comment>
  </commentList>
</comments>
</file>

<file path=xl/sharedStrings.xml><?xml version="1.0" encoding="utf-8"?>
<sst xmlns="http://schemas.openxmlformats.org/spreadsheetml/2006/main" count="45" uniqueCount="30">
  <si>
    <t>Fine Gael</t>
  </si>
  <si>
    <t>Fianna Fáil</t>
  </si>
  <si>
    <t>Sinn Féin</t>
  </si>
  <si>
    <t>Budget 2025 EFO (T11)</t>
  </si>
  <si>
    <t>D.2025-2030</t>
  </si>
  <si>
    <t>Table 1a. Gross voted current expenditure</t>
  </si>
  <si>
    <t>%D.2025-2030</t>
  </si>
  <si>
    <t>Other GG capital spending</t>
  </si>
  <si>
    <t>Total</t>
  </si>
  <si>
    <t>Manifesto commitments</t>
  </si>
  <si>
    <t xml:space="preserve">Unspecified </t>
  </si>
  <si>
    <t>Gross voted capital spending</t>
  </si>
  <si>
    <t>Transfer to FIF</t>
  </si>
  <si>
    <t>Transfer to ICNF</t>
  </si>
  <si>
    <t>GG spending (T A8 of Budget 2025 EFO)</t>
  </si>
  <si>
    <t>GG:voted</t>
  </si>
  <si>
    <t>Apple escrow/AIB</t>
  </si>
  <si>
    <t>Table 1. Gross voted expenditure</t>
  </si>
  <si>
    <t>non-voted current (Budget 2025 T11)</t>
  </si>
  <si>
    <t>gross current (Budget 2025 T11)</t>
  </si>
  <si>
    <t>Table 1b. Gross voted  capital expenditure</t>
  </si>
  <si>
    <t>Table 2. non-voted expenditure</t>
  </si>
  <si>
    <t>non-voted capital (Budget 2025 EFO table 11, excluding transfers to FIF and ICNF)</t>
  </si>
  <si>
    <t>Gross voted &amp; non-voted expenditure (Budget 2025 EFO T11)</t>
  </si>
  <si>
    <t>GG - voted</t>
  </si>
  <si>
    <t>(GG - voted)/GG</t>
  </si>
  <si>
    <t>Total gross voted expenditure</t>
  </si>
  <si>
    <t>Table 3. Cumulative capital investment, 2025-2030</t>
  </si>
  <si>
    <t>Table 4. Additional Gross Voted Expenditure per year, 2030</t>
  </si>
  <si>
    <t>% increase vs EFO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</si>
</sst>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2"/>
      <color theme="1"/>
      <name val="Aptos Narrow"/>
      <family val="2"/>
      <scheme val="minor"/>
    </font>
    <font>
      <b/>
      <sz val="12"/>
      <color theme="1"/>
      <name val="Aptos Narrow"/>
      <scheme val="minor"/>
    </font>
    <font>
      <sz val="7"/>
      <color rgb="FF000000"/>
      <name val="Arial"/>
      <family val="2"/>
    </font>
    <font>
      <i/>
      <sz val="12"/>
      <color theme="1"/>
      <name val="Aptos Narrow"/>
      <scheme val="minor"/>
    </font>
    <font>
      <sz val="10"/>
      <color rgb="FF000000"/>
      <name val="Tahoma"/>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3" fontId="0" fillId="0" borderId="0" xfId="0" applyNumberFormat="1"/>
    <xf numFmtId="0" fontId="1" fillId="0" borderId="0" xfId="0" applyFont="1"/>
    <xf numFmtId="164" fontId="0" fillId="0" borderId="0" xfId="0" applyNumberFormat="1"/>
    <xf numFmtId="165" fontId="0" fillId="0" borderId="0" xfId="0" applyNumberFormat="1"/>
    <xf numFmtId="9" fontId="0" fillId="0" borderId="0" xfId="0" applyNumberFormat="1"/>
    <xf numFmtId="0" fontId="2" fillId="0" borderId="0" xfId="0" applyFont="1"/>
    <xf numFmtId="3" fontId="2" fillId="0" borderId="0" xfId="0" applyNumberFormat="1" applyFont="1"/>
    <xf numFmtId="10" fontId="0" fillId="0" borderId="0" xfId="0" applyNumberFormat="1"/>
    <xf numFmtId="0" fontId="3" fillId="0" borderId="0" xfId="0" applyFont="1"/>
    <xf numFmtId="0" fontId="5" fillId="0" borderId="0" xfId="0" applyFont="1"/>
    <xf numFmtId="3"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3.xml"/><Relationship Id="rId7" Type="http://schemas.openxmlformats.org/officeDocument/2006/relationships/worksheet" Target="worksheets/sheet1.xml"/><Relationship Id="rId12" Type="http://schemas.openxmlformats.org/officeDocument/2006/relationships/calcChain" Target="calcChain.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chartsheet" Target="chartsheets/sheet6.xml"/><Relationship Id="rId11" Type="http://schemas.microsoft.com/office/2017/10/relationships/person" Target="persons/person.xml"/><Relationship Id="rId5" Type="http://schemas.openxmlformats.org/officeDocument/2006/relationships/chartsheet" Target="chartsheets/sheet5.xml"/><Relationship Id="rId10" Type="http://schemas.openxmlformats.org/officeDocument/2006/relationships/sharedStrings" Target="sharedStrings.xml"/><Relationship Id="rId4" Type="http://schemas.openxmlformats.org/officeDocument/2006/relationships/chartsheet" Target="chart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IE"/>
              <a:t>Parties' plans for</a:t>
            </a:r>
            <a:r>
              <a:rPr lang="en-IE" baseline="0"/>
              <a:t> total gross voted expenditure</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calcs!$A$3</c:f>
              <c:strCache>
                <c:ptCount val="1"/>
                <c:pt idx="0">
                  <c:v>Budget 2025 EFO (T11)</c:v>
                </c:pt>
              </c:strCache>
            </c:strRef>
          </c:tx>
          <c:spPr>
            <a:ln w="19050" cap="rnd">
              <a:solidFill>
                <a:schemeClr val="accent1"/>
              </a:solidFill>
              <a:prstDash val="sysDot"/>
              <a:round/>
            </a:ln>
            <a:effectLst/>
          </c:spPr>
          <c:marker>
            <c:symbol val="circle"/>
            <c:size val="5"/>
            <c:spPr>
              <a:solidFill>
                <a:schemeClr val="accent1"/>
              </a:solidFill>
              <a:ln w="9525">
                <a:solidFill>
                  <a:schemeClr val="accent1"/>
                </a:solidFill>
                <a:prstDash val="sysDot"/>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calcs!$B$3:$H$3</c:f>
              <c:numCache>
                <c:formatCode>#,##0</c:formatCode>
                <c:ptCount val="7"/>
                <c:pt idx="0">
                  <c:v>102410</c:v>
                </c:pt>
                <c:pt idx="1">
                  <c:v>105445</c:v>
                </c:pt>
                <c:pt idx="2">
                  <c:v>112400</c:v>
                </c:pt>
                <c:pt idx="3">
                  <c:v>118020</c:v>
                </c:pt>
                <c:pt idx="4">
                  <c:v>123920</c:v>
                </c:pt>
                <c:pt idx="5">
                  <c:v>130120</c:v>
                </c:pt>
                <c:pt idx="6">
                  <c:v>136620</c:v>
                </c:pt>
              </c:numCache>
            </c:numRef>
          </c:yVal>
          <c:smooth val="0"/>
          <c:extLst>
            <c:ext xmlns:c16="http://schemas.microsoft.com/office/drawing/2014/chart" uri="{C3380CC4-5D6E-409C-BE32-E72D297353CC}">
              <c16:uniqueId val="{00000000-06B1-1247-8949-CBDADF27DD45}"/>
            </c:ext>
          </c:extLst>
        </c:ser>
        <c:ser>
          <c:idx val="1"/>
          <c:order val="1"/>
          <c:tx>
            <c:strRef>
              <c:f>calcs!$A$4</c:f>
              <c:strCache>
                <c:ptCount val="1"/>
                <c:pt idx="0">
                  <c:v>Fine Gael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calcs!$B$4:$H$4</c:f>
              <c:numCache>
                <c:formatCode>#,##0</c:formatCode>
                <c:ptCount val="7"/>
                <c:pt idx="1">
                  <c:v>105445</c:v>
                </c:pt>
                <c:pt idx="2">
                  <c:v>112826.15000000001</c:v>
                </c:pt>
                <c:pt idx="3">
                  <c:v>119482.89285</c:v>
                </c:pt>
                <c:pt idx="4">
                  <c:v>126651.86642100001</c:v>
                </c:pt>
                <c:pt idx="5">
                  <c:v>134250.97840626002</c:v>
                </c:pt>
                <c:pt idx="6">
                  <c:v>142440.28808904189</c:v>
                </c:pt>
              </c:numCache>
            </c:numRef>
          </c:yVal>
          <c:smooth val="0"/>
          <c:extLst>
            <c:ext xmlns:c16="http://schemas.microsoft.com/office/drawing/2014/chart" uri="{C3380CC4-5D6E-409C-BE32-E72D297353CC}">
              <c16:uniqueId val="{00000001-06B1-1247-8949-CBDADF27DD45}"/>
            </c:ext>
          </c:extLst>
        </c:ser>
        <c:ser>
          <c:idx val="2"/>
          <c:order val="2"/>
          <c:tx>
            <c:strRef>
              <c:f>calcs!$A$5</c:f>
              <c:strCache>
                <c:ptCount val="1"/>
                <c:pt idx="0">
                  <c:v>Fianna Fáil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calcs!$B$5:$H$5</c:f>
              <c:numCache>
                <c:formatCode>#,##0</c:formatCode>
                <c:ptCount val="7"/>
                <c:pt idx="1">
                  <c:v>105445</c:v>
                </c:pt>
                <c:pt idx="2">
                  <c:v>112404.37000000001</c:v>
                </c:pt>
                <c:pt idx="3">
                  <c:v>119823.05842000002</c:v>
                </c:pt>
                <c:pt idx="4">
                  <c:v>127012.44192520002</c:v>
                </c:pt>
                <c:pt idx="5">
                  <c:v>134633.18844071202</c:v>
                </c:pt>
                <c:pt idx="6">
                  <c:v>142038.01380495119</c:v>
                </c:pt>
              </c:numCache>
            </c:numRef>
          </c:yVal>
          <c:smooth val="0"/>
          <c:extLst>
            <c:ext xmlns:c16="http://schemas.microsoft.com/office/drawing/2014/chart" uri="{C3380CC4-5D6E-409C-BE32-E72D297353CC}">
              <c16:uniqueId val="{00000002-06B1-1247-8949-CBDADF27DD45}"/>
            </c:ext>
          </c:extLst>
        </c:ser>
        <c:ser>
          <c:idx val="3"/>
          <c:order val="3"/>
          <c:tx>
            <c:strRef>
              <c:f>calcs!$A$6</c:f>
              <c:strCache>
                <c:ptCount val="1"/>
                <c:pt idx="0">
                  <c:v>Sinn Féin</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calcs!$B$6:$H$6</c:f>
              <c:numCache>
                <c:formatCode>#,##0</c:formatCode>
                <c:ptCount val="7"/>
                <c:pt idx="1">
                  <c:v>107845</c:v>
                </c:pt>
                <c:pt idx="2">
                  <c:v>119445</c:v>
                </c:pt>
                <c:pt idx="3">
                  <c:v>127845</c:v>
                </c:pt>
                <c:pt idx="4">
                  <c:v>137145</c:v>
                </c:pt>
                <c:pt idx="5">
                  <c:v>146045</c:v>
                </c:pt>
                <c:pt idx="6">
                  <c:v>154545</c:v>
                </c:pt>
              </c:numCache>
            </c:numRef>
          </c:yVal>
          <c:smooth val="0"/>
          <c:extLst>
            <c:ext xmlns:c16="http://schemas.microsoft.com/office/drawing/2014/chart" uri="{C3380CC4-5D6E-409C-BE32-E72D297353CC}">
              <c16:uniqueId val="{00000000-5FD6-5243-BE6A-7CE8770A4A01}"/>
            </c:ext>
          </c:extLst>
        </c:ser>
        <c:dLbls>
          <c:showLegendKey val="0"/>
          <c:showVal val="0"/>
          <c:showCatName val="0"/>
          <c:showSerName val="0"/>
          <c:showPercent val="0"/>
          <c:showBubbleSize val="0"/>
        </c:dLbls>
        <c:axId val="535670624"/>
        <c:axId val="105959088"/>
      </c:scatterChart>
      <c:valAx>
        <c:axId val="535670624"/>
        <c:scaling>
          <c:orientation val="minMax"/>
          <c:max val="2030"/>
          <c:min val="202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5959088"/>
        <c:crosses val="autoZero"/>
        <c:crossBetween val="midCat"/>
      </c:valAx>
      <c:valAx>
        <c:axId val="105959088"/>
        <c:scaling>
          <c:orientation val="minMax"/>
          <c:min val="1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a:t>
                </a:r>
                <a:r>
                  <a:rPr lang="en-GB" baseline="0"/>
                  <a:t> million per year</a:t>
                </a:r>
                <a:endParaRPr lang="en-GB"/>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535670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IE"/>
              <a:t>Parties' plans for gross voted current expenditure</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calcs!$A$9</c:f>
              <c:strCache>
                <c:ptCount val="1"/>
                <c:pt idx="0">
                  <c:v>Budget 2025 EFO (T11)</c:v>
                </c:pt>
              </c:strCache>
            </c:strRef>
          </c:tx>
          <c:spPr>
            <a:ln w="19050" cap="rnd">
              <a:solidFill>
                <a:schemeClr val="accent1"/>
              </a:solidFill>
              <a:round/>
            </a:ln>
            <a:effectLst/>
          </c:spPr>
          <c:marker>
            <c:symbol val="circle"/>
            <c:size val="5"/>
            <c:spPr>
              <a:solidFill>
                <a:schemeClr val="accent1"/>
              </a:solidFill>
              <a:ln w="9525">
                <a:solidFill>
                  <a:schemeClr val="accent1"/>
                </a:solidFill>
                <a:prstDash val="sysDot"/>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calcs!$B$9:$H$9</c:f>
              <c:numCache>
                <c:formatCode>#,##0</c:formatCode>
                <c:ptCount val="7"/>
                <c:pt idx="0">
                  <c:v>88415</c:v>
                </c:pt>
                <c:pt idx="1">
                  <c:v>90520</c:v>
                </c:pt>
                <c:pt idx="2">
                  <c:v>96200</c:v>
                </c:pt>
                <c:pt idx="3">
                  <c:v>101010</c:v>
                </c:pt>
                <c:pt idx="4">
                  <c:v>106060</c:v>
                </c:pt>
                <c:pt idx="5">
                  <c:v>111365</c:v>
                </c:pt>
                <c:pt idx="6">
                  <c:v>116930</c:v>
                </c:pt>
              </c:numCache>
            </c:numRef>
          </c:yVal>
          <c:smooth val="0"/>
          <c:extLst>
            <c:ext xmlns:c16="http://schemas.microsoft.com/office/drawing/2014/chart" uri="{C3380CC4-5D6E-409C-BE32-E72D297353CC}">
              <c16:uniqueId val="{00000000-7190-9649-8ED0-9749673F6F0F}"/>
            </c:ext>
          </c:extLst>
        </c:ser>
        <c:ser>
          <c:idx val="1"/>
          <c:order val="1"/>
          <c:tx>
            <c:strRef>
              <c:f>calcs!$A$10</c:f>
              <c:strCache>
                <c:ptCount val="1"/>
                <c:pt idx="0">
                  <c:v>Fine Gael</c:v>
                </c:pt>
              </c:strCache>
            </c:strRef>
          </c:tx>
          <c:spPr>
            <a:ln w="19050" cap="rnd">
              <a:solidFill>
                <a:schemeClr val="accent2"/>
              </a:solidFill>
              <a:round/>
            </a:ln>
            <a:effectLst/>
          </c:spPr>
          <c:marker>
            <c:symbol val="circle"/>
            <c:size val="5"/>
            <c:spPr>
              <a:solidFill>
                <a:schemeClr val="accent2"/>
              </a:solidFill>
              <a:ln w="9525">
                <a:solidFill>
                  <a:schemeClr val="accent2"/>
                </a:solidFill>
                <a:prstDash val="sysDot"/>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calcs!$B$10:$H$10</c:f>
              <c:numCache>
                <c:formatCode>#,##0</c:formatCode>
                <c:ptCount val="7"/>
                <c:pt idx="1">
                  <c:v>90520</c:v>
                </c:pt>
                <c:pt idx="2">
                  <c:v>96626.150000000009</c:v>
                </c:pt>
                <c:pt idx="3">
                  <c:v>102472.89285</c:v>
                </c:pt>
                <c:pt idx="4">
                  <c:v>108791.86642100001</c:v>
                </c:pt>
                <c:pt idx="5">
                  <c:v>115495.97840626002</c:v>
                </c:pt>
                <c:pt idx="6">
                  <c:v>122715.28808904189</c:v>
                </c:pt>
              </c:numCache>
            </c:numRef>
          </c:yVal>
          <c:smooth val="0"/>
          <c:extLst>
            <c:ext xmlns:c16="http://schemas.microsoft.com/office/drawing/2014/chart" uri="{C3380CC4-5D6E-409C-BE32-E72D297353CC}">
              <c16:uniqueId val="{00000001-7190-9649-8ED0-9749673F6F0F}"/>
            </c:ext>
          </c:extLst>
        </c:ser>
        <c:ser>
          <c:idx val="2"/>
          <c:order val="2"/>
          <c:tx>
            <c:strRef>
              <c:f>calcs!$A$11</c:f>
              <c:strCache>
                <c:ptCount val="1"/>
                <c:pt idx="0">
                  <c:v>Fianna Fáil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calcs!$B$11:$H$11</c:f>
              <c:numCache>
                <c:formatCode>#,##0</c:formatCode>
                <c:ptCount val="7"/>
                <c:pt idx="1">
                  <c:v>90520</c:v>
                </c:pt>
                <c:pt idx="2">
                  <c:v>96200</c:v>
                </c:pt>
                <c:pt idx="3">
                  <c:v>102550</c:v>
                </c:pt>
                <c:pt idx="4">
                  <c:v>108700</c:v>
                </c:pt>
                <c:pt idx="5">
                  <c:v>115220</c:v>
                </c:pt>
                <c:pt idx="6">
                  <c:v>121560</c:v>
                </c:pt>
              </c:numCache>
            </c:numRef>
          </c:yVal>
          <c:smooth val="0"/>
          <c:extLst>
            <c:ext xmlns:c16="http://schemas.microsoft.com/office/drawing/2014/chart" uri="{C3380CC4-5D6E-409C-BE32-E72D297353CC}">
              <c16:uniqueId val="{00000002-7190-9649-8ED0-9749673F6F0F}"/>
            </c:ext>
          </c:extLst>
        </c:ser>
        <c:ser>
          <c:idx val="3"/>
          <c:order val="3"/>
          <c:tx>
            <c:strRef>
              <c:f>calcs!$A$12</c:f>
              <c:strCache>
                <c:ptCount val="1"/>
                <c:pt idx="0">
                  <c:v>Sinn Féin</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calcs!$B$12:$H$12</c:f>
              <c:numCache>
                <c:formatCode>#,##0</c:formatCode>
                <c:ptCount val="7"/>
                <c:pt idx="1">
                  <c:v>91020</c:v>
                </c:pt>
                <c:pt idx="2">
                  <c:v>99320</c:v>
                </c:pt>
                <c:pt idx="3">
                  <c:v>105120</c:v>
                </c:pt>
                <c:pt idx="4">
                  <c:v>111520</c:v>
                </c:pt>
                <c:pt idx="5">
                  <c:v>118220</c:v>
                </c:pt>
                <c:pt idx="6">
                  <c:v>124820</c:v>
                </c:pt>
              </c:numCache>
            </c:numRef>
          </c:yVal>
          <c:smooth val="0"/>
          <c:extLst>
            <c:ext xmlns:c16="http://schemas.microsoft.com/office/drawing/2014/chart" uri="{C3380CC4-5D6E-409C-BE32-E72D297353CC}">
              <c16:uniqueId val="{00000004-7190-9649-8ED0-9749673F6F0F}"/>
            </c:ext>
          </c:extLst>
        </c:ser>
        <c:dLbls>
          <c:showLegendKey val="0"/>
          <c:showVal val="0"/>
          <c:showCatName val="0"/>
          <c:showSerName val="0"/>
          <c:showPercent val="0"/>
          <c:showBubbleSize val="0"/>
        </c:dLbls>
        <c:axId val="535670624"/>
        <c:axId val="105959088"/>
      </c:scatterChart>
      <c:valAx>
        <c:axId val="535670624"/>
        <c:scaling>
          <c:orientation val="minMax"/>
          <c:max val="2030"/>
          <c:min val="202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5959088"/>
        <c:crosses val="autoZero"/>
        <c:crossBetween val="midCat"/>
      </c:valAx>
      <c:valAx>
        <c:axId val="10595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a:t>
                </a:r>
                <a:r>
                  <a:rPr lang="en-GB" baseline="0"/>
                  <a:t> million per year</a:t>
                </a:r>
                <a:endParaRPr lang="en-GB"/>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535670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IE"/>
              <a:t>Parties' plans for gross voted capital expenditure</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calcs!$A$9</c:f>
              <c:strCache>
                <c:ptCount val="1"/>
                <c:pt idx="0">
                  <c:v>Budget 2025 EFO (T11)</c:v>
                </c:pt>
              </c:strCache>
            </c:strRef>
          </c:tx>
          <c:spPr>
            <a:ln w="19050" cap="rnd">
              <a:solidFill>
                <a:schemeClr val="accent1"/>
              </a:solidFill>
              <a:round/>
            </a:ln>
            <a:effectLst/>
          </c:spPr>
          <c:marker>
            <c:symbol val="circle"/>
            <c:size val="5"/>
            <c:spPr>
              <a:solidFill>
                <a:schemeClr val="accent1"/>
              </a:solidFill>
              <a:ln w="9525">
                <a:solidFill>
                  <a:schemeClr val="accent1"/>
                </a:solidFill>
                <a:prstDash val="sysDot"/>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calcs!$B$15:$H$15</c:f>
              <c:numCache>
                <c:formatCode>#,##0</c:formatCode>
                <c:ptCount val="7"/>
                <c:pt idx="0">
                  <c:v>13995</c:v>
                </c:pt>
                <c:pt idx="1">
                  <c:v>14925</c:v>
                </c:pt>
                <c:pt idx="2">
                  <c:v>16200</c:v>
                </c:pt>
                <c:pt idx="3">
                  <c:v>17010</c:v>
                </c:pt>
                <c:pt idx="4">
                  <c:v>17860</c:v>
                </c:pt>
                <c:pt idx="5">
                  <c:v>18755</c:v>
                </c:pt>
                <c:pt idx="6">
                  <c:v>19690</c:v>
                </c:pt>
              </c:numCache>
            </c:numRef>
          </c:yVal>
          <c:smooth val="0"/>
          <c:extLst>
            <c:ext xmlns:c16="http://schemas.microsoft.com/office/drawing/2014/chart" uri="{C3380CC4-5D6E-409C-BE32-E72D297353CC}">
              <c16:uniqueId val="{00000000-7E09-1244-B223-F0E1782DAD87}"/>
            </c:ext>
          </c:extLst>
        </c:ser>
        <c:ser>
          <c:idx val="1"/>
          <c:order val="1"/>
          <c:tx>
            <c:strRef>
              <c:f>calcs!$A$10</c:f>
              <c:strCache>
                <c:ptCount val="1"/>
                <c:pt idx="0">
                  <c:v>Fine Gael</c:v>
                </c:pt>
              </c:strCache>
            </c:strRef>
          </c:tx>
          <c:spPr>
            <a:ln w="19050" cap="rnd">
              <a:solidFill>
                <a:schemeClr val="accent2"/>
              </a:solidFill>
              <a:round/>
            </a:ln>
            <a:effectLst/>
          </c:spPr>
          <c:marker>
            <c:symbol val="circle"/>
            <c:size val="5"/>
            <c:spPr>
              <a:solidFill>
                <a:schemeClr val="accent2"/>
              </a:solidFill>
              <a:ln w="9525">
                <a:solidFill>
                  <a:schemeClr val="accent2"/>
                </a:solidFill>
                <a:prstDash val="sysDot"/>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calcs!$B$16:$H$16</c:f>
              <c:numCache>
                <c:formatCode>#,##0</c:formatCode>
                <c:ptCount val="7"/>
                <c:pt idx="1">
                  <c:v>14925</c:v>
                </c:pt>
                <c:pt idx="2">
                  <c:v>16200</c:v>
                </c:pt>
                <c:pt idx="3">
                  <c:v>17010</c:v>
                </c:pt>
                <c:pt idx="4">
                  <c:v>17860</c:v>
                </c:pt>
                <c:pt idx="5">
                  <c:v>18755</c:v>
                </c:pt>
                <c:pt idx="6">
                  <c:v>19725</c:v>
                </c:pt>
              </c:numCache>
            </c:numRef>
          </c:yVal>
          <c:smooth val="0"/>
          <c:extLst>
            <c:ext xmlns:c16="http://schemas.microsoft.com/office/drawing/2014/chart" uri="{C3380CC4-5D6E-409C-BE32-E72D297353CC}">
              <c16:uniqueId val="{00000001-7E09-1244-B223-F0E1782DAD87}"/>
            </c:ext>
          </c:extLst>
        </c:ser>
        <c:ser>
          <c:idx val="2"/>
          <c:order val="2"/>
          <c:tx>
            <c:strRef>
              <c:f>calcs!$A$11</c:f>
              <c:strCache>
                <c:ptCount val="1"/>
                <c:pt idx="0">
                  <c:v>Fianna Fáil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calcs!$B$17:$H$17</c:f>
              <c:numCache>
                <c:formatCode>#,##0</c:formatCode>
                <c:ptCount val="7"/>
                <c:pt idx="1">
                  <c:v>14925</c:v>
                </c:pt>
                <c:pt idx="2">
                  <c:v>16200</c:v>
                </c:pt>
                <c:pt idx="3">
                  <c:v>17270</c:v>
                </c:pt>
                <c:pt idx="4">
                  <c:v>18310</c:v>
                </c:pt>
                <c:pt idx="5">
                  <c:v>19400</c:v>
                </c:pt>
                <c:pt idx="6">
                  <c:v>20470</c:v>
                </c:pt>
              </c:numCache>
            </c:numRef>
          </c:yVal>
          <c:smooth val="0"/>
          <c:extLst>
            <c:ext xmlns:c16="http://schemas.microsoft.com/office/drawing/2014/chart" uri="{C3380CC4-5D6E-409C-BE32-E72D297353CC}">
              <c16:uniqueId val="{00000002-7E09-1244-B223-F0E1782DAD87}"/>
            </c:ext>
          </c:extLst>
        </c:ser>
        <c:ser>
          <c:idx val="3"/>
          <c:order val="3"/>
          <c:tx>
            <c:strRef>
              <c:f>calcs!$A$12</c:f>
              <c:strCache>
                <c:ptCount val="1"/>
                <c:pt idx="0">
                  <c:v>Sinn Féin</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calcs!$B$1:$H$1</c:f>
              <c:numCache>
                <c:formatCode>General</c:formatCode>
                <c:ptCount val="7"/>
                <c:pt idx="0">
                  <c:v>2024</c:v>
                </c:pt>
                <c:pt idx="1">
                  <c:v>2025</c:v>
                </c:pt>
                <c:pt idx="2">
                  <c:v>2026</c:v>
                </c:pt>
                <c:pt idx="3">
                  <c:v>2027</c:v>
                </c:pt>
                <c:pt idx="4">
                  <c:v>2028</c:v>
                </c:pt>
                <c:pt idx="5">
                  <c:v>2029</c:v>
                </c:pt>
                <c:pt idx="6">
                  <c:v>2030</c:v>
                </c:pt>
              </c:numCache>
            </c:numRef>
          </c:xVal>
          <c:yVal>
            <c:numRef>
              <c:f>calcs!$B$18:$H$18</c:f>
              <c:numCache>
                <c:formatCode>#,##0</c:formatCode>
                <c:ptCount val="7"/>
                <c:pt idx="1">
                  <c:v>16825</c:v>
                </c:pt>
                <c:pt idx="2">
                  <c:v>20125</c:v>
                </c:pt>
                <c:pt idx="3">
                  <c:v>22725</c:v>
                </c:pt>
                <c:pt idx="4">
                  <c:v>25625</c:v>
                </c:pt>
                <c:pt idx="5">
                  <c:v>27825</c:v>
                </c:pt>
                <c:pt idx="6">
                  <c:v>29725</c:v>
                </c:pt>
              </c:numCache>
            </c:numRef>
          </c:yVal>
          <c:smooth val="0"/>
          <c:extLst>
            <c:ext xmlns:c16="http://schemas.microsoft.com/office/drawing/2014/chart" uri="{C3380CC4-5D6E-409C-BE32-E72D297353CC}">
              <c16:uniqueId val="{00000003-7E09-1244-B223-F0E1782DAD87}"/>
            </c:ext>
          </c:extLst>
        </c:ser>
        <c:dLbls>
          <c:showLegendKey val="0"/>
          <c:showVal val="0"/>
          <c:showCatName val="0"/>
          <c:showSerName val="0"/>
          <c:showPercent val="0"/>
          <c:showBubbleSize val="0"/>
        </c:dLbls>
        <c:axId val="535670624"/>
        <c:axId val="105959088"/>
      </c:scatterChart>
      <c:valAx>
        <c:axId val="535670624"/>
        <c:scaling>
          <c:orientation val="minMax"/>
          <c:max val="2030"/>
          <c:min val="2025"/>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5959088"/>
        <c:crosses val="autoZero"/>
        <c:crossBetween val="midCat"/>
      </c:valAx>
      <c:valAx>
        <c:axId val="10595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a:t>
                </a:r>
                <a:r>
                  <a:rPr lang="en-GB" baseline="0"/>
                  <a:t> million per year</a:t>
                </a:r>
                <a:endParaRPr lang="en-GB"/>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535670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GB"/>
              <a:t>Cumulative capital spending plans, 2025-2030</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calcs!$I$35</c:f>
              <c:strCache>
                <c:ptCount val="1"/>
                <c:pt idx="0">
                  <c:v>Gross voted capital spending</c:v>
                </c:pt>
              </c:strCache>
            </c:strRef>
          </c:tx>
          <c:spPr>
            <a:solidFill>
              <a:schemeClr val="accent1"/>
            </a:solidFill>
            <a:ln>
              <a:noFill/>
            </a:ln>
            <a:effectLst/>
          </c:spPr>
          <c:invertIfNegative val="0"/>
          <c:cat>
            <c:strRef>
              <c:f>calcs!$A$36:$A$39</c:f>
              <c:strCache>
                <c:ptCount val="4"/>
                <c:pt idx="0">
                  <c:v>Budget 2025 EFO (T11)</c:v>
                </c:pt>
                <c:pt idx="1">
                  <c:v>Fine Gael</c:v>
                </c:pt>
                <c:pt idx="2">
                  <c:v>Fianna Fáil</c:v>
                </c:pt>
                <c:pt idx="3">
                  <c:v>Sinn Féin</c:v>
                </c:pt>
              </c:strCache>
            </c:strRef>
          </c:cat>
          <c:val>
            <c:numRef>
              <c:f>calcs!$I$36:$I$39</c:f>
              <c:numCache>
                <c:formatCode>#,##0</c:formatCode>
                <c:ptCount val="4"/>
                <c:pt idx="0">
                  <c:v>104440</c:v>
                </c:pt>
                <c:pt idx="1">
                  <c:v>104475</c:v>
                </c:pt>
                <c:pt idx="2">
                  <c:v>106575</c:v>
                </c:pt>
                <c:pt idx="3">
                  <c:v>142850</c:v>
                </c:pt>
              </c:numCache>
            </c:numRef>
          </c:val>
          <c:extLst>
            <c:ext xmlns:c16="http://schemas.microsoft.com/office/drawing/2014/chart" uri="{C3380CC4-5D6E-409C-BE32-E72D297353CC}">
              <c16:uniqueId val="{00000000-7108-D945-98F1-D9327AB6356C}"/>
            </c:ext>
          </c:extLst>
        </c:ser>
        <c:ser>
          <c:idx val="1"/>
          <c:order val="1"/>
          <c:tx>
            <c:strRef>
              <c:f>calcs!$J$35</c:f>
              <c:strCache>
                <c:ptCount val="1"/>
                <c:pt idx="0">
                  <c:v>Apple escrow/AIB</c:v>
                </c:pt>
              </c:strCache>
            </c:strRef>
          </c:tx>
          <c:spPr>
            <a:solidFill>
              <a:schemeClr val="accent2"/>
            </a:solidFill>
            <a:ln>
              <a:noFill/>
            </a:ln>
            <a:effectLst/>
          </c:spPr>
          <c:invertIfNegative val="0"/>
          <c:cat>
            <c:strRef>
              <c:f>calcs!$A$36:$A$39</c:f>
              <c:strCache>
                <c:ptCount val="4"/>
                <c:pt idx="0">
                  <c:v>Budget 2025 EFO (T11)</c:v>
                </c:pt>
                <c:pt idx="1">
                  <c:v>Fine Gael</c:v>
                </c:pt>
                <c:pt idx="2">
                  <c:v>Fianna Fáil</c:v>
                </c:pt>
                <c:pt idx="3">
                  <c:v>Sinn Féin</c:v>
                </c:pt>
              </c:strCache>
            </c:strRef>
          </c:cat>
          <c:val>
            <c:numRef>
              <c:f>calcs!$J$36:$J$39</c:f>
              <c:numCache>
                <c:formatCode>#,##0</c:formatCode>
                <c:ptCount val="4"/>
                <c:pt idx="1">
                  <c:v>14100</c:v>
                </c:pt>
                <c:pt idx="2">
                  <c:v>17100</c:v>
                </c:pt>
                <c:pt idx="3">
                  <c:v>17100</c:v>
                </c:pt>
              </c:numCache>
            </c:numRef>
          </c:val>
          <c:extLst>
            <c:ext xmlns:c16="http://schemas.microsoft.com/office/drawing/2014/chart" uri="{C3380CC4-5D6E-409C-BE32-E72D297353CC}">
              <c16:uniqueId val="{00000001-7108-D945-98F1-D9327AB6356C}"/>
            </c:ext>
          </c:extLst>
        </c:ser>
        <c:ser>
          <c:idx val="2"/>
          <c:order val="2"/>
          <c:tx>
            <c:strRef>
              <c:f>calcs!$K$35</c:f>
              <c:strCache>
                <c:ptCount val="1"/>
                <c:pt idx="0">
                  <c:v>Other GG capital spending</c:v>
                </c:pt>
              </c:strCache>
            </c:strRef>
          </c:tx>
          <c:spPr>
            <a:solidFill>
              <a:schemeClr val="accent3"/>
            </a:solidFill>
            <a:ln>
              <a:noFill/>
            </a:ln>
            <a:effectLst/>
          </c:spPr>
          <c:invertIfNegative val="0"/>
          <c:cat>
            <c:strRef>
              <c:f>calcs!$A$36:$A$39</c:f>
              <c:strCache>
                <c:ptCount val="4"/>
                <c:pt idx="0">
                  <c:v>Budget 2025 EFO (T11)</c:v>
                </c:pt>
                <c:pt idx="1">
                  <c:v>Fine Gael</c:v>
                </c:pt>
                <c:pt idx="2">
                  <c:v>Fianna Fáil</c:v>
                </c:pt>
                <c:pt idx="3">
                  <c:v>Sinn Féin</c:v>
                </c:pt>
              </c:strCache>
            </c:strRef>
          </c:cat>
          <c:val>
            <c:numRef>
              <c:f>calcs!$K$36:$K$39</c:f>
              <c:numCache>
                <c:formatCode>General</c:formatCode>
                <c:ptCount val="4"/>
                <c:pt idx="3" formatCode="#,##0.0">
                  <c:v>9900</c:v>
                </c:pt>
              </c:numCache>
            </c:numRef>
          </c:val>
          <c:extLst>
            <c:ext xmlns:c16="http://schemas.microsoft.com/office/drawing/2014/chart" uri="{C3380CC4-5D6E-409C-BE32-E72D297353CC}">
              <c16:uniqueId val="{00000002-7108-D945-98F1-D9327AB6356C}"/>
            </c:ext>
          </c:extLst>
        </c:ser>
        <c:dLbls>
          <c:showLegendKey val="0"/>
          <c:showVal val="0"/>
          <c:showCatName val="0"/>
          <c:showSerName val="0"/>
          <c:showPercent val="0"/>
          <c:showBubbleSize val="0"/>
        </c:dLbls>
        <c:gapWidth val="150"/>
        <c:overlap val="100"/>
        <c:axId val="1032382096"/>
        <c:axId val="2055259264"/>
      </c:barChart>
      <c:catAx>
        <c:axId val="103238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55259264"/>
        <c:crosses val="autoZero"/>
        <c:auto val="1"/>
        <c:lblAlgn val="ctr"/>
        <c:lblOffset val="100"/>
        <c:noMultiLvlLbl val="0"/>
      </c:catAx>
      <c:valAx>
        <c:axId val="2055259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32382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GB"/>
              <a:t>Annual gross voted current expenditure, 2030</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calcs!$A$9:$A$12</c:f>
              <c:strCache>
                <c:ptCount val="4"/>
                <c:pt idx="0">
                  <c:v>Budget 2025 EFO (T11)</c:v>
                </c:pt>
                <c:pt idx="1">
                  <c:v>Fine Gael</c:v>
                </c:pt>
                <c:pt idx="2">
                  <c:v>Fianna Fáil</c:v>
                </c:pt>
                <c:pt idx="3">
                  <c:v>Sinn Féin</c:v>
                </c:pt>
              </c:strCache>
            </c:strRef>
          </c:cat>
          <c:val>
            <c:numRef>
              <c:f>calcs!$H$9:$H$12</c:f>
              <c:numCache>
                <c:formatCode>#,##0</c:formatCode>
                <c:ptCount val="4"/>
                <c:pt idx="0">
                  <c:v>116930</c:v>
                </c:pt>
                <c:pt idx="1">
                  <c:v>122715.28808904189</c:v>
                </c:pt>
                <c:pt idx="2">
                  <c:v>121560</c:v>
                </c:pt>
                <c:pt idx="3">
                  <c:v>124820</c:v>
                </c:pt>
              </c:numCache>
            </c:numRef>
          </c:val>
          <c:extLst>
            <c:ext xmlns:c16="http://schemas.microsoft.com/office/drawing/2014/chart" uri="{C3380CC4-5D6E-409C-BE32-E72D297353CC}">
              <c16:uniqueId val="{00000000-BE52-9E4D-A1D0-42D66B4D420B}"/>
            </c:ext>
          </c:extLst>
        </c:ser>
        <c:dLbls>
          <c:showLegendKey val="0"/>
          <c:showVal val="0"/>
          <c:showCatName val="0"/>
          <c:showSerName val="0"/>
          <c:showPercent val="0"/>
          <c:showBubbleSize val="0"/>
        </c:dLbls>
        <c:gapWidth val="182"/>
        <c:axId val="1032438368"/>
        <c:axId val="1032442064"/>
      </c:barChart>
      <c:catAx>
        <c:axId val="10324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32442064"/>
        <c:crosses val="autoZero"/>
        <c:auto val="1"/>
        <c:lblAlgn val="ctr"/>
        <c:lblOffset val="100"/>
        <c:noMultiLvlLbl val="0"/>
      </c:catAx>
      <c:valAx>
        <c:axId val="10324420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3243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GB"/>
              <a:t>Gross voted expenditure committments vs ceiling, 2030</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calcs!$B$42</c:f>
              <c:strCache>
                <c:ptCount val="1"/>
                <c:pt idx="0">
                  <c:v>Manifesto commitments</c:v>
                </c:pt>
              </c:strCache>
            </c:strRef>
          </c:tx>
          <c:spPr>
            <a:solidFill>
              <a:schemeClr val="accent1"/>
            </a:solidFill>
            <a:ln>
              <a:solidFill>
                <a:schemeClr val="accent1"/>
              </a:solidFill>
            </a:ln>
            <a:effectLst/>
          </c:spPr>
          <c:invertIfNegative val="0"/>
          <c:cat>
            <c:strRef>
              <c:f>calcs!$A$43:$A$45</c:f>
              <c:strCache>
                <c:ptCount val="3"/>
                <c:pt idx="0">
                  <c:v>Fine Gael</c:v>
                </c:pt>
                <c:pt idx="1">
                  <c:v>Fianna Fáil</c:v>
                </c:pt>
                <c:pt idx="2">
                  <c:v>Sinn Féin</c:v>
                </c:pt>
              </c:strCache>
            </c:strRef>
          </c:cat>
          <c:val>
            <c:numRef>
              <c:f>calcs!$B$43:$B$45</c:f>
              <c:numCache>
                <c:formatCode>#,##0</c:formatCode>
                <c:ptCount val="3"/>
                <c:pt idx="0">
                  <c:v>29594</c:v>
                </c:pt>
                <c:pt idx="1">
                  <c:v>39106</c:v>
                </c:pt>
                <c:pt idx="2">
                  <c:v>49100</c:v>
                </c:pt>
              </c:numCache>
            </c:numRef>
          </c:val>
          <c:extLst>
            <c:ext xmlns:c16="http://schemas.microsoft.com/office/drawing/2014/chart" uri="{C3380CC4-5D6E-409C-BE32-E72D297353CC}">
              <c16:uniqueId val="{00000000-13C9-3049-95E0-B2D6EC25BAC5}"/>
            </c:ext>
          </c:extLst>
        </c:ser>
        <c:ser>
          <c:idx val="1"/>
          <c:order val="1"/>
          <c:tx>
            <c:strRef>
              <c:f>calcs!$C$42</c:f>
              <c:strCache>
                <c:ptCount val="1"/>
                <c:pt idx="0">
                  <c:v>Unspecified </c:v>
                </c:pt>
              </c:strCache>
            </c:strRef>
          </c:tx>
          <c:spPr>
            <a:noFill/>
            <a:ln>
              <a:solidFill>
                <a:schemeClr val="accent1"/>
              </a:solidFill>
            </a:ln>
            <a:effectLst/>
          </c:spPr>
          <c:invertIfNegative val="0"/>
          <c:cat>
            <c:strRef>
              <c:f>calcs!$A$43:$A$45</c:f>
              <c:strCache>
                <c:ptCount val="3"/>
                <c:pt idx="0">
                  <c:v>Fine Gael</c:v>
                </c:pt>
                <c:pt idx="1">
                  <c:v>Fianna Fáil</c:v>
                </c:pt>
                <c:pt idx="2">
                  <c:v>Sinn Féin</c:v>
                </c:pt>
              </c:strCache>
            </c:strRef>
          </c:cat>
          <c:val>
            <c:numRef>
              <c:f>calcs!$C$43:$C$45</c:f>
              <c:numCache>
                <c:formatCode>General</c:formatCode>
                <c:ptCount val="3"/>
                <c:pt idx="0" formatCode="#,##0">
                  <c:v>7401.2880890418892</c:v>
                </c:pt>
              </c:numCache>
            </c:numRef>
          </c:val>
          <c:extLst>
            <c:ext xmlns:c16="http://schemas.microsoft.com/office/drawing/2014/chart" uri="{C3380CC4-5D6E-409C-BE32-E72D297353CC}">
              <c16:uniqueId val="{00000001-13C9-3049-95E0-B2D6EC25BAC5}"/>
            </c:ext>
          </c:extLst>
        </c:ser>
        <c:dLbls>
          <c:showLegendKey val="0"/>
          <c:showVal val="0"/>
          <c:showCatName val="0"/>
          <c:showSerName val="0"/>
          <c:showPercent val="0"/>
          <c:showBubbleSize val="0"/>
        </c:dLbls>
        <c:gapWidth val="150"/>
        <c:overlap val="100"/>
        <c:axId val="1459223312"/>
        <c:axId val="1460568320"/>
      </c:barChart>
      <c:scatterChart>
        <c:scatterStyle val="lineMarker"/>
        <c:varyColors val="0"/>
        <c:ser>
          <c:idx val="2"/>
          <c:order val="2"/>
          <c:tx>
            <c:strRef>
              <c:f>calcs!$D$42</c:f>
              <c:strCache>
                <c:ptCount val="1"/>
                <c:pt idx="0">
                  <c:v>Total gross voted expenditure</c:v>
                </c:pt>
              </c:strCache>
            </c:strRef>
          </c:tx>
          <c:spPr>
            <a:ln w="25400" cap="rnd">
              <a:noFill/>
              <a:round/>
            </a:ln>
            <a:effectLst/>
          </c:spPr>
          <c:marker>
            <c:symbol val="dash"/>
            <c:size val="38"/>
            <c:spPr>
              <a:solidFill>
                <a:srgbClr val="FF0000"/>
              </a:solidFill>
              <a:ln w="9525">
                <a:solidFill>
                  <a:srgbClr val="FF0000"/>
                </a:solidFill>
              </a:ln>
              <a:effectLst/>
            </c:spPr>
          </c:marker>
          <c:xVal>
            <c:strRef>
              <c:f>calcs!$A$43:$A$45</c:f>
              <c:strCache>
                <c:ptCount val="3"/>
                <c:pt idx="0">
                  <c:v>Fine Gael</c:v>
                </c:pt>
                <c:pt idx="1">
                  <c:v>Fianna Fáil</c:v>
                </c:pt>
                <c:pt idx="2">
                  <c:v>Sinn Féin</c:v>
                </c:pt>
              </c:strCache>
            </c:strRef>
          </c:xVal>
          <c:yVal>
            <c:numRef>
              <c:f>calcs!$D$43:$D$45</c:f>
              <c:numCache>
                <c:formatCode>#,##0</c:formatCode>
                <c:ptCount val="3"/>
                <c:pt idx="0">
                  <c:v>36995.288089041889</c:v>
                </c:pt>
                <c:pt idx="1">
                  <c:v>36593.013804951188</c:v>
                </c:pt>
                <c:pt idx="2">
                  <c:v>49100</c:v>
                </c:pt>
              </c:numCache>
            </c:numRef>
          </c:yVal>
          <c:smooth val="0"/>
          <c:extLst>
            <c:ext xmlns:c16="http://schemas.microsoft.com/office/drawing/2014/chart" uri="{C3380CC4-5D6E-409C-BE32-E72D297353CC}">
              <c16:uniqueId val="{00000002-13C9-3049-95E0-B2D6EC25BAC5}"/>
            </c:ext>
          </c:extLst>
        </c:ser>
        <c:dLbls>
          <c:showLegendKey val="0"/>
          <c:showVal val="0"/>
          <c:showCatName val="0"/>
          <c:showSerName val="0"/>
          <c:showPercent val="0"/>
          <c:showBubbleSize val="0"/>
        </c:dLbls>
        <c:axId val="1459223312"/>
        <c:axId val="1460568320"/>
      </c:scatterChart>
      <c:catAx>
        <c:axId val="145922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460568320"/>
        <c:crosses val="autoZero"/>
        <c:auto val="1"/>
        <c:lblAlgn val="ctr"/>
        <c:lblOffset val="100"/>
        <c:noMultiLvlLbl val="0"/>
      </c:catAx>
      <c:valAx>
        <c:axId val="1460568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459223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FC5166F-4070-1340-8D6D-EC8B61C1282E}">
  <sheetPr/>
  <sheetViews>
    <sheetView zoomScale="17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9297E8A-0133-1F4F-B333-06C4208DE48C}">
  <sheetPr/>
  <sheetViews>
    <sheetView zoomScale="139"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77E3E17-3AB1-254A-834A-2493C85409FA}">
  <sheetPr/>
  <sheetViews>
    <sheetView zoomScale="139"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45EFA33-B9D5-DC47-8EA9-7F18D67C178A}">
  <sheetPr/>
  <sheetViews>
    <sheetView zoomScale="130"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C8AF523-8415-6943-A015-E4BE575197D5}">
  <sheetPr/>
  <sheetViews>
    <sheetView zoomScale="120"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E8E8959-A006-1349-8541-0D65ED4E32B8}">
  <sheetPr/>
  <sheetViews>
    <sheetView zoomScale="12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9308353" cy="6066118"/>
    <xdr:graphicFrame macro="">
      <xdr:nvGraphicFramePr>
        <xdr:cNvPr id="2" name="Chart 1">
          <a:extLst>
            <a:ext uri="{FF2B5EF4-FFF2-40B4-BE49-F238E27FC236}">
              <a16:creationId xmlns:a16="http://schemas.microsoft.com/office/drawing/2014/main" id="{BA204D4A-B6C2-3E67-1699-37796A45871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1151" cy="6066763"/>
    <xdr:graphicFrame macro="">
      <xdr:nvGraphicFramePr>
        <xdr:cNvPr id="2" name="Chart 1">
          <a:extLst>
            <a:ext uri="{FF2B5EF4-FFF2-40B4-BE49-F238E27FC236}">
              <a16:creationId xmlns:a16="http://schemas.microsoft.com/office/drawing/2014/main" id="{9324A85D-632B-80FA-DA39-95EEF91D79C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01151" cy="6066763"/>
    <xdr:graphicFrame macro="">
      <xdr:nvGraphicFramePr>
        <xdr:cNvPr id="2" name="Chart 1">
          <a:extLst>
            <a:ext uri="{FF2B5EF4-FFF2-40B4-BE49-F238E27FC236}">
              <a16:creationId xmlns:a16="http://schemas.microsoft.com/office/drawing/2014/main" id="{BDD7AD31-F01A-29C1-5AF7-66D90CF652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10077" cy="6076462"/>
    <xdr:graphicFrame macro="">
      <xdr:nvGraphicFramePr>
        <xdr:cNvPr id="2" name="Chart 1">
          <a:extLst>
            <a:ext uri="{FF2B5EF4-FFF2-40B4-BE49-F238E27FC236}">
              <a16:creationId xmlns:a16="http://schemas.microsoft.com/office/drawing/2014/main" id="{B5DA5221-39D1-B252-CB26-09CFFA580A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02750" cy="6064250"/>
    <xdr:graphicFrame macro="">
      <xdr:nvGraphicFramePr>
        <xdr:cNvPr id="2" name="Chart 1">
          <a:extLst>
            <a:ext uri="{FF2B5EF4-FFF2-40B4-BE49-F238E27FC236}">
              <a16:creationId xmlns:a16="http://schemas.microsoft.com/office/drawing/2014/main" id="{421C7AD9-437F-88B3-A057-E9BE96102FA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2750" cy="6064250"/>
    <xdr:graphicFrame macro="">
      <xdr:nvGraphicFramePr>
        <xdr:cNvPr id="2" name="Chart 1">
          <a:extLst>
            <a:ext uri="{FF2B5EF4-FFF2-40B4-BE49-F238E27FC236}">
              <a16:creationId xmlns:a16="http://schemas.microsoft.com/office/drawing/2014/main" id="{0F6B66C4-6E96-9FD7-B88C-35FE37EE7A7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person displayName="Barra Roantree" id="{63316975-19E8-EA49-8C55-71724EA81866}" userId="S::BROANTRE@tcd.ie::88d8f038-22a0-4faa-9818-34feac421c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 dT="2024-11-21T14:02:49.49" personId="{63316975-19E8-EA49-8C55-71724EA81866}" id="{625D9663-60C4-4346-89F8-DFD8A4B9AE85}">
    <text>FG manifesto p.116</text>
  </threadedComment>
  <threadedComment ref="A5" dT="2024-11-21T14:02:33.62" personId="{63316975-19E8-EA49-8C55-71724EA81866}" id="{3A583D0B-EB78-3A43-9E46-E9A3343DF9A8}">
    <text>FF Manifesto p.190</text>
  </threadedComment>
  <threadedComment ref="A6" dT="2024-11-21T13:41:58.92" personId="{63316975-19E8-EA49-8C55-71724EA81866}" id="{688F4A71-EEEA-264C-938B-BA23ADF00336}">
    <text>SF specify increases rather than levels on p.169 of manifesto, so have added these starting from 2025 start point given by Budget 2025 EFO T11</text>
  </threadedComment>
  <threadedComment ref="A10" dT="2024-11-21T14:04:36.78" personId="{63316975-19E8-EA49-8C55-71724EA81866}" id="{9CD2A939-8826-974D-99C7-90024FB4009F}">
    <text>FG manifesto just gives increase in current voted per year by 2030, so back out profile by taking away voted capital from total voted, assuming voted capital follows same path as Budget 2025 EFO</text>
  </threadedComment>
  <threadedComment ref="A11" dT="2024-11-21T14:05:04.96" personId="{63316975-19E8-EA49-8C55-71724EA81866}" id="{1F5F44E8-124C-1E4B-BFD5-F433CE936EE0}">
    <text>FF provide these numbers on p.190 of manifesto</text>
  </threadedComment>
  <threadedComment ref="A12" dT="2024-11-21T14:09:12.95" personId="{63316975-19E8-EA49-8C55-71724EA81866}" id="{89ABBAA7-65B3-C04A-9B61-DEE69B22335F}">
    <text>SF specify increases rather than levels on p.169 of manifesto, so have added these starting from 2025 start point given by Budget 2025 EFO T11</text>
  </threadedComment>
  <threadedComment ref="A16" dT="2024-11-21T14:07:03.14" personId="{63316975-19E8-EA49-8C55-71724EA81866}" id="{4A50C08E-74CE-A249-A8E3-CAE24609199B}">
    <text xml:space="preserve">Adding the FG voted capital increase per year by 2030 from p.116 of manifesto and implied path from capital spending matching EFO T11 until that point </text>
  </threadedComment>
  <threadedComment ref="A17" dT="2024-11-21T14:07:28.37" personId="{63316975-19E8-EA49-8C55-71724EA81866}" id="{F078C8A3-C1CB-DE4C-A47B-4BE6896F2285}">
    <text>From p.190 of FF manifesto</text>
  </threadedComment>
  <threadedComment ref="A18" dT="2024-11-21T14:09:08.11" personId="{63316975-19E8-EA49-8C55-71724EA81866}" id="{EE5D8944-A858-D043-A0AD-9764B49E64F3}">
    <text>SF specify increases rather than levels on p.169 of manifesto, so have added these starting from 2025 start point given by Budget 2025 EFO T11</text>
  </threadedComment>
  <threadedComment ref="A43" dT="2024-11-21T14:33:09.88" personId="{63316975-19E8-EA49-8C55-71724EA81866}" id="{BBB0D3F5-DC76-C343-835D-7E65787BFB1B}">
    <text>Note that FG appear not to have specified in their manifesto	 how 7bn of the increase in total voted expenditure they are promising will be spent. This largely offsets the very low existing level of services figure (15.5bn vs 22bn estimated by IFAC)</text>
  </threadedComment>
  <threadedComment ref="A44" dT="2024-11-21T14:33:48.55" personId="{63316975-19E8-EA49-8C55-71724EA81866}" id="{C8119806-3340-C94E-BEEC-CC42ED17A53B}">
    <text>FF’s manifesto commitments come to more than they say total voted expenditure will increase. Not clear why this is.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50190-5886-2E47-B5DD-2DE91C067FFB}">
  <dimension ref="A1:O45"/>
  <sheetViews>
    <sheetView tabSelected="1" zoomScale="125" workbookViewId="0">
      <pane xSplit="1" ySplit="1" topLeftCell="B16" activePane="bottomRight" state="frozen"/>
      <selection pane="topRight" activeCell="B1" sqref="B1"/>
      <selection pane="bottomLeft" activeCell="A2" sqref="A2"/>
      <selection pane="bottomRight" activeCell="K24" sqref="K24"/>
    </sheetView>
  </sheetViews>
  <sheetFormatPr baseColWidth="10" defaultColWidth="10.83203125" defaultRowHeight="16" x14ac:dyDescent="0.2"/>
  <cols>
    <col min="1" max="1" width="44.5" customWidth="1"/>
    <col min="2" max="3" width="10.6640625" customWidth="1"/>
    <col min="11" max="12" width="11.83203125" customWidth="1"/>
  </cols>
  <sheetData>
    <row r="1" spans="1:14" x14ac:dyDescent="0.2">
      <c r="B1" s="2">
        <v>2024</v>
      </c>
      <c r="C1" s="2">
        <v>2025</v>
      </c>
      <c r="D1" s="2">
        <v>2026</v>
      </c>
      <c r="E1" s="2">
        <v>2027</v>
      </c>
      <c r="F1" s="2">
        <v>2028</v>
      </c>
      <c r="G1" s="2">
        <v>2029</v>
      </c>
      <c r="H1" s="2">
        <v>2030</v>
      </c>
      <c r="I1" s="1"/>
    </row>
    <row r="2" spans="1:14" x14ac:dyDescent="0.2">
      <c r="A2" s="2" t="s">
        <v>17</v>
      </c>
      <c r="I2" s="2"/>
      <c r="K2" s="2" t="s">
        <v>4</v>
      </c>
      <c r="L2" s="2" t="s">
        <v>6</v>
      </c>
    </row>
    <row r="3" spans="1:14" x14ac:dyDescent="0.2">
      <c r="A3" t="s">
        <v>3</v>
      </c>
      <c r="B3" s="1">
        <f>B9+B15</f>
        <v>102410</v>
      </c>
      <c r="C3" s="1">
        <f>C9+C15</f>
        <v>105445</v>
      </c>
      <c r="D3" s="1">
        <f>D9+D15</f>
        <v>112400</v>
      </c>
      <c r="E3" s="1">
        <f>E9+E15</f>
        <v>118020</v>
      </c>
      <c r="F3" s="1">
        <f>F9+F15</f>
        <v>123920</v>
      </c>
      <c r="G3" s="1">
        <f>G9+G15</f>
        <v>130120</v>
      </c>
      <c r="H3" s="1">
        <f>H9+H15</f>
        <v>136620</v>
      </c>
      <c r="I3" s="1"/>
      <c r="K3" s="1">
        <f>H3-C3</f>
        <v>31175</v>
      </c>
      <c r="L3" s="3">
        <f>K3/C3</f>
        <v>0.29565176158186735</v>
      </c>
    </row>
    <row r="4" spans="1:14" x14ac:dyDescent="0.2">
      <c r="A4" t="s">
        <v>0</v>
      </c>
      <c r="B4" s="1"/>
      <c r="C4" s="1">
        <f>C3</f>
        <v>105445</v>
      </c>
      <c r="D4" s="1">
        <f>C4*1.07</f>
        <v>112826.15000000001</v>
      </c>
      <c r="E4" s="1">
        <f>D4*1.059</f>
        <v>119482.89285</v>
      </c>
      <c r="F4" s="1">
        <f>E4*1.06</f>
        <v>126651.86642100001</v>
      </c>
      <c r="G4" s="1">
        <f>F4*1.06</f>
        <v>134250.97840626002</v>
      </c>
      <c r="H4" s="1">
        <f>G4*1.061</f>
        <v>142440.28808904189</v>
      </c>
      <c r="I4" s="1"/>
      <c r="J4" s="1"/>
      <c r="K4" s="1">
        <f>H4-C3</f>
        <v>36995.288089041889</v>
      </c>
      <c r="L4" s="3">
        <f>K4/C4</f>
        <v>0.35084914494800029</v>
      </c>
    </row>
    <row r="5" spans="1:14" x14ac:dyDescent="0.2">
      <c r="A5" t="s">
        <v>1</v>
      </c>
      <c r="B5" s="1"/>
      <c r="C5" s="1">
        <f>C3</f>
        <v>105445</v>
      </c>
      <c r="D5" s="1">
        <f>C5*1.066</f>
        <v>112404.37000000001</v>
      </c>
      <c r="E5" s="1">
        <f>D5*1.066</f>
        <v>119823.05842000002</v>
      </c>
      <c r="F5" s="1">
        <f>E5*1.06</f>
        <v>127012.44192520002</v>
      </c>
      <c r="G5" s="1">
        <f>F5*1.06</f>
        <v>134633.18844071202</v>
      </c>
      <c r="H5" s="1">
        <f>G5*1.055</f>
        <v>142038.01380495119</v>
      </c>
      <c r="I5" s="1"/>
      <c r="K5" s="1">
        <f>H5-C3</f>
        <v>36593.013804951188</v>
      </c>
      <c r="L5" s="3">
        <f>K5/C5</f>
        <v>0.34703412968800029</v>
      </c>
    </row>
    <row r="6" spans="1:14" x14ac:dyDescent="0.2">
      <c r="A6" t="s">
        <v>2</v>
      </c>
      <c r="B6" s="1"/>
      <c r="C6" s="1">
        <f>C12+C18</f>
        <v>107845</v>
      </c>
      <c r="D6" s="1">
        <f t="shared" ref="D6:H6" si="0">D12+D18</f>
        <v>119445</v>
      </c>
      <c r="E6" s="1">
        <f t="shared" si="0"/>
        <v>127845</v>
      </c>
      <c r="F6" s="1">
        <f t="shared" si="0"/>
        <v>137145</v>
      </c>
      <c r="G6" s="1">
        <f t="shared" si="0"/>
        <v>146045</v>
      </c>
      <c r="H6" s="1">
        <f t="shared" si="0"/>
        <v>154545</v>
      </c>
      <c r="I6" s="1"/>
      <c r="J6" s="1"/>
      <c r="K6" s="1">
        <f>H6-C3</f>
        <v>49100</v>
      </c>
      <c r="L6" s="3">
        <f>K6/C6</f>
        <v>0.45528304511103901</v>
      </c>
    </row>
    <row r="7" spans="1:14" x14ac:dyDescent="0.2">
      <c r="B7" s="1"/>
      <c r="C7" s="1"/>
      <c r="D7" s="1"/>
      <c r="E7" s="1"/>
      <c r="F7" s="1"/>
      <c r="G7" s="1"/>
      <c r="H7" s="1"/>
      <c r="I7" s="1"/>
      <c r="J7" s="1"/>
      <c r="K7" s="1"/>
      <c r="L7" s="3"/>
    </row>
    <row r="8" spans="1:14" x14ac:dyDescent="0.2">
      <c r="A8" s="2" t="s">
        <v>5</v>
      </c>
      <c r="B8" s="1"/>
      <c r="C8" s="3"/>
      <c r="D8" s="3"/>
      <c r="E8" s="3"/>
      <c r="F8" s="3"/>
      <c r="G8" s="3"/>
      <c r="H8" s="3"/>
      <c r="I8" s="1"/>
      <c r="K8" s="1"/>
      <c r="M8" s="2"/>
    </row>
    <row r="9" spans="1:14" x14ac:dyDescent="0.2">
      <c r="A9" t="s">
        <v>3</v>
      </c>
      <c r="B9" s="1">
        <v>88415</v>
      </c>
      <c r="C9" s="1">
        <v>90520</v>
      </c>
      <c r="D9" s="1">
        <v>96200</v>
      </c>
      <c r="E9" s="1">
        <v>101010</v>
      </c>
      <c r="F9" s="1">
        <v>106060</v>
      </c>
      <c r="G9" s="1">
        <v>111365</v>
      </c>
      <c r="H9" s="1">
        <v>116930</v>
      </c>
      <c r="K9" s="1">
        <f>H9-C9</f>
        <v>26410</v>
      </c>
      <c r="L9" s="3">
        <f>K9/C9</f>
        <v>0.29175872735307112</v>
      </c>
      <c r="M9" s="1"/>
    </row>
    <row r="10" spans="1:14" x14ac:dyDescent="0.2">
      <c r="A10" t="s">
        <v>0</v>
      </c>
      <c r="B10" s="1"/>
      <c r="C10" s="1">
        <f>C9</f>
        <v>90520</v>
      </c>
      <c r="D10" s="11">
        <f>D4-D16</f>
        <v>96626.150000000009</v>
      </c>
      <c r="E10" s="11">
        <f>E4-E16</f>
        <v>102472.89285</v>
      </c>
      <c r="F10" s="11">
        <f>F4-F16</f>
        <v>108791.86642100001</v>
      </c>
      <c r="G10" s="11">
        <f>G4-G16</f>
        <v>115495.97840626002</v>
      </c>
      <c r="H10" s="11">
        <f>H4-H16</f>
        <v>122715.28808904189</v>
      </c>
      <c r="I10" s="1"/>
      <c r="J10" s="5"/>
      <c r="K10" s="1">
        <f>H10-C10</f>
        <v>32195.288089041889</v>
      </c>
      <c r="L10" s="3">
        <f>K10/C10</f>
        <v>0.35567043845605267</v>
      </c>
      <c r="M10" s="1"/>
      <c r="N10" s="1"/>
    </row>
    <row r="11" spans="1:14" x14ac:dyDescent="0.2">
      <c r="A11" t="s">
        <v>1</v>
      </c>
      <c r="B11" s="1"/>
      <c r="C11" s="1">
        <f>C10</f>
        <v>90520</v>
      </c>
      <c r="D11" s="1">
        <v>96200</v>
      </c>
      <c r="E11" s="1">
        <v>102550</v>
      </c>
      <c r="F11" s="1">
        <v>108700</v>
      </c>
      <c r="G11" s="1">
        <v>115220</v>
      </c>
      <c r="H11" s="1">
        <v>121560</v>
      </c>
      <c r="I11" s="1"/>
      <c r="J11" s="5"/>
      <c r="K11" s="1">
        <f>H11-C9</f>
        <v>31040</v>
      </c>
      <c r="L11" s="3">
        <f>K11/C11</f>
        <v>0.34290764471939905</v>
      </c>
      <c r="M11" s="1"/>
    </row>
    <row r="12" spans="1:14" x14ac:dyDescent="0.2">
      <c r="A12" t="s">
        <v>2</v>
      </c>
      <c r="B12" s="1"/>
      <c r="C12" s="1">
        <f>C9+500</f>
        <v>91020</v>
      </c>
      <c r="D12" s="1">
        <f>C12+4500+3800</f>
        <v>99320</v>
      </c>
      <c r="E12" s="1">
        <f>D12+3300+2500</f>
        <v>105120</v>
      </c>
      <c r="F12" s="1">
        <f>E12+3900+2500</f>
        <v>111520</v>
      </c>
      <c r="G12" s="1">
        <f>F12+4100+2600</f>
        <v>118220</v>
      </c>
      <c r="H12" s="1">
        <f>G12+4200+2400</f>
        <v>124820</v>
      </c>
      <c r="I12" s="1"/>
      <c r="J12" s="5"/>
      <c r="K12" s="1">
        <f>H12-C9</f>
        <v>34300</v>
      </c>
      <c r="L12" s="3">
        <f>K12/C12</f>
        <v>0.37684025488903539</v>
      </c>
      <c r="M12" s="1"/>
    </row>
    <row r="13" spans="1:14" x14ac:dyDescent="0.2">
      <c r="B13" s="6"/>
      <c r="C13" s="1"/>
      <c r="D13" s="1"/>
      <c r="E13" s="1"/>
      <c r="F13" s="1"/>
      <c r="G13" s="1"/>
      <c r="H13" s="1"/>
      <c r="I13" s="1"/>
      <c r="J13" s="5"/>
      <c r="K13" s="1"/>
      <c r="L13" s="3"/>
      <c r="M13" s="1"/>
    </row>
    <row r="14" spans="1:14" x14ac:dyDescent="0.2">
      <c r="A14" s="2" t="s">
        <v>20</v>
      </c>
      <c r="B14" s="1"/>
      <c r="C14" s="1"/>
      <c r="D14" s="1"/>
      <c r="E14" s="1"/>
      <c r="F14" s="1"/>
      <c r="G14" s="1"/>
      <c r="H14" s="1"/>
      <c r="I14" s="1"/>
    </row>
    <row r="15" spans="1:14" x14ac:dyDescent="0.2">
      <c r="A15" t="s">
        <v>3</v>
      </c>
      <c r="B15" s="1">
        <v>13995</v>
      </c>
      <c r="C15" s="1">
        <v>14925</v>
      </c>
      <c r="D15" s="1">
        <v>16200</v>
      </c>
      <c r="E15" s="1">
        <v>17010</v>
      </c>
      <c r="F15" s="1">
        <v>17860</v>
      </c>
      <c r="G15" s="1">
        <v>18755</v>
      </c>
      <c r="H15" s="1">
        <v>19690</v>
      </c>
      <c r="I15" s="1"/>
      <c r="K15" s="1">
        <f>H15-C15</f>
        <v>4765</v>
      </c>
      <c r="L15" s="3">
        <f>K15/C15</f>
        <v>0.31926298157453936</v>
      </c>
    </row>
    <row r="16" spans="1:14" x14ac:dyDescent="0.2">
      <c r="A16" t="s">
        <v>0</v>
      </c>
      <c r="B16" s="1"/>
      <c r="C16" s="1">
        <f t="shared" ref="C16:G16" si="1">C15</f>
        <v>14925</v>
      </c>
      <c r="D16" s="11">
        <f t="shared" si="1"/>
        <v>16200</v>
      </c>
      <c r="E16" s="11">
        <f t="shared" si="1"/>
        <v>17010</v>
      </c>
      <c r="F16" s="11">
        <f t="shared" si="1"/>
        <v>17860</v>
      </c>
      <c r="G16" s="11">
        <f t="shared" si="1"/>
        <v>18755</v>
      </c>
      <c r="H16" s="11">
        <f>C16+4800</f>
        <v>19725</v>
      </c>
      <c r="I16" s="1"/>
      <c r="K16" s="1">
        <f>H16-C15</f>
        <v>4800</v>
      </c>
      <c r="L16" s="3">
        <f>K16/C16</f>
        <v>0.32160804020100503</v>
      </c>
    </row>
    <row r="17" spans="1:15" x14ac:dyDescent="0.2">
      <c r="A17" t="s">
        <v>1</v>
      </c>
      <c r="B17" s="1"/>
      <c r="C17" s="1">
        <f>C16</f>
        <v>14925</v>
      </c>
      <c r="D17" s="1">
        <v>16200</v>
      </c>
      <c r="E17" s="1">
        <v>17270</v>
      </c>
      <c r="F17" s="1">
        <v>18310</v>
      </c>
      <c r="G17" s="1">
        <v>19400</v>
      </c>
      <c r="H17" s="1">
        <v>20470</v>
      </c>
      <c r="I17" s="1"/>
      <c r="K17" s="1">
        <f>H17-C15</f>
        <v>5545</v>
      </c>
      <c r="L17" s="3">
        <f>K17/C17</f>
        <v>0.37152428810720267</v>
      </c>
    </row>
    <row r="18" spans="1:15" x14ac:dyDescent="0.2">
      <c r="A18" t="s">
        <v>2</v>
      </c>
      <c r="B18" s="1"/>
      <c r="C18" s="1">
        <f>C15+2700-800</f>
        <v>16825</v>
      </c>
      <c r="D18" s="1">
        <f>C18+5400-2100</f>
        <v>20125</v>
      </c>
      <c r="E18" s="1">
        <f>D18+5000-2400</f>
        <v>22725</v>
      </c>
      <c r="F18" s="1">
        <f>E18+6100-3200</f>
        <v>25625</v>
      </c>
      <c r="G18" s="1">
        <f>F18+6100-3900</f>
        <v>27825</v>
      </c>
      <c r="H18" s="1">
        <f>G18+6600-4700</f>
        <v>29725</v>
      </c>
      <c r="I18" s="1"/>
      <c r="K18" s="1">
        <f>H18-C15</f>
        <v>14800</v>
      </c>
      <c r="L18" s="3">
        <f>K18/C18</f>
        <v>0.87964338781575035</v>
      </c>
    </row>
    <row r="19" spans="1:15" x14ac:dyDescent="0.2">
      <c r="B19" s="1"/>
      <c r="C19" s="1"/>
      <c r="D19" s="1"/>
      <c r="E19" s="1"/>
      <c r="F19" s="1"/>
      <c r="G19" s="1"/>
      <c r="H19" s="1"/>
      <c r="I19" s="1"/>
      <c r="K19" s="1"/>
      <c r="L19" s="3"/>
    </row>
    <row r="20" spans="1:15" x14ac:dyDescent="0.2">
      <c r="A20" s="2" t="s">
        <v>21</v>
      </c>
      <c r="B20" s="1"/>
      <c r="C20" s="1"/>
      <c r="D20" s="1"/>
      <c r="E20" s="1"/>
      <c r="F20" s="1"/>
      <c r="G20" s="1"/>
      <c r="H20" s="1"/>
      <c r="I20" s="1"/>
      <c r="K20" s="1"/>
      <c r="L20" s="3"/>
    </row>
    <row r="21" spans="1:15" x14ac:dyDescent="0.2">
      <c r="A21" t="s">
        <v>18</v>
      </c>
      <c r="B21" s="1">
        <v>6900</v>
      </c>
      <c r="C21" s="1">
        <v>7245</v>
      </c>
      <c r="D21" s="1">
        <v>7900</v>
      </c>
      <c r="E21" s="1">
        <v>8625</v>
      </c>
      <c r="F21" s="1">
        <v>9325</v>
      </c>
      <c r="G21" s="1">
        <v>10105</v>
      </c>
      <c r="H21" s="1">
        <v>10880</v>
      </c>
      <c r="I21" s="1"/>
      <c r="J21" s="5"/>
      <c r="K21" s="1"/>
      <c r="L21" s="3"/>
      <c r="M21" s="1"/>
    </row>
    <row r="22" spans="1:15" x14ac:dyDescent="0.2">
      <c r="A22" t="s">
        <v>19</v>
      </c>
      <c r="B22" s="1">
        <f>B9+B21</f>
        <v>95315</v>
      </c>
      <c r="C22" s="1">
        <f>C9+C21</f>
        <v>97765</v>
      </c>
      <c r="D22" s="1">
        <f>D9+D21</f>
        <v>104100</v>
      </c>
      <c r="E22" s="1">
        <f>E9+E21</f>
        <v>109635</v>
      </c>
      <c r="F22" s="1">
        <f>F9+F21</f>
        <v>115385</v>
      </c>
      <c r="G22" s="1">
        <f>G9+G21</f>
        <v>121470</v>
      </c>
      <c r="H22" s="1">
        <f>H9+H21</f>
        <v>127810</v>
      </c>
      <c r="I22" s="1"/>
      <c r="J22" s="5"/>
      <c r="K22" s="1"/>
      <c r="L22" s="3"/>
      <c r="M22" s="1"/>
    </row>
    <row r="23" spans="1:15" x14ac:dyDescent="0.2">
      <c r="B23" s="1"/>
      <c r="C23" s="6"/>
      <c r="D23" s="1"/>
      <c r="E23" s="1"/>
      <c r="F23" s="1"/>
      <c r="G23" s="1"/>
      <c r="H23" s="1"/>
      <c r="I23" s="1"/>
      <c r="K23" s="1"/>
      <c r="L23" s="3"/>
    </row>
    <row r="24" spans="1:15" x14ac:dyDescent="0.2">
      <c r="A24" t="s">
        <v>22</v>
      </c>
      <c r="B24" s="1">
        <f>5700-SUM(B25:B26)</f>
        <v>1650</v>
      </c>
      <c r="C24" s="1">
        <f>7645-SUM(C25:C26)</f>
        <v>565</v>
      </c>
      <c r="D24" s="1">
        <f>7265-SUM(D25:D26)</f>
        <v>1065</v>
      </c>
      <c r="E24" s="1">
        <f>7525-SUM(E25:E26)</f>
        <v>1065</v>
      </c>
      <c r="F24" s="1">
        <f>7780-SUM(F25:F26)</f>
        <v>1060</v>
      </c>
      <c r="G24" s="1">
        <f>8050-SUM(G25:G26)</f>
        <v>1050</v>
      </c>
      <c r="H24" s="1">
        <f>8345-SUM(H25:H26)</f>
        <v>1050</v>
      </c>
      <c r="I24" s="1"/>
      <c r="K24" s="1"/>
      <c r="L24" s="3"/>
      <c r="O24" s="6"/>
    </row>
    <row r="25" spans="1:15" x14ac:dyDescent="0.2">
      <c r="A25" t="s">
        <v>12</v>
      </c>
      <c r="B25" s="1">
        <v>4050</v>
      </c>
      <c r="C25" s="1">
        <v>5080</v>
      </c>
      <c r="D25" s="1">
        <v>4200</v>
      </c>
      <c r="E25" s="1">
        <v>4460</v>
      </c>
      <c r="F25" s="1">
        <v>4720</v>
      </c>
      <c r="G25" s="1">
        <v>5000</v>
      </c>
      <c r="H25" s="1">
        <v>5295</v>
      </c>
      <c r="K25" s="1"/>
      <c r="O25" s="7"/>
    </row>
    <row r="26" spans="1:15" x14ac:dyDescent="0.2">
      <c r="A26" t="s">
        <v>13</v>
      </c>
      <c r="B26" s="1"/>
      <c r="C26" s="1">
        <v>2000</v>
      </c>
      <c r="D26" s="1">
        <v>2000</v>
      </c>
      <c r="E26" s="1">
        <v>2000</v>
      </c>
      <c r="F26" s="1">
        <v>2000</v>
      </c>
      <c r="G26" s="1">
        <v>2000</v>
      </c>
      <c r="H26" s="1">
        <v>2000</v>
      </c>
      <c r="I26" s="1"/>
      <c r="K26" s="1"/>
      <c r="O26" s="7"/>
    </row>
    <row r="27" spans="1:15" x14ac:dyDescent="0.2">
      <c r="C27" s="1"/>
      <c r="D27" s="1"/>
      <c r="E27" s="1"/>
      <c r="F27" s="1"/>
      <c r="G27" s="1"/>
      <c r="H27" s="1"/>
      <c r="I27" s="1"/>
      <c r="K27" s="1"/>
      <c r="O27" s="7"/>
    </row>
    <row r="28" spans="1:15" x14ac:dyDescent="0.2">
      <c r="A28" s="10" t="s">
        <v>23</v>
      </c>
      <c r="B28" s="1">
        <f>B24+B15+B22</f>
        <v>110960</v>
      </c>
      <c r="C28" s="1">
        <f>C24+C15+C22</f>
        <v>113255</v>
      </c>
      <c r="D28" s="1">
        <f>D24+D15+D22</f>
        <v>121365</v>
      </c>
      <c r="E28" s="1">
        <f>E24+E15+E22</f>
        <v>127710</v>
      </c>
      <c r="F28" s="1">
        <f>F24+F15+F22</f>
        <v>134305</v>
      </c>
      <c r="G28" s="1">
        <f>G24+G15+G22</f>
        <v>141275</v>
      </c>
      <c r="H28" s="1">
        <f>H24+H15+H22</f>
        <v>148550</v>
      </c>
      <c r="I28" s="1"/>
      <c r="K28" s="1"/>
      <c r="O28" s="7"/>
    </row>
    <row r="29" spans="1:15" x14ac:dyDescent="0.2">
      <c r="A29" s="10"/>
      <c r="B29" s="1"/>
      <c r="C29" s="1"/>
      <c r="D29" s="1"/>
      <c r="E29" s="1"/>
      <c r="F29" s="1"/>
      <c r="G29" s="1"/>
      <c r="H29" s="1"/>
      <c r="I29" s="1"/>
      <c r="K29" s="1"/>
      <c r="O29" s="7"/>
    </row>
    <row r="30" spans="1:15" x14ac:dyDescent="0.2">
      <c r="A30" s="10" t="s">
        <v>14</v>
      </c>
      <c r="B30" s="1">
        <v>125305</v>
      </c>
      <c r="C30" s="1">
        <v>131290</v>
      </c>
      <c r="D30" s="1"/>
      <c r="E30" s="1"/>
      <c r="F30" s="1"/>
      <c r="G30" s="1"/>
      <c r="H30" s="1"/>
      <c r="I30" s="1"/>
      <c r="K30" s="1"/>
      <c r="O30" s="7"/>
    </row>
    <row r="31" spans="1:15" x14ac:dyDescent="0.2">
      <c r="A31" s="9" t="s">
        <v>24</v>
      </c>
      <c r="B31" s="1">
        <f>B30-(B9+B15)</f>
        <v>22895</v>
      </c>
      <c r="C31" s="1">
        <f>C30-(C9+C15)</f>
        <v>25845</v>
      </c>
      <c r="D31" s="1"/>
      <c r="E31" s="1"/>
      <c r="F31" s="1"/>
      <c r="G31" s="1"/>
      <c r="H31" s="1"/>
      <c r="I31" s="1"/>
      <c r="K31" s="1"/>
      <c r="O31" s="7"/>
    </row>
    <row r="32" spans="1:15" x14ac:dyDescent="0.2">
      <c r="A32" s="9" t="s">
        <v>15</v>
      </c>
      <c r="B32" s="8">
        <f>B30/(B9+B15)</f>
        <v>1.2235621521335807</v>
      </c>
      <c r="C32" s="8">
        <f>C30/(C9+C15)</f>
        <v>1.2451040826971407</v>
      </c>
      <c r="D32" s="1"/>
      <c r="E32" s="1"/>
      <c r="F32" s="1"/>
      <c r="G32" s="1"/>
      <c r="H32" s="1"/>
      <c r="I32" s="1"/>
      <c r="K32" s="1"/>
      <c r="O32" s="7"/>
    </row>
    <row r="33" spans="1:15" x14ac:dyDescent="0.2">
      <c r="A33" s="9" t="s">
        <v>25</v>
      </c>
      <c r="B33" s="8">
        <f>B31/B30</f>
        <v>0.18271417740712662</v>
      </c>
      <c r="C33" s="8">
        <f>C31/C30</f>
        <v>0.19685429202528754</v>
      </c>
      <c r="D33" s="1"/>
      <c r="E33" s="1"/>
      <c r="F33" s="1"/>
      <c r="G33" s="1"/>
      <c r="H33" s="1"/>
      <c r="I33" s="1"/>
      <c r="K33" s="1"/>
      <c r="O33" s="7"/>
    </row>
    <row r="34" spans="1:15" x14ac:dyDescent="0.2">
      <c r="A34" s="9"/>
      <c r="B34" s="8"/>
      <c r="C34" s="8"/>
      <c r="D34" s="1"/>
      <c r="E34" s="1"/>
      <c r="F34" s="1"/>
      <c r="G34" s="1"/>
      <c r="H34" s="1"/>
      <c r="I34" s="1"/>
      <c r="K34" s="1"/>
      <c r="O34" s="7"/>
    </row>
    <row r="35" spans="1:15" x14ac:dyDescent="0.2">
      <c r="A35" s="2" t="s">
        <v>27</v>
      </c>
      <c r="I35" s="2" t="s">
        <v>11</v>
      </c>
      <c r="J35" s="2" t="s">
        <v>16</v>
      </c>
      <c r="K35" s="2" t="s">
        <v>7</v>
      </c>
      <c r="L35" s="2" t="s">
        <v>8</v>
      </c>
      <c r="M35" s="2" t="s">
        <v>29</v>
      </c>
    </row>
    <row r="36" spans="1:15" x14ac:dyDescent="0.2">
      <c r="A36" t="s">
        <v>3</v>
      </c>
      <c r="B36" s="1">
        <v>13995</v>
      </c>
      <c r="C36" s="1">
        <f>C15</f>
        <v>14925</v>
      </c>
      <c r="D36" s="1">
        <f t="shared" ref="D36:H36" si="2">D15</f>
        <v>16200</v>
      </c>
      <c r="E36" s="1">
        <f t="shared" si="2"/>
        <v>17010</v>
      </c>
      <c r="F36" s="1">
        <f t="shared" si="2"/>
        <v>17860</v>
      </c>
      <c r="G36" s="1">
        <f t="shared" si="2"/>
        <v>18755</v>
      </c>
      <c r="H36" s="1">
        <f t="shared" si="2"/>
        <v>19690</v>
      </c>
      <c r="I36" s="1">
        <f>SUM(C36:H36)</f>
        <v>104440</v>
      </c>
      <c r="L36" s="1">
        <f>SUM(I36:K36)</f>
        <v>104440</v>
      </c>
      <c r="M36" s="5">
        <f>L36/$L$36-1</f>
        <v>0</v>
      </c>
    </row>
    <row r="37" spans="1:15" x14ac:dyDescent="0.2">
      <c r="A37" t="s">
        <v>0</v>
      </c>
      <c r="C37" s="1">
        <f t="shared" ref="C37:H37" si="3">C16</f>
        <v>14925</v>
      </c>
      <c r="D37" s="1">
        <f t="shared" si="3"/>
        <v>16200</v>
      </c>
      <c r="E37" s="1">
        <f t="shared" si="3"/>
        <v>17010</v>
      </c>
      <c r="F37" s="1">
        <f t="shared" si="3"/>
        <v>17860</v>
      </c>
      <c r="G37" s="1">
        <f t="shared" si="3"/>
        <v>18755</v>
      </c>
      <c r="H37" s="1">
        <f t="shared" si="3"/>
        <v>19725</v>
      </c>
      <c r="I37" s="1">
        <f t="shared" ref="I37:I39" si="4">SUM(C37:H37)</f>
        <v>104475</v>
      </c>
      <c r="J37" s="1">
        <f>14100</f>
        <v>14100</v>
      </c>
      <c r="L37" s="1">
        <f>SUM(I37:K37)</f>
        <v>118575</v>
      </c>
      <c r="M37" s="5">
        <f t="shared" ref="M37:M39" si="5">L37/$L$36-1</f>
        <v>0.13534086556874758</v>
      </c>
    </row>
    <row r="38" spans="1:15" x14ac:dyDescent="0.2">
      <c r="A38" t="s">
        <v>1</v>
      </c>
      <c r="C38" s="1">
        <f t="shared" ref="C38:H38" si="6">C17</f>
        <v>14925</v>
      </c>
      <c r="D38" s="1">
        <f t="shared" si="6"/>
        <v>16200</v>
      </c>
      <c r="E38" s="1">
        <f t="shared" si="6"/>
        <v>17270</v>
      </c>
      <c r="F38" s="1">
        <f t="shared" si="6"/>
        <v>18310</v>
      </c>
      <c r="G38" s="1">
        <f t="shared" si="6"/>
        <v>19400</v>
      </c>
      <c r="H38" s="1">
        <f t="shared" si="6"/>
        <v>20470</v>
      </c>
      <c r="I38" s="1">
        <f t="shared" si="4"/>
        <v>106575</v>
      </c>
      <c r="J38" s="1">
        <f>17100</f>
        <v>17100</v>
      </c>
      <c r="L38" s="1">
        <f>SUM(I38:K38)</f>
        <v>123675</v>
      </c>
      <c r="M38" s="5">
        <f t="shared" si="5"/>
        <v>0.18417273075450025</v>
      </c>
    </row>
    <row r="39" spans="1:15" x14ac:dyDescent="0.2">
      <c r="A39" t="s">
        <v>2</v>
      </c>
      <c r="C39" s="1">
        <f t="shared" ref="C39:H39" si="7">C18</f>
        <v>16825</v>
      </c>
      <c r="D39" s="1">
        <f t="shared" si="7"/>
        <v>20125</v>
      </c>
      <c r="E39" s="1">
        <f t="shared" si="7"/>
        <v>22725</v>
      </c>
      <c r="F39" s="1">
        <f t="shared" si="7"/>
        <v>25625</v>
      </c>
      <c r="G39" s="1">
        <f t="shared" si="7"/>
        <v>27825</v>
      </c>
      <c r="H39" s="1">
        <f t="shared" si="7"/>
        <v>29725</v>
      </c>
      <c r="I39" s="1">
        <f t="shared" si="4"/>
        <v>142850</v>
      </c>
      <c r="J39" s="1">
        <f>17100</f>
        <v>17100</v>
      </c>
      <c r="K39" s="4">
        <f>9900</f>
        <v>9900</v>
      </c>
      <c r="L39" s="1">
        <f>SUM(I39:K39)</f>
        <v>169850</v>
      </c>
      <c r="M39" s="5">
        <f t="shared" si="5"/>
        <v>0.62629260819609356</v>
      </c>
    </row>
    <row r="42" spans="1:15" x14ac:dyDescent="0.2">
      <c r="A42" s="2" t="s">
        <v>28</v>
      </c>
      <c r="B42" s="2" t="s">
        <v>9</v>
      </c>
      <c r="C42" s="2" t="s">
        <v>10</v>
      </c>
      <c r="D42" s="2" t="s">
        <v>26</v>
      </c>
    </row>
    <row r="43" spans="1:15" x14ac:dyDescent="0.2">
      <c r="A43" t="s">
        <v>0</v>
      </c>
      <c r="B43" s="1">
        <f>15500+9294+18900-14100</f>
        <v>29594</v>
      </c>
      <c r="C43" s="1">
        <f>D43-B43</f>
        <v>7401.2880890418892</v>
      </c>
      <c r="D43" s="1">
        <f>(H4-C4)</f>
        <v>36995.288089041889</v>
      </c>
      <c r="E43" s="1"/>
    </row>
    <row r="44" spans="1:15" x14ac:dyDescent="0.2">
      <c r="A44" t="s">
        <v>1</v>
      </c>
      <c r="B44" s="1">
        <f>20000+15170.5+3935.5</f>
        <v>39106</v>
      </c>
      <c r="D44" s="1">
        <f>(H5-C5)</f>
        <v>36593.013804951188</v>
      </c>
    </row>
    <row r="45" spans="1:15" x14ac:dyDescent="0.2">
      <c r="A45" t="s">
        <v>2</v>
      </c>
      <c r="B45" s="1">
        <f>20000+14300+(31900-17100)</f>
        <v>49100</v>
      </c>
      <c r="D45" s="1">
        <f>(H6-C3)</f>
        <v>49100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6</vt:i4>
      </vt:variant>
    </vt:vector>
  </HeadingPairs>
  <TitlesOfParts>
    <vt:vector size="7" baseType="lpstr">
      <vt:lpstr>calcs</vt:lpstr>
      <vt:lpstr>Chart 1</vt:lpstr>
      <vt:lpstr>Chart 2a</vt:lpstr>
      <vt:lpstr>Chart 2b</vt:lpstr>
      <vt:lpstr>Chart 3</vt:lpstr>
      <vt:lpstr>Chart 4</vt:lpstr>
      <vt:lpstr>Chart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 Roantree</dc:creator>
  <cp:lastModifiedBy>Barra Roantree</cp:lastModifiedBy>
  <dcterms:created xsi:type="dcterms:W3CDTF">2024-11-18T20:31:25Z</dcterms:created>
  <dcterms:modified xsi:type="dcterms:W3CDTF">2024-11-21T14:44:30Z</dcterms:modified>
</cp:coreProperties>
</file>