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tcdud-my.sharepoint.com/personal/broantre_tcd_ie/Documents/Research/2024 election/"/>
    </mc:Choice>
  </mc:AlternateContent>
  <xr:revisionPtr revIDLastSave="742" documentId="8_{A7A65AFF-E6D1-7340-8CAC-D9FEF0D9617C}" xr6:coauthVersionLast="47" xr6:coauthVersionMax="47" xr10:uidLastSave="{36935B38-F62A-7549-81E1-85FA94B14956}"/>
  <bookViews>
    <workbookView xWindow="0" yWindow="760" windowWidth="30240" windowHeight="17820" activeTab="6" xr2:uid="{7208FA8F-E33C-2340-9B71-B0A8AD09DE1D}"/>
  </bookViews>
  <sheets>
    <sheet name="Chart 1" sheetId="2" r:id="rId1"/>
    <sheet name="Chart 2a" sheetId="7" r:id="rId2"/>
    <sheet name="Chart 2b" sheetId="8" r:id="rId3"/>
    <sheet name="Chart 3" sheetId="5" r:id="rId4"/>
    <sheet name="Chart 4" sheetId="4" r:id="rId5"/>
    <sheet name="Chart 5" sheetId="6" r:id="rId6"/>
    <sheet name="calc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K14" i="1" l="1"/>
  <c r="B31" i="1"/>
  <c r="B30" i="1"/>
  <c r="C30" i="1"/>
  <c r="C31" i="1"/>
  <c r="H23" i="1"/>
  <c r="G23" i="1"/>
  <c r="F23" i="1"/>
  <c r="E23" i="1"/>
  <c r="E28" i="1" s="1"/>
  <c r="B23" i="1"/>
  <c r="D23" i="1"/>
  <c r="C23" i="1"/>
  <c r="C15" i="1"/>
  <c r="D15" i="1"/>
  <c r="D28" i="1" s="1"/>
  <c r="E15" i="1"/>
  <c r="F15" i="1"/>
  <c r="G15" i="1"/>
  <c r="H15" i="1"/>
  <c r="B15" i="1"/>
  <c r="G19" i="1"/>
  <c r="F19" i="1"/>
  <c r="E19" i="1"/>
  <c r="D19" i="1"/>
  <c r="B50" i="1"/>
  <c r="B49" i="1"/>
  <c r="B48" i="1"/>
  <c r="K11" i="1"/>
  <c r="K20" i="1"/>
  <c r="J38" i="1"/>
  <c r="K40" i="1"/>
  <c r="J40" i="1"/>
  <c r="J39" i="1"/>
  <c r="E38" i="1"/>
  <c r="F38" i="1"/>
  <c r="G38" i="1"/>
  <c r="D38" i="1"/>
  <c r="C40" i="1"/>
  <c r="D40" i="1" s="1"/>
  <c r="E40" i="1" s="1"/>
  <c r="F40" i="1" s="1"/>
  <c r="G40" i="1" s="1"/>
  <c r="H40" i="1" s="1"/>
  <c r="C38" i="1"/>
  <c r="C39" i="1" s="1"/>
  <c r="I37" i="1"/>
  <c r="L37" i="1" s="1"/>
  <c r="C6" i="1"/>
  <c r="D6" i="1" s="1"/>
  <c r="E6" i="1" s="1"/>
  <c r="F6" i="1" s="1"/>
  <c r="G6" i="1" s="1"/>
  <c r="H6" i="1" s="1"/>
  <c r="H7" i="1" s="1"/>
  <c r="C21" i="1"/>
  <c r="D21" i="1" s="1"/>
  <c r="E21" i="1" s="1"/>
  <c r="F21" i="1" s="1"/>
  <c r="G21" i="1" s="1"/>
  <c r="H21" i="1" s="1"/>
  <c r="K21" i="1" s="1"/>
  <c r="M9" i="1"/>
  <c r="C12" i="1"/>
  <c r="D12" i="1" s="1"/>
  <c r="E12" i="1" s="1"/>
  <c r="F12" i="1" s="1"/>
  <c r="G12" i="1" s="1"/>
  <c r="H12" i="1" s="1"/>
  <c r="B20" i="1"/>
  <c r="B19" i="1"/>
  <c r="B4" i="1"/>
  <c r="B6" i="1" s="1"/>
  <c r="B5" i="1"/>
  <c r="B10" i="1"/>
  <c r="B12" i="1" s="1"/>
  <c r="B11" i="1"/>
  <c r="C19" i="1"/>
  <c r="H19" i="1" s="1"/>
  <c r="K19" i="1" s="1"/>
  <c r="C10" i="1"/>
  <c r="C11" i="1" s="1"/>
  <c r="K9" i="1"/>
  <c r="L9" i="1" s="1"/>
  <c r="C4" i="1"/>
  <c r="D4" i="1" s="1"/>
  <c r="E4" i="1" s="1"/>
  <c r="F4" i="1" s="1"/>
  <c r="G4" i="1" s="1"/>
  <c r="H4" i="1" s="1"/>
  <c r="D48" i="1" s="1"/>
  <c r="K18" i="1"/>
  <c r="L18" i="1" s="1"/>
  <c r="C5" i="1"/>
  <c r="D5" i="1" s="1"/>
  <c r="E5" i="1" s="1"/>
  <c r="F5" i="1" s="1"/>
  <c r="G5" i="1" s="1"/>
  <c r="H5" i="1" s="1"/>
  <c r="D49" i="1" s="1"/>
  <c r="K3" i="1"/>
  <c r="L3" i="1" s="1"/>
  <c r="G28" i="1" l="1"/>
  <c r="C28" i="1"/>
  <c r="F28" i="1"/>
  <c r="H28" i="1"/>
  <c r="B28" i="1"/>
  <c r="K5" i="1"/>
  <c r="E10" i="1"/>
  <c r="D50" i="1"/>
  <c r="K6" i="1"/>
  <c r="J12" i="1"/>
  <c r="K12" i="1"/>
  <c r="L12" i="1" s="1"/>
  <c r="J6" i="1"/>
  <c r="G10" i="1"/>
  <c r="K4" i="1"/>
  <c r="J4" i="1" s="1"/>
  <c r="C7" i="1"/>
  <c r="D10" i="1"/>
  <c r="H10" i="1"/>
  <c r="D7" i="1"/>
  <c r="F10" i="1"/>
  <c r="E7" i="1"/>
  <c r="H38" i="1"/>
  <c r="F7" i="1"/>
  <c r="G7" i="1"/>
  <c r="C48" i="1"/>
  <c r="L19" i="1"/>
  <c r="L21" i="1"/>
  <c r="I40" i="1"/>
  <c r="L40" i="1" s="1"/>
  <c r="M10" i="1"/>
  <c r="L11" i="1"/>
  <c r="C20" i="1"/>
  <c r="M37" i="1" l="1"/>
  <c r="J11" i="1"/>
  <c r="J10" i="1"/>
  <c r="K10" i="1"/>
  <c r="L20" i="1"/>
  <c r="B45" i="1"/>
  <c r="I38" i="1"/>
  <c r="L38" i="1" s="1"/>
  <c r="M38" i="1" s="1"/>
  <c r="I39" i="1"/>
  <c r="L39" i="1" s="1"/>
  <c r="M39" i="1" s="1"/>
  <c r="B44" i="1"/>
  <c r="C43" i="1"/>
  <c r="L4" i="1"/>
  <c r="M11" i="1"/>
  <c r="L6" i="1"/>
  <c r="C45" i="1"/>
  <c r="C44" i="1"/>
  <c r="L5" i="1"/>
  <c r="M12" i="1"/>
  <c r="L10" i="1" l="1"/>
  <c r="B43" i="1"/>
  <c r="D43" i="1" s="1"/>
  <c r="D44" i="1"/>
  <c r="D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tc={382C25C4-E10E-B04A-9C89-310A5D95E276}</author>
    <author>tc={7A10D833-0D86-6149-80C5-CDB12790C804}</author>
    <author>tc={219E5DE1-8C47-D447-8BB0-554D43445F4D}</author>
    <author>tc={9F1674C8-07EA-6941-96CF-9C4A7B0CF1C0}</author>
    <author>tc={E8A0D228-4EB4-E645-AC1E-4E72D768FC1E}</author>
    <author>tc={F2CC41F8-8A0E-2040-B80A-5873C05C4E84}</author>
    <author>tc={8D80D106-20EB-A04F-BD15-156E589DA0DE}</author>
    <author>tc={EF9D8B33-4D5F-E240-8C1E-C38147AECC8B}</author>
    <author>tc={913E499C-5221-2948-ABE5-C598C70BDD2B}</author>
    <author>tc={675EB98A-5578-D245-9171-02F86C22CA86}</author>
  </authors>
  <commentList>
    <comment ref="A3" authorId="0" shapeId="0" xr:uid="{382C25C4-E10E-B04A-9C89-310A5D95E276}">
      <text>
        <t>[Threaded comment]
Your version of Excel allows you to read this threaded comment; however, any edits to it will get removed if the file is opened in a newer version of Excel. Learn more: https://go.microsoft.com/fwlink/?linkid=870924
Comment:
    Government Expenditure Ceiling line in Table 11 of EFO</t>
      </text>
    </comment>
    <comment ref="H10" authorId="1" shapeId="0" xr:uid="{7A10D833-0D86-6149-80C5-CDB12790C80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Adding the FG current numbers from p.116 of manifesto and implied path from capital spending matching EFO</t>
      </text>
    </comment>
    <comment ref="K10" authorId="2" shapeId="0" xr:uid="{219E5DE1-8C47-D447-8BB0-554D43445F4D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does this sum to 26.4bn rather than 37bn FG say they will increase exchequer expenditure ceiling by? (Cell J4)</t>
      </text>
    </comment>
    <comment ref="H11" authorId="3" shapeId="0" xr:uid="{9F1674C8-07EA-6941-96CF-9C4A7B0CF1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Adding the FF numbers from pp.190 of manifesto
</t>
      </text>
    </comment>
    <comment ref="K11" authorId="4" shapeId="0" xr:uid="{E8A0D228-4EB4-E645-AC1E-4E72D768FC1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almost as much as they say will increase voted expenditure altogether</t>
      </text>
    </comment>
    <comment ref="H19" authorId="5" shapeId="0" xr:uid="{F2CC41F8-8A0E-2040-B80A-5873C05C4E8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Adding the FG current numbers from p.116 of manifesto and implied path from capital spending matching EFO</t>
      </text>
    </comment>
    <comment ref="A40" authorId="6" shapeId="0" xr:uid="{8D80D106-20EB-A04F-BD15-156E589DA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Set out in manifesto </t>
      </text>
    </comment>
    <comment ref="A43" authorId="7" shapeId="0" xr:uid="{EF9D8B33-4D5F-E240-8C1E-C38147AECC8B}">
      <text>
        <t>[Threaded comment]
Your version of Excel allows you to read this threaded comment; however, any edits to it will get removed if the file is opened in a newer version of Excel. Learn more: https://go.microsoft.com/fwlink/?linkid=870924
Comment:
    FG have specified fewer spending increases than their mapped increase in expenditure. Is different provision for pay deal?</t>
      </text>
    </comment>
    <comment ref="A44" authorId="8" shapeId="0" xr:uid="{913E499C-5221-2948-ABE5-C598C70BDD2B}">
      <text>
        <t>[Threaded comment]
Your version of Excel allows you to read this threaded comment; however, any edits to it will get removed if the file is opened in a newer version of Excel. Learn more: https://go.microsoft.com/fwlink/?linkid=870924
Comment:
    FF’s overall spending increase is less than the sum of their current and capital</t>
      </text>
    </comment>
    <comment ref="A45" authorId="9" shapeId="0" xr:uid="{675EB98A-5578-D245-9171-02F86C22CA86}">
      <text>
        <t>[Threaded comment]
Your version of Excel allows you to read this threaded comment; however, any edits to it will get removed if the file is opened in a newer version of Excel. Learn more: https://go.microsoft.com/fwlink/?linkid=870924
Comment:
    SFs figures balance, but huge increase in capital spending</t>
      </text>
    </comment>
  </commentList>
</comments>
</file>

<file path=xl/sharedStrings.xml><?xml version="1.0" encoding="utf-8"?>
<sst xmlns="http://schemas.openxmlformats.org/spreadsheetml/2006/main" count="53" uniqueCount="37">
  <si>
    <t>Fine Gael</t>
  </si>
  <si>
    <t>Fianna Fáil</t>
  </si>
  <si>
    <t>Sinn Féin</t>
  </si>
  <si>
    <t>Budget 2025 EFO (T11)</t>
  </si>
  <si>
    <t>D.2025-2030</t>
  </si>
  <si>
    <t>Table 1a. Gross voted current expenditure</t>
  </si>
  <si>
    <t>%D.2025-2030</t>
  </si>
  <si>
    <t>FF</t>
  </si>
  <si>
    <t>FG</t>
  </si>
  <si>
    <t>SF</t>
  </si>
  <si>
    <t>current + capital</t>
  </si>
  <si>
    <t>expenditure ceiling</t>
  </si>
  <si>
    <t>diff</t>
  </si>
  <si>
    <t>ceiling-capital</t>
  </si>
  <si>
    <t>Cumulative capital investment, 2025-2030</t>
  </si>
  <si>
    <t>Other GG capital spending</t>
  </si>
  <si>
    <t>Total</t>
  </si>
  <si>
    <t>But manifesto costings don't match: suggest current higher but capital lower!</t>
  </si>
  <si>
    <t>Manifesto commitments</t>
  </si>
  <si>
    <t xml:space="preserve">Unspecified </t>
  </si>
  <si>
    <t>Expenditure Ceiling</t>
  </si>
  <si>
    <t>Additional Gross voted spending, 2030</t>
  </si>
  <si>
    <t>Gross voted capital spending</t>
  </si>
  <si>
    <t>SF diff</t>
  </si>
  <si>
    <t xml:space="preserve">EFO non-voted current </t>
  </si>
  <si>
    <t>EFO table 11 non-voted capital (excluding transfers to FIF and ICNF)</t>
  </si>
  <si>
    <t>Transfer to FIF</t>
  </si>
  <si>
    <t>Transfer to ICNF</t>
  </si>
  <si>
    <t>EFO gross current</t>
  </si>
  <si>
    <t>Table 1. Exchequer expenditure ceilings</t>
  </si>
  <si>
    <t>EFO Gross voted &amp; non-voted expenditure</t>
  </si>
  <si>
    <t>GG spending (T A8 of Budget 2025 EFO)</t>
  </si>
  <si>
    <t>GG:voted</t>
  </si>
  <si>
    <t>GG-voted</t>
  </si>
  <si>
    <t>(GG-voted)/GG</t>
  </si>
  <si>
    <t>Table 1b. Gross voted  capital expenditure (excluding windfall Apple escrow and AIB spending)</t>
  </si>
  <si>
    <t>Apple escrow/AIB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</si>
</sst>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7"/>
      <color theme="1"/>
      <name val="Arial"/>
      <family val="2"/>
    </font>
    <font>
      <sz val="7"/>
      <color rgb="FF000000"/>
      <name val="Arial"/>
      <family val="2"/>
    </font>
    <font>
      <i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3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3" fontId="0" fillId="2" borderId="0" xfId="0" applyNumberFormat="1" applyFill="1"/>
    <xf numFmtId="0" fontId="3" fillId="0" borderId="0" xfId="0" applyFont="1"/>
    <xf numFmtId="3" fontId="3" fillId="0" borderId="0" xfId="0" applyNumberFormat="1" applyFont="1"/>
    <xf numFmtId="1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microsoft.com/office/2017/10/relationships/person" Target="persons/perso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Largest parties' plans for gross voted expenditure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calcs!$A$3</c:f>
              <c:strCache>
                <c:ptCount val="1"/>
                <c:pt idx="0">
                  <c:v>Budget 2025 EFO (T11)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calcs!$B$3:$H$3</c:f>
              <c:numCache>
                <c:formatCode>#,##0</c:formatCode>
                <c:ptCount val="7"/>
                <c:pt idx="0">
                  <c:v>102410</c:v>
                </c:pt>
                <c:pt idx="1">
                  <c:v>105445</c:v>
                </c:pt>
                <c:pt idx="2">
                  <c:v>112400</c:v>
                </c:pt>
                <c:pt idx="3">
                  <c:v>118020</c:v>
                </c:pt>
                <c:pt idx="4">
                  <c:v>123920</c:v>
                </c:pt>
                <c:pt idx="5">
                  <c:v>130120</c:v>
                </c:pt>
                <c:pt idx="6">
                  <c:v>136620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1-1247-8949-CBDADF27DD45}"/>
            </c:ext>
          </c:extLst>
        </c:ser>
        <c:ser>
          <c:idx val="1"/>
          <c:order val="1"/>
          <c:tx>
            <c:strRef>
              <c:f>calcs!$A$4</c:f>
              <c:strCache>
                <c:ptCount val="1"/>
                <c:pt idx="0">
                  <c:v>Fine Gael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calcs!$B$4:$H$4</c:f>
              <c:numCache>
                <c:formatCode>#,##0</c:formatCode>
                <c:ptCount val="7"/>
                <c:pt idx="0">
                  <c:v>102410</c:v>
                </c:pt>
                <c:pt idx="1">
                  <c:v>105445</c:v>
                </c:pt>
                <c:pt idx="2">
                  <c:v>112826.15000000001</c:v>
                </c:pt>
                <c:pt idx="3">
                  <c:v>119482.89285</c:v>
                </c:pt>
                <c:pt idx="4">
                  <c:v>126651.86642100001</c:v>
                </c:pt>
                <c:pt idx="5">
                  <c:v>134250.97840626002</c:v>
                </c:pt>
                <c:pt idx="6">
                  <c:v>142440.28808904189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1-1247-8949-CBDADF27DD45}"/>
            </c:ext>
          </c:extLst>
        </c:ser>
        <c:ser>
          <c:idx val="2"/>
          <c:order val="2"/>
          <c:tx>
            <c:strRef>
              <c:f>calcs!$A$5</c:f>
              <c:strCache>
                <c:ptCount val="1"/>
                <c:pt idx="0">
                  <c:v>Fianna Fáil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calcs!$B$5:$H$5</c:f>
              <c:numCache>
                <c:formatCode>#,##0</c:formatCode>
                <c:ptCount val="7"/>
                <c:pt idx="0">
                  <c:v>102410</c:v>
                </c:pt>
                <c:pt idx="1">
                  <c:v>105445</c:v>
                </c:pt>
                <c:pt idx="2">
                  <c:v>112404.37000000001</c:v>
                </c:pt>
                <c:pt idx="3">
                  <c:v>119823.05842000002</c:v>
                </c:pt>
                <c:pt idx="4">
                  <c:v>127012.44192520002</c:v>
                </c:pt>
                <c:pt idx="5">
                  <c:v>134633.18844071202</c:v>
                </c:pt>
                <c:pt idx="6">
                  <c:v>142038.01380495119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1-1247-8949-CBDADF27DD45}"/>
            </c:ext>
          </c:extLst>
        </c:ser>
        <c:ser>
          <c:idx val="3"/>
          <c:order val="3"/>
          <c:tx>
            <c:strRef>
              <c:f>calcs!$A$6</c:f>
              <c:strCache>
                <c:ptCount val="1"/>
                <c:pt idx="0">
                  <c:v>Sinn Féin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calcs!$B$6:$H$6</c:f>
              <c:numCache>
                <c:formatCode>#,##0</c:formatCode>
                <c:ptCount val="7"/>
                <c:pt idx="0">
                  <c:v>102410</c:v>
                </c:pt>
                <c:pt idx="1">
                  <c:v>107845</c:v>
                </c:pt>
                <c:pt idx="2">
                  <c:v>119445</c:v>
                </c:pt>
                <c:pt idx="3">
                  <c:v>127845</c:v>
                </c:pt>
                <c:pt idx="4">
                  <c:v>137145</c:v>
                </c:pt>
                <c:pt idx="5">
                  <c:v>146045</c:v>
                </c:pt>
                <c:pt idx="6">
                  <c:v>154545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6-5243-BE6A-7CE8770A4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70624"/>
        <c:axId val="105959088"/>
      </c:scatterChart>
      <c:valAx>
        <c:axId val="535670624"/>
        <c:scaling>
          <c:orientation val="minMax"/>
          <c:max val="2030"/>
          <c:min val="20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9088"/>
        <c:crosses val="autoZero"/>
        <c:crossBetween val="midCat"/>
      </c:valAx>
      <c:valAx>
        <c:axId val="10595908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€</a:t>
                </a:r>
                <a:r>
                  <a:rPr lang="en-GB" baseline="0"/>
                  <a:t> million per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Largest parties' plans for gross voted current expenditure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calcs!$A$9</c:f>
              <c:strCache>
                <c:ptCount val="1"/>
                <c:pt idx="0">
                  <c:v>Budget 2025 EFO (T11)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calcs!$B$9:$H$9</c:f>
              <c:numCache>
                <c:formatCode>#,##0</c:formatCode>
                <c:ptCount val="7"/>
                <c:pt idx="0">
                  <c:v>88415</c:v>
                </c:pt>
                <c:pt idx="1">
                  <c:v>90520</c:v>
                </c:pt>
                <c:pt idx="2">
                  <c:v>96200</c:v>
                </c:pt>
                <c:pt idx="3">
                  <c:v>101010</c:v>
                </c:pt>
                <c:pt idx="4">
                  <c:v>106060</c:v>
                </c:pt>
                <c:pt idx="5">
                  <c:v>111365</c:v>
                </c:pt>
                <c:pt idx="6">
                  <c:v>116930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0-9649-8ED0-9749673F6F0F}"/>
            </c:ext>
          </c:extLst>
        </c:ser>
        <c:ser>
          <c:idx val="1"/>
          <c:order val="1"/>
          <c:tx>
            <c:strRef>
              <c:f>calcs!$A$10</c:f>
              <c:strCache>
                <c:ptCount val="1"/>
                <c:pt idx="0">
                  <c:v>Fine Gael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calcs!$B$10:$H$10</c:f>
              <c:numCache>
                <c:formatCode>#,##0</c:formatCode>
                <c:ptCount val="7"/>
                <c:pt idx="0">
                  <c:v>88415</c:v>
                </c:pt>
                <c:pt idx="1">
                  <c:v>90520</c:v>
                </c:pt>
                <c:pt idx="2">
                  <c:v>96626.150000000009</c:v>
                </c:pt>
                <c:pt idx="3">
                  <c:v>102472.89285</c:v>
                </c:pt>
                <c:pt idx="4">
                  <c:v>108791.86642100001</c:v>
                </c:pt>
                <c:pt idx="5">
                  <c:v>115495.97840626002</c:v>
                </c:pt>
                <c:pt idx="6">
                  <c:v>122715.28808904189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0-9649-8ED0-9749673F6F0F}"/>
            </c:ext>
          </c:extLst>
        </c:ser>
        <c:ser>
          <c:idx val="2"/>
          <c:order val="2"/>
          <c:tx>
            <c:strRef>
              <c:f>calcs!$A$11</c:f>
              <c:strCache>
                <c:ptCount val="1"/>
                <c:pt idx="0">
                  <c:v>Fianna Fáil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calcs!$B$11:$H$11</c:f>
              <c:numCache>
                <c:formatCode>#,##0</c:formatCode>
                <c:ptCount val="7"/>
                <c:pt idx="0">
                  <c:v>88415</c:v>
                </c:pt>
                <c:pt idx="1">
                  <c:v>90520</c:v>
                </c:pt>
                <c:pt idx="2">
                  <c:v>96200</c:v>
                </c:pt>
                <c:pt idx="3">
                  <c:v>102550</c:v>
                </c:pt>
                <c:pt idx="4">
                  <c:v>108700</c:v>
                </c:pt>
                <c:pt idx="5">
                  <c:v>115220</c:v>
                </c:pt>
                <c:pt idx="6">
                  <c:v>121560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0-9649-8ED0-9749673F6F0F}"/>
            </c:ext>
          </c:extLst>
        </c:ser>
        <c:ser>
          <c:idx val="3"/>
          <c:order val="3"/>
          <c:tx>
            <c:strRef>
              <c:f>calcs!$A$12</c:f>
              <c:strCache>
                <c:ptCount val="1"/>
                <c:pt idx="0">
                  <c:v>Sinn Féin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calcs!$B$12:$H$12</c:f>
              <c:numCache>
                <c:formatCode>#,##0</c:formatCode>
                <c:ptCount val="7"/>
                <c:pt idx="0">
                  <c:v>88415</c:v>
                </c:pt>
                <c:pt idx="1">
                  <c:v>91020</c:v>
                </c:pt>
                <c:pt idx="2">
                  <c:v>99320</c:v>
                </c:pt>
                <c:pt idx="3">
                  <c:v>105120</c:v>
                </c:pt>
                <c:pt idx="4">
                  <c:v>111520</c:v>
                </c:pt>
                <c:pt idx="5">
                  <c:v>118220</c:v>
                </c:pt>
                <c:pt idx="6">
                  <c:v>124820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90-9649-8ED0-9749673F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70624"/>
        <c:axId val="105959088"/>
      </c:scatterChart>
      <c:valAx>
        <c:axId val="535670624"/>
        <c:scaling>
          <c:orientation val="minMax"/>
          <c:max val="2030"/>
          <c:min val="20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9088"/>
        <c:crosses val="autoZero"/>
        <c:crossBetween val="midCat"/>
      </c:valAx>
      <c:valAx>
        <c:axId val="1059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€</a:t>
                </a:r>
                <a:r>
                  <a:rPr lang="en-GB" baseline="0"/>
                  <a:t> million per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Largest parties' plans for gross voted capital expenditure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calcs!$A$9</c:f>
              <c:strCache>
                <c:ptCount val="1"/>
                <c:pt idx="0">
                  <c:v>Budget 2025 EFO (T11)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calcs!$B$18:$H$18</c:f>
              <c:numCache>
                <c:formatCode>#,##0</c:formatCode>
                <c:ptCount val="7"/>
                <c:pt idx="0">
                  <c:v>13995</c:v>
                </c:pt>
                <c:pt idx="1">
                  <c:v>14925</c:v>
                </c:pt>
                <c:pt idx="2">
                  <c:v>16200</c:v>
                </c:pt>
                <c:pt idx="3">
                  <c:v>17010</c:v>
                </c:pt>
                <c:pt idx="4">
                  <c:v>17860</c:v>
                </c:pt>
                <c:pt idx="5">
                  <c:v>18755</c:v>
                </c:pt>
                <c:pt idx="6">
                  <c:v>19690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9-1244-B223-F0E1782DAD87}"/>
            </c:ext>
          </c:extLst>
        </c:ser>
        <c:ser>
          <c:idx val="1"/>
          <c:order val="1"/>
          <c:tx>
            <c:strRef>
              <c:f>calcs!$A$10</c:f>
              <c:strCache>
                <c:ptCount val="1"/>
                <c:pt idx="0">
                  <c:v>Fine Gael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calcs!$B$19:$H$19</c:f>
              <c:numCache>
                <c:formatCode>#,##0</c:formatCode>
                <c:ptCount val="7"/>
                <c:pt idx="0">
                  <c:v>13995</c:v>
                </c:pt>
                <c:pt idx="1">
                  <c:v>14925</c:v>
                </c:pt>
                <c:pt idx="2">
                  <c:v>16200</c:v>
                </c:pt>
                <c:pt idx="3">
                  <c:v>17010</c:v>
                </c:pt>
                <c:pt idx="4">
                  <c:v>17860</c:v>
                </c:pt>
                <c:pt idx="5">
                  <c:v>18755</c:v>
                </c:pt>
                <c:pt idx="6">
                  <c:v>19725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9-1244-B223-F0E1782DAD87}"/>
            </c:ext>
          </c:extLst>
        </c:ser>
        <c:ser>
          <c:idx val="2"/>
          <c:order val="2"/>
          <c:tx>
            <c:strRef>
              <c:f>calcs!$A$11</c:f>
              <c:strCache>
                <c:ptCount val="1"/>
                <c:pt idx="0">
                  <c:v>Fianna Fáil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calcs!$B$20:$H$20</c:f>
              <c:numCache>
                <c:formatCode>#,##0</c:formatCode>
                <c:ptCount val="7"/>
                <c:pt idx="0">
                  <c:v>13995</c:v>
                </c:pt>
                <c:pt idx="1">
                  <c:v>14925</c:v>
                </c:pt>
                <c:pt idx="2">
                  <c:v>16200</c:v>
                </c:pt>
                <c:pt idx="3">
                  <c:v>17270</c:v>
                </c:pt>
                <c:pt idx="4">
                  <c:v>18310</c:v>
                </c:pt>
                <c:pt idx="5">
                  <c:v>19400</c:v>
                </c:pt>
                <c:pt idx="6">
                  <c:v>20470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9-1244-B223-F0E1782DAD87}"/>
            </c:ext>
          </c:extLst>
        </c:ser>
        <c:ser>
          <c:idx val="3"/>
          <c:order val="3"/>
          <c:tx>
            <c:strRef>
              <c:f>calcs!$A$12</c:f>
              <c:strCache>
                <c:ptCount val="1"/>
                <c:pt idx="0">
                  <c:v>Sinn Féin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calcs!$B$2:$H$2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xVal>
          <c:yVal>
            <c:numRef>
              <c:f>calcs!$B$21:$H$21</c:f>
              <c:numCache>
                <c:formatCode>#,##0</c:formatCode>
                <c:ptCount val="7"/>
                <c:pt idx="1">
                  <c:v>16825</c:v>
                </c:pt>
                <c:pt idx="2">
                  <c:v>20125</c:v>
                </c:pt>
                <c:pt idx="3">
                  <c:v>22725</c:v>
                </c:pt>
                <c:pt idx="4">
                  <c:v>25625</c:v>
                </c:pt>
                <c:pt idx="5">
                  <c:v>27825</c:v>
                </c:pt>
                <c:pt idx="6">
                  <c:v>29725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9-1244-B223-F0E1782D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70624"/>
        <c:axId val="105959088"/>
      </c:scatterChart>
      <c:valAx>
        <c:axId val="535670624"/>
        <c:scaling>
          <c:orientation val="minMax"/>
          <c:max val="2030"/>
          <c:min val="20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9088"/>
        <c:crosses val="autoZero"/>
        <c:crossBetween val="midCat"/>
      </c:valAx>
      <c:valAx>
        <c:axId val="1059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€</a:t>
                </a:r>
                <a:r>
                  <a:rPr lang="en-GB" baseline="0"/>
                  <a:t> million per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capital spending plans, 2025-2030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calcs!$I$36</c:f>
              <c:strCache>
                <c:ptCount val="1"/>
                <c:pt idx="0">
                  <c:v>Gross voted capital spending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calcs!$A$37:$A$40</c:f>
              <c:strCache>
                <c:ptCount val="4"/>
                <c:pt idx="0">
                  <c:v>Budget 2025 EFO (T11)</c:v>
                </c:pt>
                <c:pt idx="1">
                  <c:v>Fine Gael</c:v>
                </c:pt>
                <c:pt idx="2">
                  <c:v>Fianna Fáil</c:v>
                </c:pt>
                <c:pt idx="3">
                  <c:v>Sinn Féin</c:v>
                </c:pt>
              </c:strCache>
            </c:strRef>
          </c:cat>
          <c:val>
            <c:numRef>
              <c:f>calcs!$I$37:$I$40</c:f>
              <c:numCache>
                <c:formatCode>#,##0</c:formatCode>
                <c:ptCount val="4"/>
                <c:pt idx="0">
                  <c:v>104440</c:v>
                </c:pt>
                <c:pt idx="1">
                  <c:v>104475</c:v>
                </c:pt>
                <c:pt idx="2">
                  <c:v>106575</c:v>
                </c:pt>
                <c:pt idx="3">
                  <c:v>142850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8-D945-98F1-D9327AB6356C}"/>
            </c:ext>
          </c:extLst>
        </c:ser>
        <c:ser>
          <c:idx val="1"/>
          <c:order val="1"/>
          <c:tx>
            <c:strRef>
              <c:f>calcs!$J$36</c:f>
              <c:strCache>
                <c:ptCount val="1"/>
                <c:pt idx="0">
                  <c:v>Apple escrow/AIB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calcs!$A$37:$A$40</c:f>
              <c:strCache>
                <c:ptCount val="4"/>
                <c:pt idx="0">
                  <c:v>Budget 2025 EFO (T11)</c:v>
                </c:pt>
                <c:pt idx="1">
                  <c:v>Fine Gael</c:v>
                </c:pt>
                <c:pt idx="2">
                  <c:v>Fianna Fáil</c:v>
                </c:pt>
                <c:pt idx="3">
                  <c:v>Sinn Féin</c:v>
                </c:pt>
              </c:strCache>
            </c:strRef>
          </c:cat>
          <c:val>
            <c:numRef>
              <c:f>calcs!$J$37:$J$40</c:f>
              <c:numCache>
                <c:formatCode>#,##0</c:formatCode>
                <c:ptCount val="4"/>
                <c:pt idx="1">
                  <c:v>14100</c:v>
                </c:pt>
                <c:pt idx="2">
                  <c:v>17100</c:v>
                </c:pt>
                <c:pt idx="3">
                  <c:v>17100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8-D945-98F1-D9327AB6356C}"/>
            </c:ext>
          </c:extLst>
        </c:ser>
        <c:ser>
          <c:idx val="2"/>
          <c:order val="2"/>
          <c:tx>
            <c:strRef>
              <c:f>calcs!$K$36</c:f>
              <c:strCache>
                <c:ptCount val="1"/>
                <c:pt idx="0">
                  <c:v>Other GG capital spending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calcs!$A$37:$A$40</c:f>
              <c:strCache>
                <c:ptCount val="4"/>
                <c:pt idx="0">
                  <c:v>Budget 2025 EFO (T11)</c:v>
                </c:pt>
                <c:pt idx="1">
                  <c:v>Fine Gael</c:v>
                </c:pt>
                <c:pt idx="2">
                  <c:v>Fianna Fáil</c:v>
                </c:pt>
                <c:pt idx="3">
                  <c:v>Sinn Féin</c:v>
                </c:pt>
              </c:strCache>
            </c:strRef>
          </c:cat>
          <c:val>
            <c:numRef>
              <c:f>calcs!$K$37:$K$40</c:f>
              <c:numCache>
                <c:formatCode>General</c:formatCode>
                <c:ptCount val="4"/>
                <c:pt idx="3" formatCode="#,##0.0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8-D945-98F1-D9327AB6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2382096"/>
        <c:axId val="2055259264"/>
      </c:barChart>
      <c:catAx>
        <c:axId val="10323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59264"/>
        <c:crosses val="autoZero"/>
        <c:auto val="1"/>
        <c:lblAlgn val="ctr"/>
        <c:lblOffset val="100"/>
        <c:noMultiLvlLbl val="0"/>
      </c:catAx>
      <c:valAx>
        <c:axId val="20552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gross voted current expenditure,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calcs!$A$9:$A$12</c:f>
              <c:strCache>
                <c:ptCount val="4"/>
                <c:pt idx="0">
                  <c:v>Budget 2025 EFO (T11)</c:v>
                </c:pt>
                <c:pt idx="1">
                  <c:v>Fine Gael</c:v>
                </c:pt>
                <c:pt idx="2">
                  <c:v>Fianna Fáil</c:v>
                </c:pt>
                <c:pt idx="3">
                  <c:v>Sinn Féin</c:v>
                </c:pt>
              </c:strCache>
            </c:strRef>
          </c:cat>
          <c:val>
            <c:numRef>
              <c:f>calcs!$H$9:$H$12</c:f>
              <c:numCache>
                <c:formatCode>#,##0</c:formatCode>
                <c:ptCount val="4"/>
                <c:pt idx="0">
                  <c:v>116930</c:v>
                </c:pt>
                <c:pt idx="1">
                  <c:v>122715.28808904189</c:v>
                </c:pt>
                <c:pt idx="2">
                  <c:v>121560</c:v>
                </c:pt>
                <c:pt idx="3">
                  <c:v>124820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2-9E4D-A1D0-42D66B4D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2438368"/>
        <c:axId val="1032442064"/>
      </c:barChart>
      <c:catAx>
        <c:axId val="10324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42064"/>
        <c:crosses val="autoZero"/>
        <c:auto val="1"/>
        <c:lblAlgn val="ctr"/>
        <c:lblOffset val="100"/>
        <c:noMultiLvlLbl val="0"/>
      </c:catAx>
      <c:valAx>
        <c:axId val="10324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Gross voted expenditure committments vs ceiling,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calcs!$B$47</c:f>
              <c:strCache>
                <c:ptCount val="1"/>
                <c:pt idx="0">
                  <c:v>Manifesto commitments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calcs!$A$48:$A$50</c:f>
              <c:strCache>
                <c:ptCount val="3"/>
                <c:pt idx="0">
                  <c:v>FG</c:v>
                </c:pt>
                <c:pt idx="1">
                  <c:v>FF</c:v>
                </c:pt>
                <c:pt idx="2">
                  <c:v>SF</c:v>
                </c:pt>
              </c:strCache>
            </c:strRef>
          </c:cat>
          <c:val>
            <c:numRef>
              <c:f>calcs!$B$48:$B$50</c:f>
              <c:numCache>
                <c:formatCode>#,##0</c:formatCode>
                <c:ptCount val="3"/>
                <c:pt idx="0">
                  <c:v>29594</c:v>
                </c:pt>
                <c:pt idx="1">
                  <c:v>39106</c:v>
                </c:pt>
                <c:pt idx="2">
                  <c:v>49100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9-3049-95E0-B2D6EC25BAC5}"/>
            </c:ext>
          </c:extLst>
        </c:ser>
        <c:ser>
          <c:idx val="1"/>
          <c:order val="1"/>
          <c:tx>
            <c:strRef>
              <c:f>calcs!$C$47</c:f>
              <c:strCache>
                <c:ptCount val="1"/>
                <c:pt idx="0">
                  <c:v>Unspecified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calcs!$A$48:$A$50</c:f>
              <c:strCache>
                <c:ptCount val="3"/>
                <c:pt idx="0">
                  <c:v>FG</c:v>
                </c:pt>
                <c:pt idx="1">
                  <c:v>FF</c:v>
                </c:pt>
                <c:pt idx="2">
                  <c:v>SF</c:v>
                </c:pt>
              </c:strCache>
            </c:strRef>
          </c:cat>
          <c:val>
            <c:numRef>
              <c:f>calcs!$C$48:$C$50</c:f>
              <c:numCache>
                <c:formatCode>General</c:formatCode>
                <c:ptCount val="3"/>
                <c:pt idx="0" formatCode="#,##0">
                  <c:v>7401.2880890418892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9-3049-95E0-B2D6EC25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223312"/>
        <c:axId val="1460568320"/>
      </c:barChart>
      <c:scatterChart>
        <c:scatterStyle val="lineMarker"/>
        <c:varyColors val="0"/>
        <c:ser>
          <c:idx val="2"/>
          <c:order val="2"/>
          <c:tx>
            <c:strRef>
              <c:f>calcs!$D$47</c:f>
              <c:strCache>
                <c:ptCount val="1"/>
                <c:pt idx="0">
                  <c:v>Expenditure Ceiling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3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calcs!$A$48:$A$50</c:f>
              <c:strCache>
                <c:ptCount val="3"/>
                <c:pt idx="0">
                  <c:v>FG</c:v>
                </c:pt>
                <c:pt idx="1">
                  <c:v>FF</c:v>
                </c:pt>
                <c:pt idx="2">
                  <c:v>SF</c:v>
                </c:pt>
              </c:strCache>
            </c:strRef>
          </c:xVal>
          <c:yVal>
            <c:numRef>
              <c:f>calcs!$D$48:$D$50</c:f>
              <c:numCache>
                <c:formatCode>#,##0</c:formatCode>
                <c:ptCount val="3"/>
                <c:pt idx="0">
                  <c:v>36995.288089041889</c:v>
                </c:pt>
                <c:pt idx="1">
                  <c:v>36593.013804951188</c:v>
                </c:pt>
                <c:pt idx="2">
                  <c:v>49100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9-3049-95E0-B2D6EC25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23312"/>
        <c:axId val="1460568320"/>
      </c:scatterChart>
      <c:catAx>
        <c:axId val="14592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68320"/>
        <c:crosses val="autoZero"/>
        <c:auto val="1"/>
        <c:lblAlgn val="ctr"/>
        <c:lblOffset val="100"/>
        <c:noMultiLvlLbl val="0"/>
      </c:catAx>
      <c:valAx>
        <c:axId val="14605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C5166F-4070-1340-8D6D-EC8B61C1282E}">
  <sheetPr/>
  <sheetViews>
    <sheetView zoomScale="1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297E8A-0133-1F4F-B333-06C4208DE48C}">
  <sheetPr/>
  <sheetViews>
    <sheetView zoomScale="1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7E3E17-3AB1-254A-834A-2493C85409FA}">
  <sheetPr/>
  <sheetViews>
    <sheetView zoomScale="1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5EFA33-B9D5-DC47-8EA9-7F18D67C178A}">
  <sheetPr/>
  <sheetViews>
    <sheetView zoomScale="13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8AF523-8415-6943-A015-E4BE575197D5}">
  <sheetPr/>
  <sheetViews>
    <sheetView zoomScale="12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8E8959-A006-1349-8541-0D65ED4E32B8}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2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04D4A-B6C2-3E67-1699-37796A4587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2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4A85D-632B-80FA-DA39-95EEF91D79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2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7AD31-F01A-29C1-5AF7-66D90CF652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A5221-39D1-B252-CB26-09CFFA580A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C7AD9-437F-88B3-A057-E9BE96102F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B66C4-6E96-9FD7-B88C-35FE37EE7A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rra Roantree" id="{63316975-19E8-EA49-8C55-71724EA81866}" userId="S::BROANTRE@tcd.ie::88d8f038-22a0-4faa-9818-34feac421c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11-20T12:35:39.04" personId="{63316975-19E8-EA49-8C55-71724EA81866}" id="{382C25C4-E10E-B04A-9C89-310A5D95E276}">
    <text>Government Expenditure Ceiling line in Table 11 of EFO</text>
  </threadedComment>
  <threadedComment ref="H10" dT="2024-11-19T12:26:21.42" personId="{63316975-19E8-EA49-8C55-71724EA81866}" id="{7A10D833-0D86-6149-80C5-CDB12790C804}">
    <text>Adding the FG current numbers from p.116 of manifesto and implied path from capital spending matching EFO</text>
  </threadedComment>
  <threadedComment ref="K10" dT="2024-11-19T12:14:36.60" personId="{63316975-19E8-EA49-8C55-71724EA81866}" id="{219E5DE1-8C47-D447-8BB0-554D43445F4D}">
    <text>Why does this sum to 26.4bn rather than 37bn FG say they will increase exchequer expenditure ceiling by? (Cell J4)</text>
  </threadedComment>
  <threadedComment ref="H11" dT="2024-11-19T12:23:50.14" personId="{63316975-19E8-EA49-8C55-71724EA81866}" id="{9F1674C8-07EA-6941-96CF-9C4A7B0CF1C0}">
    <text xml:space="preserve">Adding the FF numbers from pp.190 of manifesto
</text>
  </threadedComment>
  <threadedComment ref="K11" dT="2024-11-20T03:05:15.52" personId="{63316975-19E8-EA49-8C55-71724EA81866}" id="{E8A0D228-4EB4-E645-AC1E-4E72D768FC1E}">
    <text>This is almost as much as they say will increase voted expenditure altogether</text>
  </threadedComment>
  <threadedComment ref="H19" dT="2024-11-19T12:26:52.43" personId="{63316975-19E8-EA49-8C55-71724EA81866}" id="{F2CC41F8-8A0E-2040-B80A-5873C05C4E84}">
    <text>Adding the FG current numbers from p.116 of manifesto and implied path from capital spending matching EFO</text>
  </threadedComment>
  <threadedComment ref="A40" dT="2024-11-20T04:23:44.50" personId="{63316975-19E8-EA49-8C55-71724EA81866}" id="{8D80D106-20EB-A04F-BD15-156E589DA0DE}">
    <text xml:space="preserve">Set out in manifesto </text>
  </threadedComment>
  <threadedComment ref="A43" dT="2024-11-20T03:16:45.19" personId="{63316975-19E8-EA49-8C55-71724EA81866}" id="{EF9D8B33-4D5F-E240-8C1E-C38147AECC8B}">
    <text>FG have specified fewer spending increases than their mapped increase in expenditure. Is different provision for pay deal?</text>
  </threadedComment>
  <threadedComment ref="A44" dT="2024-11-20T03:17:46.78" personId="{63316975-19E8-EA49-8C55-71724EA81866}" id="{913E499C-5221-2948-ABE5-C598C70BDD2B}">
    <text>FF’s overall spending increase is less than the sum of their current and capital</text>
  </threadedComment>
  <threadedComment ref="A45" dT="2024-11-20T03:20:37.66" personId="{63316975-19E8-EA49-8C55-71724EA81866}" id="{675EB98A-5578-D245-9171-02F86C22CA86}">
    <text>SFs figures balance, but huge increase in capital spending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0190-5886-2E47-B5DD-2DE91C067FFB}">
  <dimension ref="A1:O50"/>
  <sheetViews>
    <sheetView tabSelected="1" topLeftCell="A10" zoomScale="125" workbookViewId="0">
      <selection activeCell="J37" sqref="J37"/>
    </sheetView>
  </sheetViews>
  <sheetFormatPr baseColWidth="10" defaultColWidth="10.83203125" defaultRowHeight="16" x14ac:dyDescent="0.2"/>
  <cols>
    <col min="1" max="1" width="33.5" customWidth="1"/>
    <col min="2" max="3" width="10.6640625" customWidth="1"/>
    <col min="11" max="12" width="11.83203125" customWidth="1"/>
  </cols>
  <sheetData>
    <row r="1" spans="1:14" x14ac:dyDescent="0.2">
      <c r="A1" s="2" t="s">
        <v>29</v>
      </c>
      <c r="D1" s="3"/>
      <c r="E1" s="3"/>
      <c r="F1" s="3"/>
      <c r="G1" s="3"/>
      <c r="H1" s="3"/>
      <c r="I1" s="1"/>
    </row>
    <row r="2" spans="1:14" x14ac:dyDescent="0.2">
      <c r="A2" s="2"/>
      <c r="B2" s="2">
        <v>2024</v>
      </c>
      <c r="C2" s="2">
        <v>2025</v>
      </c>
      <c r="D2" s="2">
        <v>2026</v>
      </c>
      <c r="E2" s="2">
        <v>2027</v>
      </c>
      <c r="F2" s="2">
        <v>2028</v>
      </c>
      <c r="G2" s="2">
        <v>2029</v>
      </c>
      <c r="H2" s="2">
        <v>2030</v>
      </c>
      <c r="I2" s="2"/>
      <c r="K2" s="2" t="s">
        <v>4</v>
      </c>
      <c r="L2" s="2" t="s">
        <v>6</v>
      </c>
    </row>
    <row r="3" spans="1:14" x14ac:dyDescent="0.2">
      <c r="A3" t="s">
        <v>3</v>
      </c>
      <c r="B3" s="1">
        <v>102410</v>
      </c>
      <c r="C3" s="1">
        <v>105445</v>
      </c>
      <c r="D3" s="1">
        <v>112400</v>
      </c>
      <c r="E3" s="1">
        <v>118020</v>
      </c>
      <c r="F3" s="1">
        <v>123920</v>
      </c>
      <c r="G3" s="1">
        <v>130120</v>
      </c>
      <c r="H3" s="1">
        <v>136620</v>
      </c>
      <c r="I3" s="1"/>
      <c r="K3" s="1">
        <f>H3-C3</f>
        <v>31175</v>
      </c>
      <c r="L3" s="3">
        <f>K3/C3</f>
        <v>0.29565176158186735</v>
      </c>
    </row>
    <row r="4" spans="1:14" x14ac:dyDescent="0.2">
      <c r="A4" t="s">
        <v>0</v>
      </c>
      <c r="B4" s="1">
        <f>B3</f>
        <v>102410</v>
      </c>
      <c r="C4" s="1">
        <f>C3</f>
        <v>105445</v>
      </c>
      <c r="D4" s="1">
        <f>C4*1.07</f>
        <v>112826.15000000001</v>
      </c>
      <c r="E4" s="1">
        <f>D4*1.059</f>
        <v>119482.89285</v>
      </c>
      <c r="F4" s="1">
        <f>E4*1.06</f>
        <v>126651.86642100001</v>
      </c>
      <c r="G4" s="1">
        <f>F4*1.06</f>
        <v>134250.97840626002</v>
      </c>
      <c r="H4" s="1">
        <f>G4*1.061</f>
        <v>142440.28808904189</v>
      </c>
      <c r="I4" s="1"/>
      <c r="J4" s="1">
        <f>K4-K3</f>
        <v>5820.2880890418892</v>
      </c>
      <c r="K4" s="1">
        <f>H4-C3</f>
        <v>36995.288089041889</v>
      </c>
      <c r="L4" s="3">
        <f t="shared" ref="L4:L5" si="0">K4/C4</f>
        <v>0.35084914494800029</v>
      </c>
    </row>
    <row r="5" spans="1:14" x14ac:dyDescent="0.2">
      <c r="A5" t="s">
        <v>1</v>
      </c>
      <c r="B5" s="1">
        <f>B3</f>
        <v>102410</v>
      </c>
      <c r="C5" s="1">
        <f>C3</f>
        <v>105445</v>
      </c>
      <c r="D5" s="1">
        <f>C5*1.066</f>
        <v>112404.37000000001</v>
      </c>
      <c r="E5" s="1">
        <f>D5*1.066</f>
        <v>119823.05842000002</v>
      </c>
      <c r="F5" s="1">
        <f>E5*1.06</f>
        <v>127012.44192520002</v>
      </c>
      <c r="G5" s="1">
        <f>F5*1.06</f>
        <v>134633.18844071202</v>
      </c>
      <c r="H5" s="1">
        <f>G5*1.055</f>
        <v>142038.01380495119</v>
      </c>
      <c r="I5" s="1"/>
      <c r="K5" s="1">
        <f>H5-C3</f>
        <v>36593.013804951188</v>
      </c>
      <c r="L5" s="3">
        <f t="shared" si="0"/>
        <v>0.34703412968800029</v>
      </c>
    </row>
    <row r="6" spans="1:14" x14ac:dyDescent="0.2">
      <c r="A6" t="s">
        <v>2</v>
      </c>
      <c r="B6" s="1">
        <f>B4</f>
        <v>102410</v>
      </c>
      <c r="C6" s="1">
        <f>C3+500+2700-800</f>
        <v>107845</v>
      </c>
      <c r="D6" s="1">
        <f>C6+4500+3800+5400-2100</f>
        <v>119445</v>
      </c>
      <c r="E6" s="1">
        <f>D6+3300+2500+5000-2400</f>
        <v>127845</v>
      </c>
      <c r="F6" s="1">
        <f>E6+3900+2500+6100-3200</f>
        <v>137145</v>
      </c>
      <c r="G6" s="1">
        <f>F6+4100+2600+6100-3900</f>
        <v>146045</v>
      </c>
      <c r="H6" s="1">
        <f>G6+4200+2400+6600-4700</f>
        <v>154545</v>
      </c>
      <c r="I6" s="1"/>
      <c r="J6" s="1">
        <f>C6*1.075^5</f>
        <v>154825.44468100584</v>
      </c>
      <c r="K6" s="1">
        <f>H6-C3</f>
        <v>49100</v>
      </c>
      <c r="L6" s="3">
        <f t="shared" ref="L6" si="1">K6/C6</f>
        <v>0.45528304511103901</v>
      </c>
    </row>
    <row r="7" spans="1:14" x14ac:dyDescent="0.2">
      <c r="B7" s="1"/>
      <c r="C7" s="3">
        <f>C6/B6-1</f>
        <v>5.3070989161214666E-2</v>
      </c>
      <c r="D7" s="3">
        <f t="shared" ref="D7:H7" si="2">D6/C6-1</f>
        <v>0.10756177847837178</v>
      </c>
      <c r="E7" s="3">
        <f t="shared" si="2"/>
        <v>7.0325254301142781E-2</v>
      </c>
      <c r="F7" s="3">
        <f t="shared" si="2"/>
        <v>7.2744338847823498E-2</v>
      </c>
      <c r="G7" s="3">
        <f t="shared" si="2"/>
        <v>6.4894819351780875E-2</v>
      </c>
      <c r="H7" s="3">
        <f t="shared" si="2"/>
        <v>5.8201239344037869E-2</v>
      </c>
      <c r="I7" s="1"/>
      <c r="K7" s="1"/>
      <c r="L7" s="3"/>
    </row>
    <row r="8" spans="1:14" x14ac:dyDescent="0.2">
      <c r="A8" s="2" t="s">
        <v>5</v>
      </c>
      <c r="B8" s="1"/>
      <c r="C8" s="3"/>
      <c r="D8" s="3"/>
      <c r="E8" s="3"/>
      <c r="F8" s="3"/>
      <c r="G8" s="3"/>
      <c r="H8" s="3"/>
      <c r="I8" s="1"/>
      <c r="K8" s="1"/>
      <c r="M8" s="2" t="s">
        <v>13</v>
      </c>
    </row>
    <row r="9" spans="1:14" x14ac:dyDescent="0.2">
      <c r="A9" t="s">
        <v>3</v>
      </c>
      <c r="B9" s="1">
        <v>88415</v>
      </c>
      <c r="C9" s="1">
        <v>90520</v>
      </c>
      <c r="D9" s="1">
        <v>96200</v>
      </c>
      <c r="E9" s="1">
        <v>101010</v>
      </c>
      <c r="F9" s="1">
        <v>106060</v>
      </c>
      <c r="G9" s="1">
        <v>111365</v>
      </c>
      <c r="H9" s="1">
        <v>116930</v>
      </c>
      <c r="K9" s="1">
        <f>H9-C9</f>
        <v>26410</v>
      </c>
      <c r="L9" s="3">
        <f>K9/C9</f>
        <v>0.29175872735307112</v>
      </c>
      <c r="M9" s="1">
        <f>H3-H18</f>
        <v>116930</v>
      </c>
    </row>
    <row r="10" spans="1:14" x14ac:dyDescent="0.2">
      <c r="A10" t="s">
        <v>0</v>
      </c>
      <c r="B10" s="1">
        <f>B9</f>
        <v>88415</v>
      </c>
      <c r="C10" s="1">
        <f>C9</f>
        <v>90520</v>
      </c>
      <c r="D10" s="7">
        <f t="shared" ref="D10:F10" si="3">D4-D19</f>
        <v>96626.150000000009</v>
      </c>
      <c r="E10" s="7">
        <f t="shared" si="3"/>
        <v>102472.89285</v>
      </c>
      <c r="F10" s="7">
        <f t="shared" si="3"/>
        <v>108791.86642100001</v>
      </c>
      <c r="G10" s="7">
        <f>G4-G19</f>
        <v>115495.97840626002</v>
      </c>
      <c r="H10" s="7">
        <f>H4-H19</f>
        <v>122715.28808904189</v>
      </c>
      <c r="I10" s="1"/>
      <c r="J10" s="6">
        <f>H10/H9-1</f>
        <v>4.9476508073564407E-2</v>
      </c>
      <c r="K10" s="1">
        <f>H10-C10</f>
        <v>32195.288089041889</v>
      </c>
      <c r="L10" s="3">
        <f t="shared" ref="L10:L12" si="4">K10/C10</f>
        <v>0.35567043845605267</v>
      </c>
      <c r="M10" s="1">
        <f>H4-H19</f>
        <v>122715.28808904189</v>
      </c>
      <c r="N10" s="1"/>
    </row>
    <row r="11" spans="1:14" x14ac:dyDescent="0.2">
      <c r="A11" t="s">
        <v>1</v>
      </c>
      <c r="B11" s="1">
        <f>B9</f>
        <v>88415</v>
      </c>
      <c r="C11" s="1">
        <f>C10</f>
        <v>90520</v>
      </c>
      <c r="D11" s="1">
        <v>96200</v>
      </c>
      <c r="E11" s="1">
        <v>102550</v>
      </c>
      <c r="F11" s="1">
        <v>108700</v>
      </c>
      <c r="G11" s="1">
        <v>115220</v>
      </c>
      <c r="H11" s="1">
        <v>121560</v>
      </c>
      <c r="I11" s="1"/>
      <c r="J11" s="6">
        <f>H11/H10-1</f>
        <v>-9.4143778418513957E-3</v>
      </c>
      <c r="K11" s="1">
        <f>H11-C9</f>
        <v>31040</v>
      </c>
      <c r="L11" s="3">
        <f t="shared" si="4"/>
        <v>0.34290764471939905</v>
      </c>
      <c r="M11" s="1">
        <f>H5-H20</f>
        <v>121568.01380495119</v>
      </c>
    </row>
    <row r="12" spans="1:14" x14ac:dyDescent="0.2">
      <c r="A12" t="s">
        <v>2</v>
      </c>
      <c r="B12" s="1">
        <f>B10</f>
        <v>88415</v>
      </c>
      <c r="C12" s="1">
        <f>C9+500</f>
        <v>91020</v>
      </c>
      <c r="D12" s="1">
        <f>C12+4500+3800</f>
        <v>99320</v>
      </c>
      <c r="E12" s="1">
        <f>D12+3300+2500</f>
        <v>105120</v>
      </c>
      <c r="F12" s="1">
        <f>E12+3900+2500</f>
        <v>111520</v>
      </c>
      <c r="G12" s="1">
        <f>F12+4100+2600</f>
        <v>118220</v>
      </c>
      <c r="H12" s="1">
        <f>G12+4200+2400</f>
        <v>124820</v>
      </c>
      <c r="I12" s="1"/>
      <c r="J12" s="6">
        <f>H12/H11-1</f>
        <v>2.681803224744983E-2</v>
      </c>
      <c r="K12" s="1">
        <f>H12-C9</f>
        <v>34300</v>
      </c>
      <c r="L12" s="3">
        <f t="shared" si="4"/>
        <v>0.37684025488903539</v>
      </c>
      <c r="M12" s="1">
        <f>H6-H21</f>
        <v>124820</v>
      </c>
    </row>
    <row r="13" spans="1:14" x14ac:dyDescent="0.2">
      <c r="B13" s="8"/>
      <c r="C13" s="1"/>
      <c r="D13" s="1"/>
      <c r="E13" s="1"/>
      <c r="F13" s="1"/>
      <c r="G13" s="1"/>
      <c r="H13" s="1"/>
      <c r="I13" s="1"/>
      <c r="J13" s="6"/>
      <c r="K13" s="1"/>
      <c r="L13" s="3"/>
      <c r="M13" s="1"/>
    </row>
    <row r="14" spans="1:14" x14ac:dyDescent="0.2">
      <c r="A14" t="s">
        <v>24</v>
      </c>
      <c r="B14" s="1">
        <v>6900</v>
      </c>
      <c r="C14" s="1">
        <v>7245</v>
      </c>
      <c r="D14" s="1">
        <v>7900</v>
      </c>
      <c r="E14" s="1">
        <v>8625</v>
      </c>
      <c r="F14" s="1">
        <v>9325</v>
      </c>
      <c r="G14" s="1">
        <v>10105</v>
      </c>
      <c r="H14" s="1">
        <v>10880</v>
      </c>
      <c r="I14" s="1"/>
      <c r="J14" s="6"/>
      <c r="K14" s="1">
        <f>AVERAGE(K10:K12)*C32-AVERAGE(K10:K12)</f>
        <v>-26111.682668263697</v>
      </c>
      <c r="L14" s="3"/>
      <c r="M14" s="1"/>
    </row>
    <row r="15" spans="1:14" x14ac:dyDescent="0.2">
      <c r="A15" t="s">
        <v>28</v>
      </c>
      <c r="B15" s="1">
        <f>B9+B14</f>
        <v>95315</v>
      </c>
      <c r="C15" s="1">
        <f t="shared" ref="C15:H15" si="5">C9+C14</f>
        <v>97765</v>
      </c>
      <c r="D15" s="1">
        <f t="shared" si="5"/>
        <v>104100</v>
      </c>
      <c r="E15" s="1">
        <f t="shared" si="5"/>
        <v>109635</v>
      </c>
      <c r="F15" s="1">
        <f t="shared" si="5"/>
        <v>115385</v>
      </c>
      <c r="G15" s="1">
        <f t="shared" si="5"/>
        <v>121470</v>
      </c>
      <c r="H15" s="1">
        <f t="shared" si="5"/>
        <v>127810</v>
      </c>
      <c r="I15" s="1"/>
      <c r="J15" s="6"/>
      <c r="K15" s="1"/>
      <c r="L15" s="3"/>
      <c r="M15" s="1"/>
    </row>
    <row r="16" spans="1:14" x14ac:dyDescent="0.2">
      <c r="B16" s="4"/>
      <c r="C16" s="1"/>
      <c r="D16" s="1"/>
      <c r="E16" s="1"/>
      <c r="F16" s="1"/>
      <c r="G16" s="1"/>
      <c r="H16" s="1"/>
      <c r="I16" s="1"/>
    </row>
    <row r="17" spans="1:15" x14ac:dyDescent="0.2">
      <c r="A17" s="2" t="s">
        <v>35</v>
      </c>
      <c r="B17" s="1"/>
      <c r="C17" s="1"/>
      <c r="D17" s="1"/>
      <c r="E17" s="1"/>
      <c r="F17" s="1"/>
      <c r="G17" s="1"/>
      <c r="H17" s="1"/>
      <c r="I17" s="1"/>
    </row>
    <row r="18" spans="1:15" x14ac:dyDescent="0.2">
      <c r="A18" t="s">
        <v>3</v>
      </c>
      <c r="B18" s="1">
        <v>13995</v>
      </c>
      <c r="C18" s="1">
        <v>14925</v>
      </c>
      <c r="D18" s="1">
        <v>16200</v>
      </c>
      <c r="E18" s="1">
        <v>17010</v>
      </c>
      <c r="F18" s="1">
        <v>17860</v>
      </c>
      <c r="G18" s="1">
        <v>18755</v>
      </c>
      <c r="H18" s="1">
        <v>19690</v>
      </c>
      <c r="I18" s="1"/>
      <c r="K18" s="1">
        <f>H18-C18</f>
        <v>4765</v>
      </c>
      <c r="L18" s="3">
        <f>K18/C18</f>
        <v>0.31926298157453936</v>
      </c>
    </row>
    <row r="19" spans="1:15" x14ac:dyDescent="0.2">
      <c r="A19" t="s">
        <v>0</v>
      </c>
      <c r="B19" s="1">
        <f t="shared" ref="B19:G19" si="6">B18</f>
        <v>13995</v>
      </c>
      <c r="C19" s="1">
        <f t="shared" si="6"/>
        <v>14925</v>
      </c>
      <c r="D19" s="7">
        <f t="shared" si="6"/>
        <v>16200</v>
      </c>
      <c r="E19" s="7">
        <f t="shared" si="6"/>
        <v>17010</v>
      </c>
      <c r="F19" s="7">
        <f t="shared" si="6"/>
        <v>17860</v>
      </c>
      <c r="G19" s="7">
        <f t="shared" si="6"/>
        <v>18755</v>
      </c>
      <c r="H19" s="1">
        <f>C19+4800</f>
        <v>19725</v>
      </c>
      <c r="I19" s="1"/>
      <c r="K19" s="1">
        <f>H19-C18</f>
        <v>4800</v>
      </c>
      <c r="L19" s="3">
        <f t="shared" ref="L19:L21" si="7">K19/C19</f>
        <v>0.32160804020100503</v>
      </c>
    </row>
    <row r="20" spans="1:15" x14ac:dyDescent="0.2">
      <c r="A20" t="s">
        <v>1</v>
      </c>
      <c r="B20" s="1">
        <f>B18</f>
        <v>13995</v>
      </c>
      <c r="C20" s="1">
        <f>C19</f>
        <v>14925</v>
      </c>
      <c r="D20" s="1">
        <v>16200</v>
      </c>
      <c r="E20" s="1">
        <v>17270</v>
      </c>
      <c r="F20" s="1">
        <v>18310</v>
      </c>
      <c r="G20" s="1">
        <v>19400</v>
      </c>
      <c r="H20" s="1">
        <v>20470</v>
      </c>
      <c r="I20" s="1"/>
      <c r="K20" s="1">
        <f>H20-C18</f>
        <v>5545</v>
      </c>
      <c r="L20" s="3">
        <f t="shared" si="7"/>
        <v>0.37152428810720267</v>
      </c>
    </row>
    <row r="21" spans="1:15" x14ac:dyDescent="0.2">
      <c r="A21" t="s">
        <v>2</v>
      </c>
      <c r="B21" s="1"/>
      <c r="C21" s="1">
        <f>C18+2700-800</f>
        <v>16825</v>
      </c>
      <c r="D21" s="1">
        <f>C21+5400-2100</f>
        <v>20125</v>
      </c>
      <c r="E21" s="1">
        <f>D21+5000-2400</f>
        <v>22725</v>
      </c>
      <c r="F21" s="1">
        <f>E21+6100-3200</f>
        <v>25625</v>
      </c>
      <c r="G21" s="1">
        <f>F21+6100-3900</f>
        <v>27825</v>
      </c>
      <c r="H21" s="1">
        <f>G21+6600-4700</f>
        <v>29725</v>
      </c>
      <c r="I21" s="1"/>
      <c r="K21" s="1">
        <f>H21-C18</f>
        <v>14800</v>
      </c>
      <c r="L21" s="3">
        <f t="shared" si="7"/>
        <v>0.87964338781575035</v>
      </c>
    </row>
    <row r="22" spans="1:15" x14ac:dyDescent="0.2">
      <c r="B22" s="1"/>
      <c r="C22" s="8"/>
      <c r="D22" s="1"/>
      <c r="E22" s="1"/>
      <c r="F22" s="1"/>
      <c r="G22" s="1"/>
      <c r="H22" s="1"/>
      <c r="I22" s="1"/>
      <c r="K22" s="1"/>
      <c r="L22" s="3"/>
    </row>
    <row r="23" spans="1:15" x14ac:dyDescent="0.2">
      <c r="A23" t="s">
        <v>25</v>
      </c>
      <c r="B23" s="1">
        <f>5700-SUM(B24:B25)</f>
        <v>1650</v>
      </c>
      <c r="C23" s="1">
        <f>7645-SUM(C24:C25)</f>
        <v>565</v>
      </c>
      <c r="D23" s="1">
        <f>7265-SUM(D24:D25)</f>
        <v>1065</v>
      </c>
      <c r="E23" s="1">
        <f>7525-SUM(E24:E25)</f>
        <v>1065</v>
      </c>
      <c r="F23" s="1">
        <f>7780-SUM(F24:F25)</f>
        <v>1060</v>
      </c>
      <c r="G23" s="1">
        <f>8050-SUM(G24:G25)</f>
        <v>1050</v>
      </c>
      <c r="H23" s="1">
        <f>8345-SUM(H24:H25)</f>
        <v>1050</v>
      </c>
      <c r="I23" s="1"/>
      <c r="K23" s="1"/>
      <c r="L23" s="3"/>
      <c r="O23" s="8"/>
    </row>
    <row r="24" spans="1:15" x14ac:dyDescent="0.2">
      <c r="A24" t="s">
        <v>26</v>
      </c>
      <c r="B24" s="1">
        <v>4050</v>
      </c>
      <c r="C24" s="1">
        <v>5080</v>
      </c>
      <c r="D24" s="1">
        <v>4200</v>
      </c>
      <c r="E24" s="1">
        <v>4460</v>
      </c>
      <c r="F24" s="1">
        <v>4720</v>
      </c>
      <c r="G24" s="1">
        <v>5000</v>
      </c>
      <c r="H24" s="1">
        <v>5295</v>
      </c>
      <c r="K24" s="1"/>
      <c r="O24" s="9"/>
    </row>
    <row r="25" spans="1:15" x14ac:dyDescent="0.2">
      <c r="A25" t="s">
        <v>27</v>
      </c>
      <c r="B25" s="1"/>
      <c r="C25" s="1">
        <v>2000</v>
      </c>
      <c r="D25" s="1">
        <v>2000</v>
      </c>
      <c r="E25" s="1">
        <v>2000</v>
      </c>
      <c r="F25" s="1">
        <v>2000</v>
      </c>
      <c r="G25" s="1">
        <v>2000</v>
      </c>
      <c r="H25" s="1">
        <v>2000</v>
      </c>
      <c r="I25" s="1"/>
      <c r="K25" s="1"/>
      <c r="O25" s="9"/>
    </row>
    <row r="26" spans="1:15" x14ac:dyDescent="0.2">
      <c r="C26" s="1"/>
      <c r="D26" s="1"/>
      <c r="E26" s="1"/>
      <c r="F26" s="1"/>
      <c r="G26" s="1"/>
      <c r="H26" s="1"/>
      <c r="I26" s="1"/>
      <c r="K26" s="1"/>
      <c r="O26" s="9"/>
    </row>
    <row r="27" spans="1:15" x14ac:dyDescent="0.2">
      <c r="B27" s="1"/>
      <c r="C27" s="1"/>
      <c r="D27" s="1"/>
      <c r="E27" s="1"/>
      <c r="F27" s="1"/>
      <c r="G27" s="1"/>
      <c r="H27" s="1"/>
      <c r="I27" s="1"/>
      <c r="K27" s="1"/>
      <c r="O27" s="9"/>
    </row>
    <row r="28" spans="1:15" x14ac:dyDescent="0.2">
      <c r="A28" s="2" t="s">
        <v>30</v>
      </c>
      <c r="B28" s="1">
        <f>B23+B18+B15</f>
        <v>110960</v>
      </c>
      <c r="C28" s="1">
        <f t="shared" ref="C28:H28" si="8">C23+C18+C15</f>
        <v>113255</v>
      </c>
      <c r="D28" s="1">
        <f t="shared" si="8"/>
        <v>121365</v>
      </c>
      <c r="E28" s="1">
        <f t="shared" si="8"/>
        <v>127710</v>
      </c>
      <c r="F28" s="1">
        <f t="shared" si="8"/>
        <v>134305</v>
      </c>
      <c r="G28" s="1">
        <f t="shared" si="8"/>
        <v>141275</v>
      </c>
      <c r="H28" s="1">
        <f t="shared" si="8"/>
        <v>148550</v>
      </c>
      <c r="I28" s="1"/>
      <c r="K28" s="1"/>
      <c r="O28" s="9"/>
    </row>
    <row r="29" spans="1:15" x14ac:dyDescent="0.2">
      <c r="A29" s="2" t="s">
        <v>31</v>
      </c>
      <c r="B29" s="1">
        <v>125305</v>
      </c>
      <c r="C29" s="1">
        <v>131290</v>
      </c>
      <c r="D29" s="1"/>
      <c r="E29" s="1"/>
      <c r="F29" s="1"/>
      <c r="G29" s="1"/>
      <c r="H29" s="1"/>
      <c r="I29" s="1"/>
      <c r="K29" s="1"/>
      <c r="O29" s="9"/>
    </row>
    <row r="30" spans="1:15" x14ac:dyDescent="0.2">
      <c r="A30" s="11" t="s">
        <v>33</v>
      </c>
      <c r="B30" s="1">
        <f>B29-(B9+B18)</f>
        <v>22895</v>
      </c>
      <c r="C30" s="1">
        <f>C29-(C9+C18)</f>
        <v>25845</v>
      </c>
      <c r="D30" s="1"/>
      <c r="E30" s="1"/>
      <c r="F30" s="1"/>
      <c r="G30" s="1"/>
      <c r="H30" s="1"/>
      <c r="I30" s="1"/>
      <c r="K30" s="1"/>
      <c r="O30" s="9"/>
    </row>
    <row r="31" spans="1:15" x14ac:dyDescent="0.2">
      <c r="A31" s="11" t="s">
        <v>32</v>
      </c>
      <c r="B31" s="10">
        <f>B29/(B9+B18)</f>
        <v>1.2235621521335807</v>
      </c>
      <c r="C31" s="10">
        <f>C29/(C9+C18)</f>
        <v>1.2451040826971407</v>
      </c>
      <c r="D31" s="1"/>
      <c r="E31" s="1"/>
      <c r="F31" s="1"/>
      <c r="G31" s="1"/>
      <c r="H31" s="1"/>
      <c r="I31" s="1"/>
      <c r="K31" s="1"/>
      <c r="O31" s="9"/>
    </row>
    <row r="32" spans="1:15" x14ac:dyDescent="0.2">
      <c r="A32" s="11" t="s">
        <v>34</v>
      </c>
      <c r="B32" s="10"/>
      <c r="C32" s="10">
        <f>(C29-C9-C18)/C29</f>
        <v>0.19685429202528754</v>
      </c>
      <c r="D32" s="1"/>
      <c r="E32" s="1"/>
      <c r="F32" s="1"/>
      <c r="G32" s="1"/>
      <c r="H32" s="1"/>
      <c r="I32" s="1"/>
      <c r="K32" s="1"/>
      <c r="O32" s="9"/>
    </row>
    <row r="33" spans="1:15" x14ac:dyDescent="0.2">
      <c r="A33" s="11"/>
      <c r="B33" s="10"/>
      <c r="C33" s="10"/>
      <c r="D33" s="1"/>
      <c r="E33" s="1"/>
      <c r="F33" s="1"/>
      <c r="G33" s="1"/>
      <c r="H33" s="1"/>
      <c r="I33" s="1"/>
      <c r="K33" s="1"/>
      <c r="O33" s="9"/>
    </row>
    <row r="34" spans="1:15" x14ac:dyDescent="0.2">
      <c r="A34" s="11"/>
      <c r="B34" s="10"/>
      <c r="C34" s="10"/>
      <c r="D34" s="1"/>
      <c r="E34" s="1"/>
      <c r="F34" s="1"/>
      <c r="G34" s="1"/>
      <c r="H34" s="1"/>
      <c r="I34" s="1"/>
      <c r="K34" s="1"/>
      <c r="O34" s="9"/>
    </row>
    <row r="35" spans="1:15" x14ac:dyDescent="0.2">
      <c r="C35" s="1"/>
    </row>
    <row r="36" spans="1:15" x14ac:dyDescent="0.2">
      <c r="A36" s="2" t="s">
        <v>14</v>
      </c>
      <c r="I36" s="2" t="s">
        <v>22</v>
      </c>
      <c r="J36" s="2" t="s">
        <v>36</v>
      </c>
      <c r="K36" s="2" t="s">
        <v>15</v>
      </c>
      <c r="L36" s="2" t="s">
        <v>16</v>
      </c>
      <c r="M36" s="2" t="s">
        <v>23</v>
      </c>
    </row>
    <row r="37" spans="1:15" x14ac:dyDescent="0.2">
      <c r="A37" t="s">
        <v>3</v>
      </c>
      <c r="B37" s="1">
        <v>13995</v>
      </c>
      <c r="C37" s="1">
        <v>14925</v>
      </c>
      <c r="D37" s="1">
        <v>16200</v>
      </c>
      <c r="E37" s="1">
        <v>17010</v>
      </c>
      <c r="F37" s="1">
        <v>17860</v>
      </c>
      <c r="G37" s="1">
        <v>18755</v>
      </c>
      <c r="H37" s="1">
        <v>19690</v>
      </c>
      <c r="I37" s="1">
        <f>SUM(C37:H37)</f>
        <v>104440</v>
      </c>
      <c r="L37" s="1">
        <f>SUM(I37:K37)</f>
        <v>104440</v>
      </c>
      <c r="M37" s="1">
        <f>$L$40-L37</f>
        <v>65410</v>
      </c>
    </row>
    <row r="38" spans="1:15" x14ac:dyDescent="0.2">
      <c r="A38" t="s">
        <v>0</v>
      </c>
      <c r="C38" s="1">
        <f>C37</f>
        <v>14925</v>
      </c>
      <c r="D38" s="1">
        <f>D37</f>
        <v>16200</v>
      </c>
      <c r="E38" s="1">
        <f t="shared" ref="E38:G38" si="9">E37</f>
        <v>17010</v>
      </c>
      <c r="F38" s="1">
        <f t="shared" si="9"/>
        <v>17860</v>
      </c>
      <c r="G38" s="1">
        <f t="shared" si="9"/>
        <v>18755</v>
      </c>
      <c r="H38" s="1">
        <f>C38+4800</f>
        <v>19725</v>
      </c>
      <c r="I38" s="1">
        <f t="shared" ref="I38:I40" si="10">SUM(C38:H38)</f>
        <v>104475</v>
      </c>
      <c r="J38" s="1">
        <f>14100</f>
        <v>14100</v>
      </c>
      <c r="L38" s="1">
        <f t="shared" ref="L38:L40" si="11">SUM(I38:K38)</f>
        <v>118575</v>
      </c>
      <c r="M38" s="1">
        <f t="shared" ref="M38:M39" si="12">$L$40-L38</f>
        <v>51275</v>
      </c>
    </row>
    <row r="39" spans="1:15" x14ac:dyDescent="0.2">
      <c r="A39" t="s">
        <v>1</v>
      </c>
      <c r="C39" s="1">
        <f>C38</f>
        <v>14925</v>
      </c>
      <c r="D39" s="1">
        <v>16200</v>
      </c>
      <c r="E39" s="1">
        <v>17270</v>
      </c>
      <c r="F39" s="1">
        <v>18310</v>
      </c>
      <c r="G39" s="1">
        <v>19400</v>
      </c>
      <c r="H39" s="1">
        <v>20470</v>
      </c>
      <c r="I39" s="1">
        <f t="shared" si="10"/>
        <v>106575</v>
      </c>
      <c r="J39" s="1">
        <f>17100</f>
        <v>17100</v>
      </c>
      <c r="L39" s="1">
        <f t="shared" si="11"/>
        <v>123675</v>
      </c>
      <c r="M39" s="1">
        <f t="shared" si="12"/>
        <v>46175</v>
      </c>
    </row>
    <row r="40" spans="1:15" x14ac:dyDescent="0.2">
      <c r="A40" t="s">
        <v>2</v>
      </c>
      <c r="C40" s="1">
        <f>C37+2700-800</f>
        <v>16825</v>
      </c>
      <c r="D40" s="1">
        <f>C40+5400-2100</f>
        <v>20125</v>
      </c>
      <c r="E40" s="1">
        <f>D40+5000-2400</f>
        <v>22725</v>
      </c>
      <c r="F40" s="1">
        <f>E40+6100-3200</f>
        <v>25625</v>
      </c>
      <c r="G40" s="1">
        <f>F40+6100-3900</f>
        <v>27825</v>
      </c>
      <c r="H40" s="1">
        <f>G40+6600-4700</f>
        <v>29725</v>
      </c>
      <c r="I40" s="1">
        <f t="shared" si="10"/>
        <v>142850</v>
      </c>
      <c r="J40" s="1">
        <f>17100</f>
        <v>17100</v>
      </c>
      <c r="K40" s="5">
        <f>9900</f>
        <v>9900</v>
      </c>
      <c r="L40" s="1">
        <f t="shared" si="11"/>
        <v>169850</v>
      </c>
    </row>
    <row r="42" spans="1:15" x14ac:dyDescent="0.2">
      <c r="A42" s="2" t="s">
        <v>4</v>
      </c>
      <c r="B42" s="2" t="s">
        <v>10</v>
      </c>
      <c r="C42" s="2" t="s">
        <v>11</v>
      </c>
      <c r="D42" t="s">
        <v>12</v>
      </c>
    </row>
    <row r="43" spans="1:15" x14ac:dyDescent="0.2">
      <c r="A43" t="s">
        <v>8</v>
      </c>
      <c r="B43" s="1">
        <f>K10+K19</f>
        <v>36995.288089041889</v>
      </c>
      <c r="C43" s="1">
        <f>K4</f>
        <v>36995.288089041889</v>
      </c>
      <c r="D43" s="1">
        <f>C43-B43</f>
        <v>0</v>
      </c>
    </row>
    <row r="44" spans="1:15" x14ac:dyDescent="0.2">
      <c r="A44" t="s">
        <v>7</v>
      </c>
      <c r="B44" s="1">
        <f>K11+K20</f>
        <v>36585</v>
      </c>
      <c r="C44" s="1">
        <f>K5</f>
        <v>36593.013804951188</v>
      </c>
      <c r="D44" s="1">
        <f t="shared" ref="D44:D45" si="13">C44-B44</f>
        <v>8.0138049511879217</v>
      </c>
      <c r="E44" t="s">
        <v>17</v>
      </c>
    </row>
    <row r="45" spans="1:15" x14ac:dyDescent="0.2">
      <c r="A45" t="s">
        <v>9</v>
      </c>
      <c r="B45" s="1">
        <f>K12+K21</f>
        <v>49100</v>
      </c>
      <c r="C45" s="1">
        <f>K6</f>
        <v>49100</v>
      </c>
      <c r="D45" s="1">
        <f t="shared" si="13"/>
        <v>0</v>
      </c>
    </row>
    <row r="47" spans="1:15" x14ac:dyDescent="0.2">
      <c r="A47" s="2" t="s">
        <v>21</v>
      </c>
      <c r="B47" s="2" t="s">
        <v>18</v>
      </c>
      <c r="C47" s="2" t="s">
        <v>19</v>
      </c>
      <c r="D47" s="2" t="s">
        <v>20</v>
      </c>
    </row>
    <row r="48" spans="1:15" x14ac:dyDescent="0.2">
      <c r="A48" t="s">
        <v>8</v>
      </c>
      <c r="B48" s="1">
        <f>15500+9294+18900-14100</f>
        <v>29594</v>
      </c>
      <c r="C48" s="1">
        <f>D48-B48</f>
        <v>7401.2880890418892</v>
      </c>
      <c r="D48" s="1">
        <f>(H4-C4)</f>
        <v>36995.288089041889</v>
      </c>
      <c r="E48" s="1"/>
    </row>
    <row r="49" spans="1:4" x14ac:dyDescent="0.2">
      <c r="A49" t="s">
        <v>7</v>
      </c>
      <c r="B49" s="1">
        <f>20000+15170.5+3935.5</f>
        <v>39106</v>
      </c>
      <c r="D49" s="1">
        <f>(H5-C5)</f>
        <v>36593.013804951188</v>
      </c>
    </row>
    <row r="50" spans="1:4" x14ac:dyDescent="0.2">
      <c r="A50" t="s">
        <v>9</v>
      </c>
      <c r="B50" s="1">
        <f>20000+14300+(31900-17100)</f>
        <v>49100</v>
      </c>
      <c r="D50" s="1">
        <f>(H6-C3)</f>
        <v>49100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calcs</vt:lpstr>
      <vt:lpstr>Chart 1</vt:lpstr>
      <vt:lpstr>Chart 2a</vt:lpstr>
      <vt:lpstr>Chart 2b</vt:lpstr>
      <vt:lpstr>Chart 3</vt:lpstr>
      <vt:lpstr>Chart 4</vt:lpstr>
      <vt:lpstr>Chart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 Roantree</dc:creator>
  <cp:lastModifiedBy>Barra Roantree</cp:lastModifiedBy>
  <dcterms:created xsi:type="dcterms:W3CDTF">2024-11-18T20:31:25Z</dcterms:created>
  <dcterms:modified xsi:type="dcterms:W3CDTF">2024-11-20T22:08:51Z</dcterms:modified>
</cp:coreProperties>
</file>