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ff9a06c7e1d52b/Escritorio/Bootcamp/Module1/Challenge1/"/>
    </mc:Choice>
  </mc:AlternateContent>
  <xr:revisionPtr revIDLastSave="2" documentId="8_{1C185986-B265-4C00-B02D-23B83E74A0F6}" xr6:coauthVersionLast="47" xr6:coauthVersionMax="47" xr10:uidLastSave="{8DAFA1DC-2248-48E4-B5FA-905E6D965E90}"/>
  <bookViews>
    <workbookView xWindow="28680" yWindow="-120" windowWidth="29040" windowHeight="15720" firstSheet="3" activeTab="4" xr2:uid="{00000000-000D-0000-FFFF-FFFF00000000}"/>
  </bookViews>
  <sheets>
    <sheet name="Crowdfunding" sheetId="1" r:id="rId1"/>
    <sheet name="Chart by category" sheetId="3" r:id="rId2"/>
    <sheet name="chart by subcategory" sheetId="4" r:id="rId3"/>
    <sheet name="Crowdfunding Goal Analysis" sheetId="8" r:id="rId4"/>
    <sheet name="Statistical Analysis" sheetId="9" r:id="rId5"/>
    <sheet name="Chart by year" sheetId="10" r:id="rId6"/>
    <sheet name="Sample by country" sheetId="12" r:id="rId7"/>
    <sheet name="subcategory by year" sheetId="11" r:id="rId8"/>
    <sheet name="Chart with Date created" sheetId="7" r:id="rId9"/>
  </sheets>
  <definedNames>
    <definedName name="_xlnm._FilterDatabase" localSheetId="0" hidden="1">Crowdfunding!$A$1:$R$1001</definedName>
    <definedName name="_xlnm._FilterDatabase" localSheetId="4" hidden="1">'Statistical Analysis'!$A$1:$B$1</definedName>
  </definedNames>
  <calcPr calcId="191029" concurrentCalc="0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9" l="1"/>
  <c r="K29" i="9"/>
  <c r="K22" i="9"/>
  <c r="K20" i="9"/>
  <c r="K23" i="9"/>
  <c r="K26" i="9"/>
  <c r="K25" i="9"/>
  <c r="K21" i="9"/>
  <c r="E28" i="9"/>
  <c r="E29" i="9"/>
  <c r="E22" i="9"/>
  <c r="E20" i="9"/>
  <c r="E23" i="9"/>
  <c r="E26" i="9"/>
  <c r="E25" i="9"/>
  <c r="E21" i="9"/>
  <c r="G12" i="3"/>
  <c r="G10" i="3"/>
  <c r="L6" i="9"/>
  <c r="F6" i="9"/>
  <c r="L18" i="9"/>
  <c r="K17" i="9"/>
  <c r="L16" i="9"/>
  <c r="K15" i="9"/>
  <c r="K7" i="9"/>
  <c r="E7" i="9"/>
  <c r="K9" i="9"/>
  <c r="L10" i="9"/>
  <c r="E9" i="9"/>
  <c r="F10" i="9"/>
  <c r="K5" i="9"/>
  <c r="K8" i="9"/>
  <c r="K6" i="9"/>
  <c r="K4" i="9"/>
  <c r="K3" i="9"/>
  <c r="E8" i="9"/>
  <c r="E6" i="9"/>
  <c r="E5" i="9"/>
  <c r="E4" i="9"/>
  <c r="E3" i="9"/>
  <c r="D2" i="8"/>
  <c r="C2" i="8"/>
  <c r="B2" i="8"/>
  <c r="E2" i="8"/>
  <c r="F2" i="8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B13" i="8"/>
  <c r="B12" i="8"/>
  <c r="B11" i="8"/>
  <c r="B10" i="8"/>
  <c r="B9" i="8"/>
  <c r="E9" i="8"/>
  <c r="B8" i="8"/>
  <c r="E8" i="8"/>
  <c r="B7" i="8"/>
  <c r="B6" i="8"/>
  <c r="B5" i="8"/>
  <c r="B4" i="8"/>
  <c r="B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7" i="9"/>
  <c r="E15" i="9"/>
  <c r="F16" i="9"/>
  <c r="F18" i="9"/>
  <c r="K13" i="9"/>
  <c r="E13" i="9"/>
  <c r="K12" i="9"/>
  <c r="E12" i="9"/>
  <c r="G8" i="8"/>
  <c r="E7" i="8"/>
  <c r="G7" i="8"/>
  <c r="G9" i="8"/>
  <c r="E6" i="8"/>
  <c r="F6" i="8"/>
  <c r="H2" i="8"/>
  <c r="H7" i="8"/>
  <c r="H9" i="8"/>
  <c r="E12" i="8"/>
  <c r="H12" i="8"/>
  <c r="E10" i="8"/>
  <c r="F10" i="8"/>
  <c r="E4" i="8"/>
  <c r="H4" i="8"/>
  <c r="H6" i="8"/>
  <c r="G2" i="8"/>
  <c r="H8" i="8"/>
  <c r="F8" i="8"/>
  <c r="E5" i="8"/>
  <c r="G5" i="8"/>
  <c r="E13" i="8"/>
  <c r="H13" i="8"/>
  <c r="H5" i="8"/>
  <c r="F9" i="8"/>
  <c r="E11" i="8"/>
  <c r="H11" i="8"/>
  <c r="E3" i="8"/>
  <c r="F3" i="8"/>
  <c r="G3" i="8"/>
  <c r="H10" i="8"/>
  <c r="G10" i="8"/>
  <c r="F11" i="8"/>
  <c r="H3" i="8"/>
  <c r="G6" i="8"/>
  <c r="F13" i="8"/>
  <c r="G12" i="8"/>
  <c r="F12" i="8"/>
  <c r="F7" i="8"/>
  <c r="G13" i="8"/>
  <c r="F5" i="8"/>
  <c r="G4" i="8"/>
  <c r="F4" i="8"/>
  <c r="G1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tc={E2AB9E3A-6699-4F25-B68D-A2BC898F1180}</author>
  </authors>
  <commentList>
    <comment ref="E18" authorId="0" shapeId="0" xr:uid="{E2AB9E3A-6699-4F25-B68D-A2BC898F118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Outliers</t>
        </r>
      </text>
    </comment>
  </commentList>
</comments>
</file>

<file path=xl/sharedStrings.xml><?xml version="1.0" encoding="utf-8"?>
<sst xmlns="http://schemas.openxmlformats.org/spreadsheetml/2006/main" count="7163" uniqueCount="2142">
  <si>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</si>
  <si>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</si>
  <si>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</si>
  <si>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</si>
  <si>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</si>
  <si>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</si>
  <si>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</si>
  <si>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</si>
  <si>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</si>
  <si>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</si>
  <si>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</si>
  <si>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</si>
  <si>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</si>
  <si>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</si>
  <si>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</si>
  <si>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</si>
  <si>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</si>
  <si>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</si>
  <si>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</si>
  <si>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</si>
  <si>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</si>
  <si>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</si>
  <si>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</si>
  <si>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</si>
  <si>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</si>
  <si>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</si>
  <si>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</si>
  <si>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</si>
  <si>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</si>
  <si>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</si>
  <si>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</si>
  <si>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</si>
  <si>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</si>
  <si>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</si>
  <si>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</si>
  <si>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</si>
  <si>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</si>
  <si>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</si>
  <si>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</si>
  <si>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</si>
  <si>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</si>
  <si>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</si>
  <si>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</si>
  <si>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</si>
  <si>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</si>
  <si>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</si>
  <si>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</si>
  <si>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</si>
  <si>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</si>
  <si>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</si>
  <si>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</si>
  <si>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</si>
  <si>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</si>
  <si>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</si>
  <si>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</si>
  <si>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</si>
  <si>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</si>
  <si>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</si>
  <si>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</si>
  <si>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</si>
  <si>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</si>
  <si>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</si>
  <si>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</si>
  <si>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</si>
  <si>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</si>
  <si>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</si>
  <si>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</si>
  <si>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</si>
  <si>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</si>
  <si>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</si>
  <si>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</si>
  <si>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</si>
  <si>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</si>
  <si>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</si>
  <si>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</si>
  <si>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</si>
  <si>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</si>
  <si>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</si>
  <si>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</si>
  <si>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</si>
  <si>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</si>
  <si>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</si>
  <si>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</si>
  <si>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</si>
  <si>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</si>
  <si>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</si>
  <si>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</si>
  <si>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</si>
  <si>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</si>
  <si>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</si>
  <si>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</si>
  <si>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</si>
  <si>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</si>
  <si>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</si>
  <si>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</si>
  <si>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</si>
  <si>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</si>
  <si>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</si>
  <si>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</si>
  <si>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</si>
  <si>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</si>
  <si>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</si>
  <si>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</si>
  <si>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</si>
  <si>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</si>
  <si>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</si>
  <si>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</si>
  <si>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</si>
  <si>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</si>
  <si>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</si>
  <si>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</si>
  <si>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</si>
  <si>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</si>
  <si>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</si>
  <si>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</si>
  <si>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</si>
  <si>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</si>
  <si>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</si>
  <si>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</si>
  <si>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</si>
  <si>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</si>
  <si>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</si>
  <si>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</si>
  <si>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</si>
  <si>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</si>
  <si>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</si>
  <si>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</si>
  <si>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</si>
  <si>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</si>
  <si>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</si>
  <si>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</si>
  <si>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</si>
  <si>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</si>
  <si>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</si>
  <si>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</si>
  <si>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</si>
  <si>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</si>
  <si>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</si>
  <si>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</si>
  <si>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</si>
  <si>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</si>
  <si>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</si>
  <si>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</si>
  <si>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</si>
  <si>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</si>
  <si>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</si>
  <si>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</si>
  <si>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</si>
  <si>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</si>
  <si>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</si>
  <si>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</si>
  <si>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</si>
  <si>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</si>
  <si>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</si>
  <si>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</si>
  <si>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</si>
  <si>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</si>
  <si>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</si>
  <si>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</si>
  <si>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</si>
  <si>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</si>
  <si>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</si>
  <si>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</si>
  <si>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</si>
  <si>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</si>
  <si>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</si>
  <si>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</si>
  <si>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</si>
  <si>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</si>
  <si>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</si>
  <si>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</si>
  <si>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</si>
  <si>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</si>
  <si>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</si>
  <si>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</si>
  <si>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</si>
  <si>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</si>
  <si>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</si>
  <si>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</si>
  <si>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</si>
  <si>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</si>
  <si>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</si>
  <si>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</si>
  <si>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</si>
  <si>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</si>
  <si>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</si>
  <si>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</si>
  <si>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</si>
  <si>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</si>
  <si>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</si>
  <si>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</si>
  <si>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</si>
  <si>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</si>
  <si>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</si>
  <si>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</si>
  <si>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</si>
  <si>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</si>
  <si>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</si>
  <si>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</si>
  <si>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</si>
  <si>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</si>
  <si>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</si>
  <si>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</si>
  <si>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</si>
  <si>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</si>
  <si>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</si>
  <si>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</si>
  <si>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</si>
  <si>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</si>
  <si>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</si>
  <si>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</si>
  <si>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</si>
  <si>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</si>
  <si>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</si>
  <si>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</si>
  <si>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</si>
  <si>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</si>
  <si>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</si>
  <si>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</si>
  <si>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</si>
  <si>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</si>
  <si>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</si>
  <si>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</si>
  <si>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</si>
  <si>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</si>
  <si>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</si>
  <si>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</si>
  <si>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</si>
  <si>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</si>
  <si>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</si>
  <si>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</si>
  <si>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</si>
  <si>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</si>
  <si>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</si>
  <si>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</si>
  <si>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</si>
  <si>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</si>
  <si>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</si>
  <si>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</si>
  <si>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</si>
  <si>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</si>
  <si>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</si>
  <si>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</si>
  <si>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</si>
  <si>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</si>
  <si>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</si>
  <si>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</si>
  <si>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</si>
  <si>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</si>
  <si>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</si>
  <si>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</si>
  <si>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</si>
  <si>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</si>
  <si>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</si>
  <si>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</si>
  <si>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</si>
  <si>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</si>
  <si>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</si>
  <si>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</si>
  <si>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</si>
  <si>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</si>
  <si>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</si>
  <si>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</si>
  <si>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</si>
  <si>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</si>
  <si>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</si>
  <si>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</si>
  <si>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</si>
  <si>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</si>
  <si>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</si>
  <si>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</si>
  <si>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</si>
  <si>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</si>
  <si>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</si>
  <si>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</si>
  <si>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</si>
  <si>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</si>
  <si>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</si>
  <si>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</si>
  <si>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</si>
  <si>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</si>
  <si>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</si>
  <si>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</si>
  <si>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</si>
  <si>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</si>
  <si>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</si>
  <si>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</si>
  <si>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</si>
  <si>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</si>
  <si>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</si>
  <si>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</si>
  <si>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</si>
  <si>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</si>
  <si>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</si>
  <si>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</si>
  <si>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</si>
  <si>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</si>
  <si>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</si>
  <si>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</si>
  <si>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</si>
  <si>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</si>
  <si>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</si>
  <si>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</si>
  <si>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</si>
  <si>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</si>
  <si>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</si>
  <si>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</si>
  <si>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</si>
  <si>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</si>
  <si>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</si>
  <si>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</si>
  <si>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</si>
  <si>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</si>
  <si>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</si>
  <si>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</si>
  <si>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</si>
  <si>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</si>
  <si>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</si>
  <si>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</si>
  <si>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</si>
  <si>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</si>
  <si>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</si>
  <si>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</si>
  <si>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</si>
  <si>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</si>
  <si>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</si>
  <si>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</si>
  <si>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</si>
  <si>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</si>
  <si>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</si>
  <si>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</si>
  <si>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</si>
  <si>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</si>
  <si>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</si>
  <si>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</si>
  <si>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</si>
  <si>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</si>
  <si>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</si>
  <si>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</si>
  <si>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</si>
  <si>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</si>
  <si>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</si>
  <si>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</si>
  <si>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</si>
  <si>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</si>
  <si>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</si>
  <si>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</si>
  <si>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</si>
  <si>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</si>
  <si>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</si>
  <si>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</si>
  <si>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</si>
  <si>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</si>
  <si>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</si>
  <si>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</si>
  <si>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</si>
  <si>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</si>
  <si>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</si>
  <si>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</si>
  <si>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</si>
  <si>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</si>
  <si>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</si>
  <si>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</si>
  <si>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</si>
  <si>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</si>
  <si>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</si>
  <si>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</si>
  <si>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</si>
  <si>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</si>
  <si>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</si>
  <si>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</si>
  <si>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</si>
  <si>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</si>
  <si>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</si>
  <si>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</si>
  <si>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</si>
  <si>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</si>
  <si>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</si>
  <si>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</si>
  <si>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</si>
  <si>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</si>
  <si>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</si>
  <si>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</si>
  <si>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</si>
  <si>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</si>
  <si>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</si>
  <si>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</si>
  <si>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</si>
  <si>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</si>
  <si>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</si>
  <si>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</si>
  <si>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</si>
  <si>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</si>
  <si>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</si>
  <si>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</si>
  <si>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</si>
  <si>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</si>
  <si>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</si>
  <si>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</si>
  <si>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</si>
  <si>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</si>
  <si>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</si>
  <si>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</si>
  <si>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</si>
  <si>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</si>
  <si>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</si>
  <si>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</si>
  <si>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</si>
  <si>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</si>
  <si>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</si>
  <si>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</si>
  <si>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</si>
  <si>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</si>
  <si>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</si>
  <si>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</si>
  <si>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</si>
  <si>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</si>
  <si>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</si>
  <si>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</si>
  <si>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</si>
  <si>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</si>
  <si>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</si>
  <si>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</si>
  <si>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</si>
  <si>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</si>
  <si>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</si>
  <si>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</si>
  <si>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</si>
  <si>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</si>
  <si>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</si>
  <si>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</si>
  <si>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</si>
  <si>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</si>
  <si>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</si>
  <si>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</si>
  <si>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</si>
  <si>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</si>
  <si>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</si>
  <si>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</si>
  <si>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</si>
  <si>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</si>
  <si>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</si>
  <si>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</si>
  <si>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</si>
  <si>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</si>
  <si>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</si>
  <si>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</si>
  <si>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</si>
  <si>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</si>
  <si>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</si>
  <si>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</si>
  <si>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</si>
  <si>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</si>
  <si>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</si>
  <si>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</si>
  <si>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</si>
  <si>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</si>
  <si>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</si>
  <si>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</si>
  <si>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</si>
  <si>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</si>
  <si>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</si>
  <si>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</si>
  <si>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</si>
  <si>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</si>
  <si>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</si>
  <si>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</si>
  <si>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</si>
  <si>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</si>
  <si>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</si>
  <si>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</si>
  <si>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</si>
  <si>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</si>
  <si>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</si>
  <si>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</si>
  <si>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</si>
  <si>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</si>
  <si>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</si>
  <si>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</si>
  <si>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</si>
  <si>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</si>
  <si>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</si>
  <si>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</si>
  <si>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</si>
  <si>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</si>
  <si>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</si>
  <si>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</si>
  <si>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</si>
  <si>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</si>
  <si>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</si>
  <si>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</si>
  <si>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</si>
  <si>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</si>
  <si>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</si>
  <si>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</si>
  <si>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</si>
  <si>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</si>
  <si>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</si>
  <si>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</si>
  <si>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</si>
  <si>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</si>
  <si>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</si>
  <si>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</si>
  <si>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</si>
  <si>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</si>
  <si>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</si>
  <si>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</si>
  <si>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</si>
  <si>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</si>
  <si>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</si>
  <si>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</si>
  <si>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</si>
  <si>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</si>
  <si>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</si>
  <si>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</si>
  <si>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</si>
  <si>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</si>
  <si>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</si>
  <si>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</si>
  <si>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</si>
  <si>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</si>
  <si>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</si>
  <si>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</si>
  <si>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</si>
  <si>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</si>
  <si>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</si>
  <si>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</si>
  <si>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</si>
  <si>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</si>
  <si>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</si>
  <si>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</si>
  <si>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</si>
  <si>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</si>
  <si>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</si>
  <si>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</si>
  <si>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</si>
  <si>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</si>
  <si>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</si>
  <si>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</si>
  <si>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</si>
  <si>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</si>
  <si>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</si>
  <si>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</si>
  <si>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</si>
  <si>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</si>
  <si>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</si>
  <si>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</si>
  <si>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</si>
  <si>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</si>
  <si>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</si>
  <si>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</si>
  <si>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</si>
  <si>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</si>
  <si>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</si>
  <si>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</si>
  <si>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</si>
  <si>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</si>
  <si>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</si>
  <si>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</si>
  <si>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</si>
  <si>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</si>
  <si>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</si>
  <si>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</si>
  <si>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</si>
  <si>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</si>
  <si>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</si>
  <si>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</si>
  <si>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</si>
  <si>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</si>
  <si>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</si>
  <si>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</si>
  <si>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</si>
  <si>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</si>
  <si>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</si>
  <si>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</si>
  <si>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</si>
  <si>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</si>
  <si>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</si>
  <si>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</si>
  <si>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</si>
  <si>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</si>
  <si>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</si>
  <si>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</si>
  <si>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</si>
  <si>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</si>
  <si>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</si>
  <si>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</si>
  <si>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</si>
  <si>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</si>
  <si>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</si>
  <si>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</si>
  <si>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</si>
  <si>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</si>
  <si>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</si>
  <si>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</si>
  <si>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</si>
  <si>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</si>
  <si>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</si>
  <si>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</si>
  <si>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</si>
  <si>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</si>
  <si>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</si>
  <si>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</si>
  <si>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</si>
  <si>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</si>
  <si>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</si>
  <si>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</si>
  <si>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</si>
  <si>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</si>
  <si>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</si>
  <si>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</si>
  <si>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</si>
  <si>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</si>
  <si>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</si>
  <si>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</si>
  <si>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</si>
  <si>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</si>
  <si>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</si>
  <si>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</si>
  <si>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</si>
  <si>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</si>
  <si>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</si>
  <si>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</si>
  <si>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</si>
  <si>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</si>
  <si>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</si>
  <si>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</si>
  <si>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</si>
  <si>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</si>
  <si>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</si>
  <si>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</si>
  <si>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</si>
  <si>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</si>
  <si>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</si>
  <si>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</si>
  <si>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</si>
  <si>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</si>
  <si>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</si>
  <si>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</si>
  <si>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</si>
  <si>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</si>
  <si>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</si>
  <si>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</si>
  <si>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</si>
  <si>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</si>
  <si>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</si>
  <si>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</si>
  <si>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</si>
  <si>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</si>
  <si>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</si>
  <si>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</si>
  <si>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</si>
  <si>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</si>
  <si>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</si>
  <si>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</si>
  <si>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</si>
  <si>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</si>
  <si>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</si>
  <si>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</si>
  <si>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</si>
  <si>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</si>
  <si>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</si>
  <si>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</si>
  <si>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</si>
  <si>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</si>
  <si>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</si>
  <si>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</si>
  <si>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</si>
  <si>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</si>
  <si>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</si>
  <si>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</si>
  <si>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</si>
  <si>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</si>
  <si>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</si>
  <si>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</si>
  <si>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</si>
  <si>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</si>
  <si>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</si>
  <si>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</si>
  <si>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</si>
  <si>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</si>
  <si>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</si>
  <si>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</si>
  <si>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</si>
  <si>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</si>
  <si>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</si>
  <si>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</si>
  <si>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</si>
  <si>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</si>
  <si>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</si>
  <si>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</si>
  <si>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</si>
  <si>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</si>
  <si>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</si>
  <si>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</si>
  <si>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</si>
  <si>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</si>
  <si>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</si>
  <si>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</si>
  <si>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</si>
  <si>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</si>
  <si>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</si>
  <si>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</si>
  <si>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</si>
  <si>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</si>
  <si>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</si>
  <si>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</si>
  <si>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</si>
  <si>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</si>
  <si>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</si>
  <si>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</si>
  <si>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</si>
  <si>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</si>
  <si>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</si>
  <si>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</si>
  <si>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</si>
  <si>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</si>
  <si>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</si>
  <si>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</si>
  <si>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</si>
  <si>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</si>
  <si>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</si>
  <si>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</si>
  <si>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</si>
  <si>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</si>
  <si>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</si>
  <si>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</si>
  <si>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</si>
  <si>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</si>
  <si>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</si>
  <si>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</si>
  <si>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</si>
  <si>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</si>
  <si>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</si>
  <si>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</si>
  <si>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</si>
  <si>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</si>
  <si>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</si>
  <si>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</si>
  <si>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</si>
  <si>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</si>
  <si>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</si>
  <si>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</si>
  <si>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</si>
  <si>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</si>
  <si>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</si>
  <si>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</si>
  <si>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</si>
  <si>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</si>
  <si>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</si>
  <si>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</si>
  <si>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</si>
  <si>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</si>
  <si>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</si>
  <si>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</si>
  <si>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</si>
  <si>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</si>
  <si>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</si>
  <si>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</si>
  <si>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</si>
  <si>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</si>
  <si>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</si>
  <si>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</si>
  <si>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</si>
  <si>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</si>
  <si>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</si>
  <si>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</si>
  <si>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</si>
  <si>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</si>
  <si>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</si>
  <si>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</si>
  <si>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</si>
  <si>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</si>
  <si>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</si>
  <si>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</si>
  <si>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</si>
  <si>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</si>
  <si>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</si>
  <si>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</si>
  <si>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</si>
  <si>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</si>
  <si>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</si>
  <si>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</si>
  <si>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</si>
  <si>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</si>
  <si>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</si>
  <si>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</si>
  <si>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</si>
  <si>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</si>
  <si>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</si>
  <si>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</si>
  <si>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</si>
  <si>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</si>
  <si>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</si>
  <si>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</si>
  <si>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</si>
  <si>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</si>
  <si>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</si>
  <si>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</si>
  <si>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</si>
  <si>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</si>
  <si>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</si>
  <si>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</si>
  <si>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</si>
  <si>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</si>
  <si>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</si>
  <si>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</si>
  <si>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</si>
  <si>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</si>
  <si>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</si>
  <si>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</si>
  <si>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</si>
  <si>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</si>
  <si>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</si>
  <si>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</si>
  <si>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</si>
  <si>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</si>
  <si>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</si>
  <si>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</si>
  <si>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</si>
  <si>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</si>
  <si>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</si>
  <si>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</si>
  <si>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</si>
  <si>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</si>
  <si>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</si>
  <si>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</si>
  <si>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</si>
  <si>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</si>
  <si>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</si>
  <si>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</si>
  <si>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</si>
  <si>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</si>
  <si>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</si>
  <si>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</si>
  <si>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</si>
  <si>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</si>
  <si>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</si>
  <si>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</si>
  <si>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</si>
  <si>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</si>
  <si>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</si>
  <si>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</si>
  <si>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</si>
  <si>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</si>
  <si>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</si>
  <si>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</si>
  <si>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</si>
  <si>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</si>
  <si>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</si>
  <si>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</si>
  <si>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</si>
  <si>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</si>
  <si>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</si>
  <si>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</si>
  <si>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</si>
  <si>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</si>
  <si>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</si>
  <si>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</si>
  <si>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</si>
  <si>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</si>
  <si>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</si>
  <si>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</si>
  <si>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</si>
  <si>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</si>
  <si>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</si>
  <si>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</si>
  <si>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</si>
  <si>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</si>
  <si>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</si>
  <si>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</si>
  <si>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</si>
  <si>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</si>
  <si>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</si>
  <si>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</si>
  <si>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</si>
  <si>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</si>
  <si>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</si>
  <si>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</si>
  <si>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</si>
  <si>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</si>
  <si>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</si>
  <si>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</si>
  <si>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</si>
  <si>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</si>
  <si>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</si>
  <si>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</si>
  <si>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</si>
  <si>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</si>
  <si>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</si>
  <si>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</si>
  <si>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</si>
  <si>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</si>
  <si>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</si>
  <si>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</si>
  <si>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</si>
  <si>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</si>
  <si>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</si>
  <si>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</si>
  <si>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</si>
  <si>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</si>
  <si>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</si>
  <si>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</si>
  <si>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</si>
  <si>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</si>
  <si>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</si>
  <si>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</si>
  <si>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</si>
  <si>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</si>
  <si>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</si>
  <si>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</si>
  <si>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</si>
  <si>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</si>
  <si>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</si>
  <si>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</si>
  <si>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</si>
  <si>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</si>
  <si>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</si>
  <si>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</si>
  <si>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</si>
  <si>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</si>
  <si>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</si>
  <si>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</si>
  <si>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</si>
  <si>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</si>
  <si>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</si>
  <si>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</si>
  <si>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</si>
  <si>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</si>
  <si>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</si>
  <si>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</si>
  <si>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</si>
  <si>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</si>
  <si>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</si>
  <si>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</si>
  <si>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</si>
  <si>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</si>
  <si>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</si>
  <si>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</si>
  <si>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</si>
  <si>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</si>
  <si>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</si>
  <si>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</si>
  <si>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</si>
  <si>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</si>
  <si>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</si>
  <si>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</si>
  <si>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</si>
  <si>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</si>
  <si>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</si>
  <si>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</si>
  <si>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</si>
  <si>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</si>
  <si>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</si>
  <si>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</si>
  <si>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</si>
  <si>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</si>
  <si>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</si>
  <si>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</si>
  <si>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</si>
  <si>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</si>
  <si>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</si>
  <si>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</si>
  <si>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</si>
  <si>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</si>
  <si>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</si>
  <si>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</si>
  <si>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</si>
  <si>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</si>
  <si>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</si>
  <si>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</si>
  <si>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</si>
  <si>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</si>
  <si>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</si>
  <si>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</si>
  <si>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</si>
  <si>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</si>
  <si>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</si>
  <si>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</si>
  <si>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</si>
  <si>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</si>
  <si>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</si>
  <si>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</si>
  <si>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</si>
  <si>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</si>
  <si>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</si>
  <si>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</si>
  <si>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</si>
  <si>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</si>
  <si>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</si>
  <si>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</si>
  <si>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</si>
  <si>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</si>
  <si>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</si>
  <si>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</si>
  <si>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</si>
  <si>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</si>
  <si>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</si>
  <si>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</si>
  <si>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</si>
  <si>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</si>
  <si>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</si>
  <si>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</si>
  <si>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</si>
  <si>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</si>
  <si>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</si>
  <si>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</si>
  <si>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</si>
  <si>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</si>
  <si>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</si>
  <si>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</si>
  <si>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</si>
  <si>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</si>
  <si>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</si>
  <si>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</si>
  <si>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</si>
  <si>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</si>
  <si>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</si>
  <si>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</si>
  <si>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</si>
  <si>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</si>
  <si>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</si>
  <si>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</si>
  <si>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</si>
  <si>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</si>
  <si>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</si>
  <si>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</si>
  <si>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</si>
  <si>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</si>
  <si>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</si>
  <si>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</si>
  <si>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</si>
  <si>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</si>
  <si>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</si>
  <si>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</si>
  <si>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</si>
  <si>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</si>
  <si>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</si>
  <si>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</si>
  <si>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</si>
  <si>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</si>
  <si>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</si>
  <si>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</si>
  <si>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</si>
  <si>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</si>
  <si>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</si>
  <si>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</si>
  <si>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</si>
  <si>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</si>
  <si>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</si>
  <si>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</si>
  <si>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</si>
  <si>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</si>
  <si>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</si>
  <si>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</si>
  <si>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</si>
  <si>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</si>
  <si>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</si>
  <si>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</si>
  <si>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</si>
  <si>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</si>
  <si>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</si>
  <si>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</si>
  <si>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</si>
  <si>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</si>
  <si>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</si>
  <si>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</si>
  <si>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</si>
  <si>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</si>
  <si>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</si>
  <si>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</si>
  <si>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</si>
  <si>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</si>
  <si>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</si>
  <si>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</si>
  <si>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</si>
  <si>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</si>
  <si>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</si>
  <si>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</si>
  <si>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</si>
  <si>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</si>
  <si>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</si>
  <si>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</si>
  <si>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</si>
  <si>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</si>
  <si>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</si>
  <si>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</si>
  <si>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</si>
  <si>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</si>
  <si>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</si>
  <si>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</si>
  <si>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</si>
  <si>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</si>
  <si>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</si>
  <si>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</si>
  <si>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</si>
  <si>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</si>
  <si>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</si>
  <si>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</si>
  <si>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</si>
  <si>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</si>
  <si>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</si>
  <si>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</si>
  <si>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</si>
  <si>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</si>
  <si>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</si>
  <si>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</si>
  <si>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</si>
  <si>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</si>
  <si>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</si>
  <si>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</si>
  <si>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</si>
  <si>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</si>
  <si>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</si>
  <si>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</si>
  <si>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</si>
  <si>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</si>
  <si>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</si>
  <si>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</si>
  <si>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</si>
  <si>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</si>
  <si>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</si>
  <si>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</si>
  <si>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</si>
  <si>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</si>
  <si>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</si>
  <si>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</si>
  <si>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</si>
  <si>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</si>
  <si>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</si>
  <si>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</si>
  <si>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</si>
  <si>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</si>
  <si>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</si>
  <si>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</si>
  <si>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</si>
  <si>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</si>
  <si>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</si>
  <si>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</si>
  <si>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</si>
  <si>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</si>
  <si>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</si>
  <si>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</si>
  <si>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</si>
  <si>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</si>
  <si>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</si>
  <si>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</si>
  <si>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</si>
  <si>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</si>
  <si>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</si>
  <si>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</si>
  <si>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</si>
  <si>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</si>
  <si>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</si>
  <si>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</si>
  <si>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</si>
  <si>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</si>
  <si>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</si>
  <si>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</si>
  <si>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</si>
  <si>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</si>
  <si>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</si>
  <si>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</si>
  <si>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</si>
  <si>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</si>
  <si>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</si>
  <si>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</si>
  <si>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</si>
  <si>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</si>
  <si>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</si>
  <si>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</si>
  <si>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</si>
  <si>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</si>
  <si>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</si>
  <si>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</si>
  <si>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</si>
  <si>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</si>
  <si>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</si>
  <si>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</si>
  <si>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</si>
  <si>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</si>
  <si>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</si>
  <si>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</si>
  <si>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</si>
  <si>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</si>
  <si>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</si>
  <si>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</si>
  <si>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</si>
  <si>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</si>
  <si>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</si>
  <si>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</si>
  <si>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</si>
  <si>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</si>
  <si>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</si>
  <si>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</si>
  <si>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</si>
  <si>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</si>
  <si>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</si>
  <si>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</si>
  <si>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</si>
  <si>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</si>
  <si>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</si>
  <si>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</si>
  <si>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</si>
  <si>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</si>
  <si>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</si>
  <si>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</si>
  <si>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</si>
  <si>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</si>
  <si>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</si>
  <si>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</si>
  <si>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</si>
  <si>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</si>
  <si>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</si>
  <si>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</si>
  <si>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</si>
  <si>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</si>
  <si>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</si>
  <si>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</si>
  <si>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</si>
  <si>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</si>
  <si>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</si>
  <si>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</si>
  <si>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</si>
  <si>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</si>
  <si>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</si>
  <si>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</si>
  <si>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</si>
  <si>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</si>
  <si>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</si>
  <si>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</si>
  <si>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</si>
  <si>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</si>
  <si>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</si>
  <si>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</si>
  <si>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</si>
  <si>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</si>
  <si>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</si>
  <si>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</si>
  <si>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</si>
  <si>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</si>
  <si>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</si>
  <si>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</si>
  <si>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</si>
  <si>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</si>
  <si>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</si>
  <si>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</si>
  <si>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</si>
  <si>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</si>
  <si>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</si>
  <si>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</si>
  <si>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</si>
  <si>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</si>
  <si>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</si>
  <si>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</si>
  <si>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</si>
  <si>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</si>
  <si>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</si>
  <si>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</si>
  <si>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</si>
  <si>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</si>
  <si>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</si>
  <si>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</si>
  <si>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</si>
  <si>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</si>
  <si>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</si>
  <si>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</si>
  <si>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</si>
  <si>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</si>
  <si>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</si>
  <si>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</si>
  <si>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</si>
  <si>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</si>
  <si>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</si>
  <si>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</si>
  <si>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</si>
  <si>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</si>
  <si>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</si>
  <si>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</si>
  <si>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</si>
  <si>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</si>
  <si>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</si>
  <si>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</si>
  <si>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</si>
  <si>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</si>
  <si>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</si>
  <si>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</si>
  <si>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</si>
  <si>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</si>
  <si>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</si>
  <si>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</si>
  <si>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</si>
  <si>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</si>
  <si>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</si>
  <si>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</si>
  <si>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</si>
  <si>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</si>
  <si>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</si>
  <si>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</si>
  <si>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</si>
  <si>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</si>
  <si>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</si>
  <si>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</si>
  <si>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</si>
  <si>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</si>
  <si>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</si>
  <si>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</si>
  <si>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</si>
  <si>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</si>
  <si>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</si>
  <si>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</si>
  <si>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</si>
  <si>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</si>
  <si>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</si>
  <si>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</si>
  <si>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</si>
  <si>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</si>
  <si>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</si>
  <si>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</si>
  <si>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</si>
  <si>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</si>
  <si>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</si>
  <si>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</si>
  <si>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</si>
  <si>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</si>
  <si>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</si>
  <si>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</si>
  <si>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</si>
  <si>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</si>
  <si>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</si>
  <si>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</si>
  <si>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</si>
  <si>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</si>
  <si>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</si>
  <si>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</si>
  <si>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</si>
  <si>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</si>
  <si>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</si>
  <si>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</si>
  <si>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</si>
  <si>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</si>
  <si>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</si>
  <si>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</si>
  <si>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</si>
  <si>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</si>
  <si>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</si>
  <si>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</si>
  <si>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</si>
  <si>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</si>
  <si>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</si>
  <si>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</si>
  <si>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</si>
  <si>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</si>
  <si>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</si>
  <si>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</si>
  <si>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</si>
  <si>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</si>
  <si>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</si>
  <si>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</si>
  <si>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</si>
  <si>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</si>
  <si>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</si>
  <si>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</si>
  <si>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</si>
  <si>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</si>
  <si>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</si>
  <si>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</si>
  <si>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</si>
  <si>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</si>
  <si>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</si>
  <si>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</si>
  <si>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</si>
  <si>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</si>
  <si>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</si>
  <si>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</si>
  <si>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</si>
  <si>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</si>
  <si>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</si>
  <si>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</si>
  <si>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</si>
  <si>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</si>
  <si>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</si>
  <si>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</si>
  <si>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</si>
  <si>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</si>
  <si>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</si>
  <si>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</si>
  <si>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</si>
  <si>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</si>
  <si>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</si>
  <si>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</si>
  <si>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</si>
  <si>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</si>
  <si>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</si>
  <si>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</si>
  <si>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</si>
  <si>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</si>
  <si>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</si>
  <si>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</si>
  <si>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</si>
  <si>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</si>
  <si>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</si>
  <si>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</si>
  <si>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</si>
  <si>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</si>
  <si>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</si>
  <si>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</si>
  <si>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</si>
  <si>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</si>
  <si>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</si>
  <si>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</si>
  <si>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</si>
  <si>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</si>
  <si>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</si>
  <si>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</si>
  <si>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</si>
  <si>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</si>
  <si>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</si>
  <si>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</si>
  <si>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</si>
  <si>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</si>
  <si>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</si>
  <si>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</si>
  <si>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</si>
  <si>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</si>
  <si>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</si>
  <si>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</si>
  <si>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</si>
  <si>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</si>
  <si>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</si>
  <si>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</si>
  <si>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</si>
  <si>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</si>
  <si>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</si>
  <si>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</si>
  <si>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</si>
  <si>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</si>
  <si>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</si>
  <si>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</si>
  <si>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</si>
  <si>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</si>
  <si>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</si>
  <si>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</si>
  <si>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</si>
  <si>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</si>
  <si>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</si>
  <si>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</si>
  <si>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</si>
  <si>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</si>
  <si>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</si>
  <si>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</si>
  <si>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</si>
  <si>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</si>
  <si>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</si>
  <si>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</si>
  <si>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</si>
  <si>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</si>
  <si>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</si>
  <si>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</si>
  <si>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</si>
  <si>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</si>
  <si>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</si>
  <si>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</si>
  <si>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</si>
  <si>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</si>
  <si>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</si>
  <si>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</si>
  <si>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</si>
  <si>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</si>
  <si>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</si>
  <si>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</si>
  <si>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</si>
  <si>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</si>
  <si>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</si>
  <si>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</si>
  <si>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</si>
  <si>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</si>
  <si>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</si>
  <si>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</si>
  <si>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</si>
  <si>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</si>
  <si>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</si>
  <si>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</si>
  <si>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</si>
  <si>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</si>
  <si>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</si>
  <si>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</si>
  <si>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</si>
  <si>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</si>
  <si>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</si>
  <si>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</si>
  <si>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</si>
  <si>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</si>
  <si>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</si>
  <si>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</si>
  <si>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</si>
  <si>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</si>
  <si>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</si>
  <si>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</si>
  <si>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</si>
  <si>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</si>
  <si>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</si>
  <si>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</si>
  <si>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</si>
  <si>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</si>
  <si>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</si>
  <si>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</si>
  <si>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</si>
  <si>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</si>
  <si>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</si>
  <si>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</si>
  <si>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</si>
  <si>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</si>
  <si>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</si>
  <si>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</si>
  <si>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</si>
  <si>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</si>
  <si>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</si>
  <si>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</si>
  <si>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</si>
  <si>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</si>
  <si>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</si>
  <si>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</si>
  <si>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</si>
  <si>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</si>
  <si>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</si>
  <si>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</si>
  <si>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</si>
  <si>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</si>
  <si>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</si>
  <si>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</si>
  <si>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</si>
  <si>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</si>
  <si>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</si>
  <si>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</si>
  <si>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</si>
  <si>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</si>
  <si>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</si>
  <si>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</si>
  <si>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</si>
  <si>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</si>
  <si>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</si>
  <si>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</si>
  <si>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</si>
  <si>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</si>
  <si>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</si>
  <si>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</si>
  <si>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</si>
  <si>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</si>
  <si>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</si>
  <si>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</si>
  <si>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</si>
  <si>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</si>
  <si>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</si>
  <si>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</si>
  <si>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</si>
  <si>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</si>
  <si>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</si>
  <si>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</si>
  <si>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</si>
  <si>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</si>
  <si>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</si>
  <si>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</si>
  <si>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</si>
  <si>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</si>
  <si>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</si>
  <si>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</si>
  <si>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</si>
  <si>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</si>
  <si>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</si>
  <si>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</si>
  <si>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</si>
  <si>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</si>
  <si>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</si>
  <si>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</si>
  <si>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</si>
  <si>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</si>
  <si>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</si>
  <si>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</si>
  <si>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</si>
  <si>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</si>
  <si>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</si>
  <si>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</si>
  <si>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</si>
  <si>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</si>
  <si>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</si>
  <si>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</si>
  <si>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</si>
  <si>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</si>
  <si>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</si>
  <si>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</si>
  <si>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</si>
  <si>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</si>
  <si>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</si>
  <si>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</si>
  <si>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</si>
  <si>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</si>
  <si>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</si>
  <si>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</si>
  <si>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</si>
  <si>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</si>
  <si>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</si>
  <si>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</si>
  <si>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</si>
  <si>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</si>
  <si>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</si>
  <si>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</si>
  <si>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</si>
  <si>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</si>
  <si>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</si>
  <si>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</si>
  <si>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</si>
  <si>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</si>
  <si>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</si>
  <si>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</si>
  <si>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</si>
  <si>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</si>
  <si>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</si>
  <si>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</si>
  <si>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</si>
  <si>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</si>
  <si>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</si>
  <si>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</si>
  <si>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</si>
  <si>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</si>
  <si>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</si>
  <si>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</si>
  <si>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</si>
  <si>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</si>
  <si>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</si>
  <si>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</si>
  <si>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</si>
  <si>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</si>
  <si>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</si>
  <si>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</si>
  <si>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</si>
  <si>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</si>
  <si>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</si>
  <si>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</si>
  <si>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</si>
  <si>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</si>
  <si>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</si>
  <si>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</si>
  <si>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</si>
  <si>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</si>
  <si>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</si>
  <si>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</si>
  <si>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</si>
  <si>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</si>
  <si>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</si>
  <si>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</si>
  <si>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</si>
  <si>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</si>
  <si>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</si>
  <si>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</si>
  <si>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</si>
  <si>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</si>
  <si>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</si>
  <si>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</si>
  <si>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</si>
  <si>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</si>
  <si>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</si>
  <si>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</si>
  <si>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</si>
  <si>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</si>
  <si>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</si>
  <si>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</si>
  <si>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</si>
  <si>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</si>
  <si>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</si>
  <si>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</si>
  <si>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</si>
  <si>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</si>
  <si>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</si>
  <si>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</si>
  <si>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</si>
  <si>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</si>
  <si>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</si>
  <si>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</si>
  <si>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</si>
  <si>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</si>
  <si>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</si>
  <si>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</si>
  <si>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</si>
  <si>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</si>
  <si>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</si>
  <si>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</si>
  <si>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</si>
  <si>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</si>
  <si>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</si>
  <si>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</si>
  <si>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</si>
  <si>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</si>
  <si>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</si>
  <si>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</si>
  <si>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</si>
  <si>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</si>
  <si>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</si>
  <si>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</si>
  <si>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</si>
  <si>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</si>
  <si>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</si>
  <si>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</si>
  <si>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</si>
  <si>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</si>
  <si>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</si>
  <si>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</si>
  <si>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</si>
  <si>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</si>
  <si>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</si>
  <si>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</si>
  <si>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</si>
  <si>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</si>
  <si>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</si>
  <si>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</si>
  <si>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</si>
  <si>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</si>
  <si>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</si>
  <si>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</si>
  <si>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</si>
  <si>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</si>
  <si>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</si>
  <si>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</si>
  <si>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</si>
  <si>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</si>
  <si>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</si>
  <si>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</si>
  <si>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</si>
  <si>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</si>
  <si>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</si>
  <si>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</si>
  <si>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</si>
  <si>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</si>
  <si>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</si>
  <si>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</si>
  <si>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</si>
  <si>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</si>
  <si>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</si>
  <si>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</si>
  <si>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</si>
  <si>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</si>
  <si>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</si>
  <si>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</si>
  <si>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</si>
  <si>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</si>
  <si>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</si>
  <si>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</si>
  <si>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</si>
  <si>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</si>
  <si>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</si>
  <si>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</si>
  <si>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</si>
  <si>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</si>
  <si>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</si>
  <si>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</si>
  <si>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</si>
  <si>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</si>
  <si>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</si>
  <si>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</si>
  <si>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</si>
  <si>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</si>
  <si>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</si>
  <si>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</si>
  <si>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</si>
  <si>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</si>
  <si>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</si>
  <si>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</si>
  <si>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</si>
  <si>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</si>
  <si>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</si>
  <si>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</si>
  <si>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</si>
  <si>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</si>
  <si>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</si>
  <si>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</si>
  <si>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</si>
  <si>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</si>
  <si>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</si>
  <si>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</si>
  <si>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</si>
  <si>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</si>
  <si>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</si>
  <si>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</si>
  <si>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</si>
  <si>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</si>
  <si>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</si>
  <si>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</si>
  <si>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</si>
  <si>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</si>
  <si>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</si>
  <si>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</si>
  <si>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</si>
  <si>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</si>
  <si>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</si>
  <si>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</si>
  <si>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</si>
  <si>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</si>
  <si>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</si>
  <si>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</si>
  <si>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</si>
  <si>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</si>
  <si>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</si>
  <si>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</si>
  <si>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</si>
  <si>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</si>
  <si>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</si>
  <si>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</si>
  <si>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</si>
  <si>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</si>
  <si>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</si>
  <si>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</si>
  <si>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</si>
  <si>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</si>
  <si>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</si>
  <si>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</si>
  <si>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</si>
  <si>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</si>
  <si>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</si>
  <si>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</si>
  <si>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</si>
  <si>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</si>
  <si>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</si>
  <si>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</si>
  <si>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</si>
  <si>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</si>
  <si>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</si>
  <si>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</si>
  <si>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</si>
  <si>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</si>
  <si>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</si>
  <si>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</si>
  <si>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</si>
  <si>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</si>
  <si>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</si>
  <si>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</si>
  <si>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</si>
  <si>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</si>
  <si>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</si>
  <si>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</si>
  <si>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</si>
  <si>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</si>
  <si>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</si>
  <si>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</si>
  <si>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</si>
  <si>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</si>
  <si>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</si>
  <si>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</si>
  <si>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</si>
  <si>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</si>
  <si>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</si>
  <si>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</si>
  <si>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</si>
  <si>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</si>
  <si>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</si>
  <si>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</si>
  <si>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</si>
  <si>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</si>
  <si>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</si>
  <si>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</si>
  <si>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</si>
  <si>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</si>
  <si>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</si>
  <si>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</si>
  <si>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</si>
  <si>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</si>
  <si>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</si>
  <si>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</si>
  <si>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</si>
  <si>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</si>
  <si>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</si>
  <si>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</si>
  <si>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</si>
  <si>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</si>
  <si>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</si>
  <si>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</si>
  <si>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</si>
  <si>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</si>
  <si>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</si>
  <si>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</si>
  <si>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</si>
  <si>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</si>
  <si>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</si>
  <si>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</si>
  <si>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</si>
  <si>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</si>
  <si>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</si>
  <si>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</si>
  <si>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</si>
  <si>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</si>
  <si>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</si>
  <si>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</si>
  <si>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</si>
  <si>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</si>
  <si>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</si>
  <si>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</si>
  <si>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</si>
  <si>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</si>
  <si>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</si>
  <si>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</si>
  <si>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</si>
  <si>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</si>
  <si>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</si>
  <si>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</si>
  <si>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</si>
  <si>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</si>
  <si>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</si>
  <si>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</si>
  <si>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</si>
  <si>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</si>
  <si>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</si>
  <si>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</si>
  <si>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</si>
  <si>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</si>
  <si>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</si>
  <si>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</si>
  <si>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</si>
  <si>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</si>
  <si>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</si>
  <si>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</si>
  <si>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</si>
  <si>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</si>
  <si>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</si>
  <si>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</si>
  <si>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</si>
  <si>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</si>
  <si>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</si>
  <si>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</si>
  <si>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</si>
  <si>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</si>
  <si>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</si>
  <si>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</si>
  <si>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</si>
  <si>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</si>
  <si>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</si>
  <si>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</si>
  <si>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</si>
  <si>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</si>
  <si>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</si>
  <si>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</si>
  <si>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</si>
  <si>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</si>
  <si>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</si>
  <si>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</si>
  <si>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</si>
  <si>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</si>
  <si>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</si>
  <si>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</si>
  <si>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</si>
  <si>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</si>
  <si>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</si>
  <si>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</si>
  <si>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</si>
  <si>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</si>
  <si>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</si>
  <si>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</si>
  <si>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</si>
  <si>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</si>
  <si>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</si>
  <si>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</si>
  <si>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</si>
  <si>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</si>
  <si>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</si>
  <si>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</si>
  <si>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</si>
  <si>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</si>
  <si>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</si>
  <si>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</si>
  <si>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</si>
  <si>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</si>
  <si>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</si>
  <si>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</si>
  <si>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</si>
  <si>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</si>
  <si>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</si>
  <si>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</si>
  <si>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</si>
  <si>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</si>
  <si>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</si>
  <si>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</si>
  <si>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</si>
  <si>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</si>
  <si>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</si>
  <si>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</si>
  <si>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</si>
  <si>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</si>
  <si>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</si>
  <si>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</si>
  <si>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</si>
  <si>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</si>
  <si>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</si>
  <si>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</si>
  <si>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</si>
  <si>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</si>
  <si>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</si>
  <si>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</si>
  <si>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</si>
  <si>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</si>
  <si>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</si>
  <si>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</si>
  <si>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</si>
  <si>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</si>
  <si>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</si>
  <si>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</si>
  <si>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</si>
  <si>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</si>
  <si>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</si>
  <si>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</si>
  <si>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</si>
  <si>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</si>
  <si>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</si>
  <si>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</si>
  <si>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</si>
  <si>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</si>
  <si>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</si>
  <si>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</si>
  <si>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</si>
  <si>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</si>
  <si>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</si>
  <si>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</si>
  <si>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</si>
  <si>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</si>
  <si>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</si>
  <si>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</si>
  <si>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</si>
  <si>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</si>
  <si>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</si>
  <si>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</si>
  <si>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</si>
  <si>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</si>
  <si>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</si>
  <si>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</si>
  <si>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</si>
  <si>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</si>
  <si>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</si>
  <si>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</si>
  <si>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</si>
  <si>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</si>
  <si>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</si>
  <si>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</si>
  <si>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</si>
  <si>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</si>
  <si>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</si>
  <si>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</si>
  <si>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</si>
  <si>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</si>
  <si>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</si>
  <si>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</si>
  <si>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</si>
  <si>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</si>
  <si>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</si>
  <si>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</si>
  <si>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</si>
  <si>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</si>
  <si>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</si>
  <si>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</si>
  <si>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</si>
  <si>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</si>
  <si>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</si>
  <si>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</si>
  <si>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</si>
  <si>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</si>
  <si>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</si>
  <si>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</si>
  <si>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</si>
  <si>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</si>
  <si>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</si>
  <si>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</si>
  <si>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</si>
  <si>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</si>
  <si>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</si>
  <si>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</si>
  <si>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</si>
  <si>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</si>
  <si>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</si>
  <si>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</si>
  <si>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</si>
  <si>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</si>
  <si>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</si>
  <si>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</si>
  <si>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</si>
  <si>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</si>
  <si>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</si>
  <si>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</si>
  <si>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</si>
  <si>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</si>
  <si>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</si>
  <si>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</si>
  <si>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</si>
  <si>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</si>
  <si>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</si>
  <si>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</si>
  <si>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</si>
  <si>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</si>
  <si>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</si>
  <si>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</si>
  <si>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</si>
  <si>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</si>
  <si>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</si>
  <si>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</si>
  <si>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</si>
  <si>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</si>
  <si>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</si>
  <si>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</si>
  <si>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</si>
  <si>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</si>
  <si>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Succesful</t>
  </si>
  <si>
    <t>Successful campaigns</t>
  </si>
  <si>
    <t>Mean</t>
  </si>
  <si>
    <t>Median</t>
  </si>
  <si>
    <t>Minimum</t>
  </si>
  <si>
    <t>Maximum</t>
  </si>
  <si>
    <t>Variance</t>
  </si>
  <si>
    <t>Standard Deviation</t>
  </si>
  <si>
    <t>Failed campaigns</t>
  </si>
  <si>
    <t>Sample</t>
  </si>
  <si>
    <t>over +1 std Dev</t>
  </si>
  <si>
    <t>stdev+mean</t>
  </si>
  <si>
    <t>stdev(2)+mean</t>
  </si>
  <si>
    <t>stdev(3)+mean</t>
  </si>
  <si>
    <t>over +2 std Dev</t>
  </si>
  <si>
    <t>over +3 std Dev</t>
  </si>
  <si>
    <t>Z-Score</t>
  </si>
  <si>
    <t>(Multiple Items)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</si>
  <si>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</si>
  <si>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</si>
  <si>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</si>
  <si>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</si>
  <si>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</si>
  <si>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</si>
  <si>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</si>
  <si>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</si>
  <si>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</si>
  <si>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</si>
  <si>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(blank)</t>
  </si>
  <si>
    <t>First Quartile:</t>
  </si>
  <si>
    <t>Second Quartile:</t>
  </si>
  <si>
    <t>Third Quartile:</t>
  </si>
  <si>
    <t>Interquartile Range:</t>
  </si>
  <si>
    <t>Q1 Boundary</t>
  </si>
  <si>
    <t>Q3 Boundary</t>
  </si>
  <si>
    <t>Obervations over Q3 boundary</t>
  </si>
  <si>
    <t>% of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</si>
</sst>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165" fontId="0" fillId="0" borderId="0" xfId="42" applyNumberFormat="1" applyFon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166" fontId="0" fillId="0" borderId="0" xfId="43" applyNumberFormat="1" applyFont="1"/>
    <xf numFmtId="1" fontId="0" fillId="0" borderId="0" xfId="43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/>
        <i val="0"/>
        <color rgb="FFC00000"/>
      </font>
      <fill>
        <gradientFill degree="90">
          <stop position="0">
            <color rgb="FFFFCCCC"/>
          </stop>
          <stop position="1">
            <color rgb="FFFF3B3B"/>
          </stop>
        </gradientFill>
      </fill>
    </dxf>
    <dxf>
      <font>
        <b/>
        <i val="0"/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ont>
        <b/>
        <i val="0"/>
        <color theme="4" tint="-0.24994659260841701"/>
      </font>
      <fill>
        <gradientFill degree="90">
          <stop position="0">
            <color theme="8" tint="0.80001220740379042"/>
          </stop>
          <stop position="1">
            <color theme="4" tint="0.40000610370189521"/>
          </stop>
        </gradientFill>
      </fill>
    </dxf>
    <dxf>
      <font>
        <b/>
        <i val="0"/>
        <color theme="7" tint="-0.499984740745262"/>
      </font>
      <fill>
        <gradientFill degree="90">
          <stop position="0">
            <color theme="7" tint="0.80001220740379042"/>
          </stop>
          <stop position="1">
            <color theme="7"/>
          </stop>
        </gradientFill>
      </fill>
    </dxf>
    <dxf>
      <font>
        <b/>
        <i val="0"/>
        <color rgb="FFC00000"/>
      </font>
      <fill>
        <gradientFill degree="90">
          <stop position="0">
            <color rgb="FFFFCCCC"/>
          </stop>
          <stop position="1">
            <color rgb="FFFF3B3B"/>
          </stop>
        </gradientFill>
      </fill>
    </dxf>
    <dxf>
      <font>
        <b/>
        <i val="0"/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ont>
        <b/>
        <i val="0"/>
        <color theme="4" tint="-0.24994659260841701"/>
      </font>
      <fill>
        <gradientFill degree="90">
          <stop position="0">
            <color theme="8" tint="0.80001220740379042"/>
          </stop>
          <stop position="1">
            <color theme="4" tint="0.40000610370189521"/>
          </stop>
        </gradientFill>
      </fill>
    </dxf>
    <dxf>
      <font>
        <b/>
        <i val="0"/>
        <color theme="7" tint="-0.499984740745262"/>
      </font>
      <fill>
        <gradientFill degree="90">
          <stop position="0">
            <color theme="7" tint="0.80001220740379042"/>
          </stop>
          <stop position="1">
            <color theme="7"/>
          </stop>
        </gradientFill>
      </fill>
    </dxf>
    <dxf>
      <font>
        <b/>
        <i val="0"/>
        <color rgb="FFC00000"/>
      </font>
      <fill>
        <gradientFill degree="90">
          <stop position="0">
            <color rgb="FFFFCCCC"/>
          </stop>
          <stop position="1">
            <color rgb="FFFF3B3B"/>
          </stop>
        </gradientFill>
      </fill>
    </dxf>
    <dxf>
      <font>
        <b/>
        <i val="0"/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ont>
        <b/>
        <i val="0"/>
        <color theme="4" tint="-0.24994659260841701"/>
      </font>
      <fill>
        <gradientFill degree="90">
          <stop position="0">
            <color theme="8" tint="0.80001220740379042"/>
          </stop>
          <stop position="1">
            <color theme="4" tint="0.40000610370189521"/>
          </stop>
        </gradientFill>
      </fill>
    </dxf>
    <dxf>
      <font>
        <b/>
        <i val="0"/>
        <color theme="7" tint="-0.499984740745262"/>
      </font>
      <fill>
        <gradientFill degree="90">
          <stop position="0">
            <color theme="7" tint="0.80001220740379042"/>
          </stop>
          <stop position="1">
            <color theme="7"/>
          </stop>
        </gradientFill>
      </fill>
    </dxf>
    <dxf>
      <font>
        <b/>
        <i val="0"/>
        <color rgb="FFC00000"/>
      </font>
      <fill>
        <gradientFill degree="90">
          <stop position="0">
            <color rgb="FFFFCCCC"/>
          </stop>
          <stop position="1">
            <color rgb="FFFF3B3B"/>
          </stop>
        </gradientFill>
      </fill>
    </dxf>
    <dxf>
      <font>
        <b/>
        <i val="0"/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ont>
        <b/>
        <i val="0"/>
        <color theme="4" tint="-0.24994659260841701"/>
      </font>
      <fill>
        <gradientFill degree="90">
          <stop position="0">
            <color theme="8" tint="0.80001220740379042"/>
          </stop>
          <stop position="1">
            <color theme="4" tint="0.40000610370189521"/>
          </stop>
        </gradientFill>
      </fill>
    </dxf>
    <dxf>
      <font>
        <b/>
        <i val="0"/>
        <color theme="7" tint="-0.499984740745262"/>
      </font>
      <fill>
        <gradientFill degree="90">
          <stop position="0">
            <color theme="7" tint="0.80001220740379042"/>
          </stop>
          <stop position="1">
            <color theme="7"/>
          </stop>
        </gradientFill>
      </fill>
    </dxf>
    <dxf>
      <font>
        <b/>
        <i val="0"/>
        <color rgb="FFC00000"/>
      </font>
      <fill>
        <gradientFill degree="90">
          <stop position="0">
            <color rgb="FFFFCCCC"/>
          </stop>
          <stop position="1">
            <color rgb="FFFF3B3B"/>
          </stop>
        </gradientFill>
      </fill>
    </dxf>
    <dxf>
      <font>
        <b/>
        <i val="0"/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ont>
        <b/>
        <i val="0"/>
        <color theme="4" tint="-0.24994659260841701"/>
      </font>
      <fill>
        <gradientFill degree="90">
          <stop position="0">
            <color theme="8" tint="0.80001220740379042"/>
          </stop>
          <stop position="1">
            <color theme="4" tint="0.40000610370189521"/>
          </stop>
        </gradientFill>
      </fill>
    </dxf>
    <dxf>
      <font>
        <b/>
        <i val="0"/>
        <color theme="7" tint="-0.499984740745262"/>
      </font>
      <fill>
        <gradientFill degree="90">
          <stop position="0">
            <color theme="7" tint="0.80001220740379042"/>
          </stop>
          <stop position="1">
            <color theme="7"/>
          </stop>
        </gradientFill>
      </fill>
    </dxf>
  </dxfs>
  <tableStyles count="0" defaultTableStyle="TableStyleMedium2" defaultPivotStyle="PivotStyleLight16"/>
  <colors>
    <mruColors>
      <color rgb="FFFF3B3B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[CrowdfundingBook1.xlsx]Chart by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6-4E93-8CFB-C65262CAE008}"/>
            </c:ext>
          </c:extLst>
        </c:ser>
        <c:ser>
          <c:idx val="1"/>
          <c:order val="1"/>
          <c:tx>
            <c:strRef>
              <c:f>'Chart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6-4E93-8CFB-C65262CAE008}"/>
            </c:ext>
          </c:extLst>
        </c:ser>
        <c:ser>
          <c:idx val="2"/>
          <c:order val="2"/>
          <c:tx>
            <c:strRef>
              <c:f>'Chart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6-4E93-8CFB-C65262CAE008}"/>
            </c:ext>
          </c:extLst>
        </c:ser>
        <c:ser>
          <c:idx val="3"/>
          <c:order val="3"/>
          <c:tx>
            <c:strRef>
              <c:f>'Chart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2-4DDE-A31A-E7EF52C3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577440"/>
        <c:axId val="115580768"/>
      </c:barChart>
      <c:catAx>
        <c:axId val="1155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0768"/>
        <c:crosses val="autoZero"/>
        <c:auto val="1"/>
        <c:lblAlgn val="ctr"/>
        <c:lblOffset val="100"/>
        <c:noMultiLvlLbl val="0"/>
      </c:catAx>
      <c:valAx>
        <c:axId val="1155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[CrowdfundingBook1.xlsx]Chart by 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'Chart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8-4289-AC18-558B23AC6008}"/>
            </c:ext>
          </c:extLst>
        </c:ser>
        <c:ser>
          <c:idx val="1"/>
          <c:order val="1"/>
          <c:tx>
            <c:strRef>
              <c:f>'Chart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8-4289-AC18-558B23AC6008}"/>
            </c:ext>
          </c:extLst>
        </c:ser>
        <c:ser>
          <c:idx val="2"/>
          <c:order val="2"/>
          <c:tx>
            <c:strRef>
              <c:f>'Chart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8-4289-AC18-558B23AC6008}"/>
            </c:ext>
          </c:extLst>
        </c:ser>
        <c:ser>
          <c:idx val="3"/>
          <c:order val="3"/>
          <c:tx>
            <c:strRef>
              <c:f>'Chart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F-49C5-84FF-77071134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577440"/>
        <c:axId val="115580768"/>
      </c:barChart>
      <c:catAx>
        <c:axId val="1155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0768"/>
        <c:crosses val="autoZero"/>
        <c:auto val="1"/>
        <c:lblAlgn val="ctr"/>
        <c:lblOffset val="100"/>
        <c:noMultiLvlLbl val="0"/>
      </c:catAx>
      <c:valAx>
        <c:axId val="1155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[CrowdfundingBook1.xlsx]chart by subcategory!PivotTable3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4-4E2D-BE7E-AABDF6B1C3BC}"/>
            </c:ext>
          </c:extLst>
        </c:ser>
        <c:ser>
          <c:idx val="1"/>
          <c:order val="1"/>
          <c:tx>
            <c:strRef>
              <c:f>'chart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F4-4E2D-BE7E-AABDF6B1C3BC}"/>
            </c:ext>
          </c:extLst>
        </c:ser>
        <c:ser>
          <c:idx val="2"/>
          <c:order val="2"/>
          <c:tx>
            <c:strRef>
              <c:f>'chart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F4-4E2D-BE7E-AABDF6B1C3BC}"/>
            </c:ext>
          </c:extLst>
        </c:ser>
        <c:ser>
          <c:idx val="3"/>
          <c:order val="3"/>
          <c:tx>
            <c:strRef>
              <c:f>'chart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3-4A15-95BA-028EF768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79806192"/>
        <c:axId val="279798288"/>
      </c:barChart>
      <c:catAx>
        <c:axId val="2798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98288"/>
        <c:crosses val="autoZero"/>
        <c:auto val="1"/>
        <c:lblAlgn val="ctr"/>
        <c:lblOffset val="100"/>
        <c:noMultiLvlLbl val="0"/>
      </c:catAx>
      <c:valAx>
        <c:axId val="2797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5-42D0-BF9E-495D4C711C31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5-42D0-BF9E-495D4C711C31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5-42D0-BF9E-495D4C711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580976"/>
        <c:axId val="796581392"/>
      </c:lineChart>
      <c:catAx>
        <c:axId val="7965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81392"/>
        <c:crosses val="autoZero"/>
        <c:auto val="1"/>
        <c:lblAlgn val="ctr"/>
        <c:lblOffset val="100"/>
        <c:noMultiLvlLbl val="0"/>
      </c:catAx>
      <c:valAx>
        <c:axId val="7965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[CrowdfundingBook1.xlsx]Chart by year!PivotTable2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by year'!$B$5:$B$6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by year'!$A$7:$A$17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'Chart by year'!$B$7:$B$17</c:f>
              <c:numCache>
                <c:formatCode>General</c:formatCode>
                <c:ptCount val="10"/>
                <c:pt idx="1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2-487A-92AF-521BF7EB9673}"/>
            </c:ext>
          </c:extLst>
        </c:ser>
        <c:ser>
          <c:idx val="1"/>
          <c:order val="1"/>
          <c:tx>
            <c:strRef>
              <c:f>'Chart by year'!$C$5:$C$6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by year'!$A$7:$A$17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'Chart by year'!$C$7:$C$17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2-487A-92AF-521BF7EB9673}"/>
            </c:ext>
          </c:extLst>
        </c:ser>
        <c:ser>
          <c:idx val="2"/>
          <c:order val="2"/>
          <c:tx>
            <c:strRef>
              <c:f>'Chart by year'!$D$5:$D$6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by year'!$A$7:$A$17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'Chart by year'!$D$7:$D$17</c:f>
              <c:numCache>
                <c:formatCode>General</c:formatCode>
                <c:ptCount val="10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2-487A-92AF-521BF7EB9673}"/>
            </c:ext>
          </c:extLst>
        </c:ser>
        <c:ser>
          <c:idx val="3"/>
          <c:order val="3"/>
          <c:tx>
            <c:strRef>
              <c:f>'Chart by year'!$E$5:$E$6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'Chart by year'!$A$7:$A$17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'Chart by year'!$E$7:$E$17</c:f>
              <c:numCache>
                <c:formatCode>General</c:formatCode>
                <c:ptCount val="10"/>
                <c:pt idx="0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2-487A-92AF-521BF7EB9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707519"/>
        <c:axId val="2107700447"/>
      </c:lineChart>
      <c:catAx>
        <c:axId val="210770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00447"/>
        <c:crosses val="autoZero"/>
        <c:auto val="1"/>
        <c:lblAlgn val="ctr"/>
        <c:lblOffset val="100"/>
        <c:noMultiLvlLbl val="0"/>
      </c:catAx>
      <c:valAx>
        <c:axId val="21077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[CrowdfundingBook1.xlsx]Sample by country!PivotTable3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'Sample by country'!$B$4:$B$5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 by country'!$A$6:$A$14</c:f>
              <c:strCache>
                <c:ptCount val="8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  <c:pt idx="7">
                  <c:v>(blank)</c:v>
                </c:pt>
              </c:strCache>
            </c:strRef>
          </c:cat>
          <c:val>
            <c:numRef>
              <c:f>'Sample by country'!$B$6:$B$14</c:f>
              <c:numCache>
                <c:formatCode>0.00%</c:formatCode>
                <c:ptCount val="8"/>
                <c:pt idx="0">
                  <c:v>3.5087719298245612E-2</c:v>
                </c:pt>
                <c:pt idx="1">
                  <c:v>3.5087719298245612E-2</c:v>
                </c:pt>
                <c:pt idx="2">
                  <c:v>7.0175438596491224E-2</c:v>
                </c:pt>
                <c:pt idx="3">
                  <c:v>1.7543859649122806E-2</c:v>
                </c:pt>
                <c:pt idx="4">
                  <c:v>1.7543859649122806E-2</c:v>
                </c:pt>
                <c:pt idx="5">
                  <c:v>5.2631578947368418E-2</c:v>
                </c:pt>
                <c:pt idx="6">
                  <c:v>0.77192982456140347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1-404B-A832-D0D7005957F0}"/>
            </c:ext>
          </c:extLst>
        </c:ser>
        <c:ser>
          <c:idx val="1"/>
          <c:order val="1"/>
          <c:tx>
            <c:strRef>
              <c:f>'Sample by country'!$C$4:$C$5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'Sample by country'!$A$6:$A$14</c:f>
              <c:strCache>
                <c:ptCount val="8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  <c:pt idx="7">
                  <c:v>(blank)</c:v>
                </c:pt>
              </c:strCache>
            </c:strRef>
          </c:cat>
          <c:val>
            <c:numRef>
              <c:f>'Sample by country'!$C$6:$C$14</c:f>
              <c:numCache>
                <c:formatCode>0.00%</c:formatCode>
                <c:ptCount val="8"/>
                <c:pt idx="0">
                  <c:v>4.4198895027624308E-2</c:v>
                </c:pt>
                <c:pt idx="1">
                  <c:v>5.2486187845303865E-2</c:v>
                </c:pt>
                <c:pt idx="2">
                  <c:v>1.6574585635359115E-2</c:v>
                </c:pt>
                <c:pt idx="3">
                  <c:v>3.3149171270718231E-2</c:v>
                </c:pt>
                <c:pt idx="4">
                  <c:v>4.9723756906077346E-2</c:v>
                </c:pt>
                <c:pt idx="5">
                  <c:v>4.9723756906077346E-2</c:v>
                </c:pt>
                <c:pt idx="6">
                  <c:v>0.7541436464088398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1-404B-A832-D0D7005957F0}"/>
            </c:ext>
          </c:extLst>
        </c:ser>
        <c:ser>
          <c:idx val="2"/>
          <c:order val="2"/>
          <c:tx>
            <c:strRef>
              <c:f>'Sample by country'!$D$4:$D$5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'Sample by country'!$A$6:$A$14</c:f>
              <c:strCache>
                <c:ptCount val="8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  <c:pt idx="7">
                  <c:v>(blank)</c:v>
                </c:pt>
              </c:strCache>
            </c:strRef>
          </c:cat>
          <c:val>
            <c:numRef>
              <c:f>'Sample by country'!$D$6:$D$14</c:f>
              <c:numCache>
                <c:formatCode>0.00%</c:formatCode>
                <c:ptCount val="8"/>
                <c:pt idx="0">
                  <c:v>7.1428571428571425E-2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7.1428571428571425E-2</c:v>
                </c:pt>
                <c:pt idx="4">
                  <c:v>7.1428571428571425E-2</c:v>
                </c:pt>
                <c:pt idx="5">
                  <c:v>0</c:v>
                </c:pt>
                <c:pt idx="6">
                  <c:v>0.6428571428571429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1-404B-A832-D0D7005957F0}"/>
            </c:ext>
          </c:extLst>
        </c:ser>
        <c:ser>
          <c:idx val="3"/>
          <c:order val="3"/>
          <c:tx>
            <c:strRef>
              <c:f>'Sample by country'!$E$4:$E$5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'Sample by country'!$A$6:$A$14</c:f>
              <c:strCache>
                <c:ptCount val="8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  <c:pt idx="7">
                  <c:v>(blank)</c:v>
                </c:pt>
              </c:strCache>
            </c:strRef>
          </c:cat>
          <c:val>
            <c:numRef>
              <c:f>'Sample by country'!$E$6:$E$14</c:f>
              <c:numCache>
                <c:formatCode>0.00%</c:formatCode>
                <c:ptCount val="8"/>
                <c:pt idx="0">
                  <c:v>4.247787610619469E-2</c:v>
                </c:pt>
                <c:pt idx="1">
                  <c:v>3.8938053097345132E-2</c:v>
                </c:pt>
                <c:pt idx="2">
                  <c:v>2.1238938053097345E-2</c:v>
                </c:pt>
                <c:pt idx="3">
                  <c:v>3.0088495575221239E-2</c:v>
                </c:pt>
                <c:pt idx="4">
                  <c:v>4.9557522123893805E-2</c:v>
                </c:pt>
                <c:pt idx="5">
                  <c:v>4.6017699115044247E-2</c:v>
                </c:pt>
                <c:pt idx="6">
                  <c:v>0.77168141592920358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1-404B-A832-D0D7005957F0}"/>
            </c:ext>
          </c:extLst>
        </c:ser>
        <c:ser>
          <c:idx val="4"/>
          <c:order val="4"/>
          <c:tx>
            <c:strRef>
              <c:f>'Sample by country'!$F$4:$F$5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'Sample by country'!$A$6:$A$14</c:f>
              <c:strCache>
                <c:ptCount val="8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  <c:pt idx="7">
                  <c:v>(blank)</c:v>
                </c:pt>
              </c:strCache>
            </c:strRef>
          </c:cat>
          <c:val>
            <c:numRef>
              <c:f>'Sample by country'!$F$6:$F$14</c:f>
              <c:numCache>
                <c:formatCode>0.00%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51-404B-A832-D0D700595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79806192"/>
        <c:axId val="279798288"/>
      </c:barChart>
      <c:catAx>
        <c:axId val="27980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98288"/>
        <c:crosses val="autoZero"/>
        <c:auto val="1"/>
        <c:lblAlgn val="ctr"/>
        <c:lblOffset val="100"/>
        <c:noMultiLvlLbl val="0"/>
      </c:catAx>
      <c:valAx>
        <c:axId val="2797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[CrowdfundingBook1.xlsx]subcategory by year!PivotTable3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'subcategory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by year'!$A$6:$A$16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'subcategory by year'!$B$6:$B$16</c:f>
              <c:numCache>
                <c:formatCode>General</c:formatCode>
                <c:ptCount val="10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F-4861-9540-10A5C5384B8A}"/>
            </c:ext>
          </c:extLst>
        </c:ser>
        <c:ser>
          <c:idx val="1"/>
          <c:order val="1"/>
          <c:tx>
            <c:strRef>
              <c:f>'subcategory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by year'!$A$6:$A$16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'subcategory by year'!$C$6:$C$16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F-4861-9540-10A5C5384B8A}"/>
            </c:ext>
          </c:extLst>
        </c:ser>
        <c:ser>
          <c:idx val="2"/>
          <c:order val="2"/>
          <c:tx>
            <c:strRef>
              <c:f>'subcategory by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by year'!$A$6:$A$16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'subcategory by year'!$D$6:$D$16</c:f>
              <c:numCache>
                <c:formatCode>General</c:formatCode>
                <c:ptCount val="10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F-4861-9540-10A5C5384B8A}"/>
            </c:ext>
          </c:extLst>
        </c:ser>
        <c:ser>
          <c:idx val="3"/>
          <c:order val="3"/>
          <c:tx>
            <c:strRef>
              <c:f>'subcategory by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by year'!$A$6:$A$16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'subcategory by year'!$E$6:$E$16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F-4861-9540-10A5C53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79806192"/>
        <c:axId val="279798288"/>
      </c:barChart>
      <c:catAx>
        <c:axId val="27980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98288"/>
        <c:crosses val="autoZero"/>
        <c:auto val="1"/>
        <c:lblAlgn val="ctr"/>
        <c:lblOffset val="100"/>
        <c:noMultiLvlLbl val="0"/>
      </c:catAx>
      <c:valAx>
        <c:axId val="2797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[CrowdfundingBook1.xlsx]Chart with Date created!PivotTable6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with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with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with Date created'!$B$6:$B$18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2-4EFA-8FA1-0EECCD2117CF}"/>
            </c:ext>
          </c:extLst>
        </c:ser>
        <c:ser>
          <c:idx val="1"/>
          <c:order val="1"/>
          <c:tx>
            <c:strRef>
              <c:f>'Chart with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with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with Date created'!$C$6:$C$18</c:f>
              <c:numCache>
                <c:formatCode>General</c:formatCode>
                <c:ptCount val="12"/>
                <c:pt idx="0">
                  <c:v>14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02-4EFA-8FA1-0EECCD2117CF}"/>
            </c:ext>
          </c:extLst>
        </c:ser>
        <c:ser>
          <c:idx val="2"/>
          <c:order val="2"/>
          <c:tx>
            <c:strRef>
              <c:f>'Chart with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 with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with Date created'!$D$6:$D$18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21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02-4EFA-8FA1-0EECCD21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897648"/>
        <c:axId val="694906800"/>
      </c:lineChart>
      <c:catAx>
        <c:axId val="6948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06800"/>
        <c:crosses val="autoZero"/>
        <c:auto val="1"/>
        <c:lblAlgn val="ctr"/>
        <c:lblOffset val="100"/>
        <c:noMultiLvlLbl val="0"/>
      </c:catAx>
      <c:valAx>
        <c:axId val="6949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2</xdr:row>
      <xdr:rowOff>160020</xdr:rowOff>
    </xdr:from>
    <xdr:to>
      <xdr:col>15</xdr:col>
      <xdr:colOff>152400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0A874-87A2-19FA-7BEB-C83BF9F5A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21</xdr:row>
      <xdr:rowOff>38100</xdr:rowOff>
    </xdr:from>
    <xdr:to>
      <xdr:col>15</xdr:col>
      <xdr:colOff>121920</xdr:colOff>
      <xdr:row>39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6390C-994E-4AF9-A743-A721EE10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137160</xdr:rowOff>
    </xdr:from>
    <xdr:to>
      <xdr:col>17</xdr:col>
      <xdr:colOff>220980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FD1F7-0462-EA37-3FC4-1C2FAB06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14</xdr:row>
      <xdr:rowOff>41910</xdr:rowOff>
    </xdr:from>
    <xdr:to>
      <xdr:col>8</xdr:col>
      <xdr:colOff>91440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5C18C-B374-4A41-4F32-48DF2CBA8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125730</xdr:colOff>
      <xdr:row>3</xdr:row>
      <xdr:rowOff>156210</xdr:rowOff>
    </xdr:from>
    <xdr:to>
      <xdr:col>17</xdr:col>
      <xdr:colOff>198120</xdr:colOff>
      <xdr:row>20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6137C-CCF7-AC7A-C8A7-EB8FBCD1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2</xdr:row>
      <xdr:rowOff>121920</xdr:rowOff>
    </xdr:from>
    <xdr:to>
      <xdr:col>14</xdr:col>
      <xdr:colOff>53340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39FF8-FE5E-4675-915D-F3FB716F4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2</xdr:row>
      <xdr:rowOff>121920</xdr:rowOff>
    </xdr:from>
    <xdr:to>
      <xdr:col>14</xdr:col>
      <xdr:colOff>53340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5328C-02AE-4BA2-8877-A82D5819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53340</xdr:rowOff>
    </xdr:from>
    <xdr:to>
      <xdr:col>14</xdr:col>
      <xdr:colOff>609600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272E3-283B-EB80-A5F9-7DB7B56AB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erto Barron" id="{61155BE4-E23F-40BD-990B-13AFDFAF5235}" userId="S::Roberto_Barron@bat.com::26d2046e-1045-4e7a-a4c5-f09c5eeae8e7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Barron" refreshedDate="44916.406937615742" createdVersion="8" refreshedVersion="8" minRefreshableVersion="3" recordCount="1001" xr:uid="{E169C51D-CDED-4C1D-85B6-E2C6F589154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99.339622641509436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75.833333333333329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102.34545454545454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5.001483679525222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5.044943820224717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05.22535211267606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12.05426356589147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08849557522126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68.8125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7.125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07.42342342342343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35.995495495495497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26.998873148744366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07.56122448979592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4.375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53.007815713698065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45.059405940594061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59.119617224880386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44.93333333333333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9.061611374407583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30.0859375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84.998125000000002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58.040160642570278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61.038135593220339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58.975609756097562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11.82352941176471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63.995555555555555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74.481481481481481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56.188235294117646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79.642857142857139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48.004773269689736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83.183333333333337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39.996000000000002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61.108374384236456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0.76106194690266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57.849056603773583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07.99508196721311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48.927777777777777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64.999141999141997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06.61061946902655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6.054878048780488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1.017857142857142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03.46315789473684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07.57831325301204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08.95414201183432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09.65079365079364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4520547945211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30.992727272727272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63.003367003367003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10.0343300110742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25.997933274284026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49.987915407854985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47.083333333333336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89.944444444444443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80.067669172932327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86.472727272727269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28.001876172607879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43.078651685393261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.987234042553197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46.905982905982903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39130434782615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992530345471522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86.066666666666663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.989583333333329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29.764705882352942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0.011588275391958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1.013192612137203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73.733333333333334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13.17073170731707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79.176829268292678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36.032520325203251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44.005985634477256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74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41.996858638743454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5.5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37.789473684210527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2.006772009029348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95.966712898751737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05.75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069767441860463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6.338461538461537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69.174603174603178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09.07824427480917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5.958333333333336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9.792682926829272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63.225000000000001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70.174999999999997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99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8.044247787610619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6.812121212121212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1.005037783375315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39.235294117647058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47.992753623188406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51.999165275459099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29.999659863945578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98.205357142857139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66.998379254457049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63.293478260869563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4.906040268456373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75.84210526315789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6.268292682926827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42.915999999999997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6.000773395204948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38.019801980198018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6.15254237288136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63.93333333333333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0.456521739130437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72.172043010752688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77.934782608695656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38.065134099616856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54.050251256281406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0.002721335268504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70.127906976744185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26.996228786926462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51.990606936416185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56.416666666666664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37.957446808510639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40.030075187969928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3.012609117361791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61.765151515151516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75.07386363636364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39.970802919708028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1.7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3.28125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43.923497267759565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88.21052631578948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7.78125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80.767605633802816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94.28235294117647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09.04109589041096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99.125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05.88429752066116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48.996525921966864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31.022556390977442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59.268518518518519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50.796875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77.068421052631578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0.99550763701707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87.003066141042481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3.994402985074629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5.9945205479452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33.013605442176868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41.005742176284812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47.009935419771487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9.606060606060606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81.010569583088667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9.826086956521742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63.893048128342244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59.928057553956833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78.209677419354833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04.77678571428571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93.702290076335885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70.090140845070422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86.611940298507463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75.126984126984127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89.227586206896547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87.979166666666671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89.54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29.09271523178808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10.44117647058823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48.012468827930178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31.019823788546255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99.203252032520325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46.060200668896321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55.99336650082919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0.981609195402299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.01469237832875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30.028708133971293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68.329787234042556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24.867469879518072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47.091324200913242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1.006080449017773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5.321428571428569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04.43617021276596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69.989010989010993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4.931726907630519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51.921875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53.003513254551258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5.911111111111111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36.952702702702702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101.19767441860465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9.001272669424118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98.225806451612897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5.205128205128204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66.997115384615384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07.91401869158878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10.3625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57142857142861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.935251798561154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01.25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422680412371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02.85915492957747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58.999637155297535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71.156069364161851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9.494252873563212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87.068592057761734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48.99554707379135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33.428571428571431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83.982949701619773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9.87058823529412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31.916666666666668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77.026890756302521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01.78125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1.059701492537314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0.87037037037037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27.908333333333335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59.990534521158132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11.6774193548387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6.014409221902014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53.046025104602514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36.067669172932334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84.717948717948715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97518330513255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06.4375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9.975609756097562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90.337500000000006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63.777777777777779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62.044554455445542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04.97857142857143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57.072874493927124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39.387755102040813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92.166666666666671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1.007063197026021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59.991289782244557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04.36296296296297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02.18852459016394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54.117647058823529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63.222222222222221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49.994334277620396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56.015151515151516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11.45945945945945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2857142857139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2.085106382978722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4.986666666666668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93.944444444444443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98.40625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41.783783783783782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65.991836734693877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2.05747126436782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48.003209242618745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07.88095238095238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96.066176470588232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1.184615384615384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43.92307692307692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91.021198830409361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61.03921568627451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032786885245905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67.103092783505161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40.03125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5.047468354430379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02.92307692307692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45.026041666666664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15384615384613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50.962184873949582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63.563636363636363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80.999165275459092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86.044753086419746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92.4375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8.65517241379311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11.15827338129496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9.986760812003524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48.998079877112133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03.84615384615384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9.127659574468083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07.37777777777778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87.962666666666664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03.5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85.994467496542185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98.011627906976742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31.012224938875306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58.857142857142854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6.013333333333335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96.597402597402592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6.957446808510639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7.984732824427482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8.781609195402297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24.99623706491063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44.922794117647058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47.003284072249592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6.0392749244713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39.927927927927925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9.97520661157025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78.728155339805824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56.081632653061227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69.090909090909093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02.05291576673866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0260223048328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6.49275362318841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42.93684210526316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30.037974683544302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0.623376623376629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96.911392405063296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11.51785714285714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6.746987951807228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97.020608439646708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2.986666666666665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87.737226277372258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72.896039603960389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8.48543689320388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65.942675159235662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29268292682926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25.00197628458498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92.013888888888886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93.066115702479337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61.008145363408524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2596685082873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73.5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10.96825396825396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2.968036529680369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84.96632653061225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25.007462686567163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87.34482758620689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31.937172774869111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08.84615384615384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428571428571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.959016393442624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30.974074074074075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47.035087719298247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88.065693430656935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10.01646903820817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79.009523809523813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86.867469879518069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6.970212765957445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41.035353535353536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1.995894428152493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86.858974358974365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32.995456610631528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8.028106508875737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58.867816091954026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05.04572803850782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78.821428571428569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0.996070133010882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52.879227053140099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005820721769496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02.38709677419355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74.466666666666669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2857142857139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75.236363636363635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07692307692307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52.958677685950413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44.028301886792455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2875536480685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08.71052631578948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2.97674418604651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55.927601809954751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12.66176470588235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81.944444444444443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11.07246376811594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95.936170212765958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43.043010752688176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67.966666666666669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58.095238095238095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88.853503184713375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32.006493506493506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64.744680851063833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34.061302681992338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93.273885350318466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053191489361708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01.98449039881831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05.9375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62.970930232558139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80.806451612903231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76.006816632583508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54.164556962025316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77.430769230769229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77.17647058823529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4.953917050691246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57.190082644628099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98.666666666666671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2.002753556677376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81.567164179104481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84.333333333333329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02.60377358490567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70.055309734513273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40.942307692307693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69.9972602739726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73.838709677419359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77.93442622950819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7.285714285714285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90.259259259259252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76.978705978705975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55.0062893081761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9.6875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54.894067796610166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0.9989832231825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07.7625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02.07770270270271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4134078212286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77.666666666666671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57.82692307692308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92.955555555555549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05.13333333333334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89.21621621621621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64.956521739130437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92.016298633017882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80.476190476190482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93.348484848484844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1.987179487179489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30.958174904942965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73.92307692307692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36.987499999999997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45.007502206531335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85714285714292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37499999999994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51.007692307692309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4545454545448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43.833333333333336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41.067632850241544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1.935483870967744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8.916666666666664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61.970370370370368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7.268656716417908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6.969040247678016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1.533333333333331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80.999140154772135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25.998410896708286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8.002083333333335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53.053097345132741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06.859375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6.020746887966808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00.17424242424242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33.115107913669064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48215-F777-486F-AF87-22543D8F809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8B595-E36B-4A8D-82B9-FDF0361ABAA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77B8F-9805-4B4C-95D7-CA541CD31F1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F1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h="1" x="4"/>
        <item h="1" x="0"/>
        <item h="1" x="6"/>
        <item h="1" x="8"/>
        <item h="1" x="1"/>
        <item x="7"/>
        <item h="1" x="5"/>
        <item h="1" x="2"/>
        <item h="1"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h="1" x="12"/>
        <item t="default"/>
      </items>
    </pivotField>
  </pivotFields>
  <rowFields count="1">
    <field x="2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item="6" hier="-1"/>
  </pageFields>
  <dataFields count="1">
    <dataField name="Count of outcome" fld="6" subtotal="count" baseField="0" baseItem="0"/>
  </dataField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7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8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9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0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7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8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9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1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000B4-7294-4607-B59B-4DCBBB64739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G14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Row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h="1" x="12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9" hier="-1"/>
    <pageField fld="21" hier="-1"/>
  </pageFields>
  <dataFields count="1">
    <dataField name="Count of outcome" fld="6" subtotal="count" showDataAs="percentOfCol" baseField="0" baseItem="0" numFmtId="10"/>
  </dataFields>
  <chartFormats count="1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5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6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7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8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9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10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1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2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3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4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5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6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7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8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9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10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11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1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2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3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4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5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6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7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8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9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1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2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3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4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5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6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7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8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9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10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6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7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8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11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12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13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15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17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18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20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22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0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2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3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4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5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6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7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8"/>
          </reference>
        </references>
      </pivotArea>
    </chartFormat>
    <chartFormat chart="1" format="7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9"/>
          </reference>
        </references>
      </pivotArea>
    </chartFormat>
    <chartFormat chart="1" format="7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0"/>
          </reference>
        </references>
      </pivotArea>
    </chartFormat>
    <chartFormat chart="1" format="7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1"/>
          </reference>
        </references>
      </pivotArea>
    </chartFormat>
    <chartFormat chart="1" format="7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2"/>
          </reference>
        </references>
      </pivotArea>
    </chartFormat>
    <chartFormat chart="1" format="7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3"/>
          </reference>
        </references>
      </pivotArea>
    </chartFormat>
    <chartFormat chart="1" format="8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4"/>
          </reference>
        </references>
      </pivotArea>
    </chartFormat>
    <chartFormat chart="1" format="8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5"/>
          </reference>
        </references>
      </pivotArea>
    </chartFormat>
    <chartFormat chart="1" format="8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6"/>
          </reference>
        </references>
      </pivotArea>
    </chartFormat>
    <chartFormat chart="1" format="8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7"/>
          </reference>
        </references>
      </pivotArea>
    </chartFormat>
    <chartFormat chart="1" format="8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8"/>
          </reference>
        </references>
      </pivotArea>
    </chartFormat>
    <chartFormat chart="1" format="8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9"/>
          </reference>
        </references>
      </pivotArea>
    </chartFormat>
    <chartFormat chart="1" format="8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20"/>
          </reference>
        </references>
      </pivotArea>
    </chartFormat>
    <chartFormat chart="1" format="8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21"/>
          </reference>
        </references>
      </pivotArea>
    </chartFormat>
    <chartFormat chart="1" format="8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22"/>
          </reference>
        </references>
      </pivotArea>
    </chartFormat>
    <chartFormat chart="1" format="8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0"/>
          </reference>
        </references>
      </pivotArea>
    </chartFormat>
    <chartFormat chart="1" format="9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2"/>
          </reference>
        </references>
      </pivotArea>
    </chartFormat>
    <chartFormat chart="1" format="9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3"/>
          </reference>
        </references>
      </pivotArea>
    </chartFormat>
    <chartFormat chart="1" format="9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10"/>
          </reference>
        </references>
      </pivotArea>
    </chartFormat>
    <chartFormat chart="1" format="9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11"/>
          </reference>
        </references>
      </pivotArea>
    </chartFormat>
    <chartFormat chart="1" format="9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12"/>
          </reference>
        </references>
      </pivotArea>
    </chartFormat>
    <chartFormat chart="1" format="9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13"/>
          </reference>
        </references>
      </pivotArea>
    </chartFormat>
    <chartFormat chart="1" format="9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17"/>
          </reference>
        </references>
      </pivotArea>
    </chartFormat>
    <chartFormat chart="1" format="9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20"/>
          </reference>
        </references>
      </pivotArea>
    </chartFormat>
    <chartFormat chart="1" format="9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21"/>
          </reference>
        </references>
      </pivotArea>
    </chartFormat>
    <chartFormat chart="1" format="9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22"/>
          </reference>
        </references>
      </pivotArea>
    </chartFormat>
    <chartFormat chart="1" format="10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0"/>
          </reference>
        </references>
      </pivotArea>
    </chartFormat>
    <chartFormat chart="1" format="10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"/>
          </reference>
        </references>
      </pivotArea>
    </chartFormat>
    <chartFormat chart="1" format="10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2"/>
          </reference>
        </references>
      </pivotArea>
    </chartFormat>
    <chartFormat chart="1" format="10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3"/>
          </reference>
        </references>
      </pivotArea>
    </chartFormat>
    <chartFormat chart="1" format="10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4"/>
          </reference>
        </references>
      </pivotArea>
    </chartFormat>
    <chartFormat chart="1" format="10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5"/>
          </reference>
        </references>
      </pivotArea>
    </chartFormat>
    <chartFormat chart="1" format="10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6"/>
          </reference>
        </references>
      </pivotArea>
    </chartFormat>
    <chartFormat chart="1" format="10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7"/>
          </reference>
        </references>
      </pivotArea>
    </chartFormat>
    <chartFormat chart="1" format="10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8"/>
          </reference>
        </references>
      </pivotArea>
    </chartFormat>
    <chartFormat chart="1" format="10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9"/>
          </reference>
        </references>
      </pivotArea>
    </chartFormat>
    <chartFormat chart="1" format="1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0"/>
          </reference>
        </references>
      </pivotArea>
    </chartFormat>
    <chartFormat chart="1" format="1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1"/>
          </reference>
        </references>
      </pivotArea>
    </chartFormat>
    <chartFormat chart="1" format="1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2"/>
          </reference>
        </references>
      </pivotArea>
    </chartFormat>
    <chartFormat chart="1" format="1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3"/>
          </reference>
        </references>
      </pivotArea>
    </chartFormat>
    <chartFormat chart="1" format="1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4"/>
          </reference>
        </references>
      </pivotArea>
    </chartFormat>
    <chartFormat chart="1" format="1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5"/>
          </reference>
        </references>
      </pivotArea>
    </chartFormat>
    <chartFormat chart="1" format="1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6"/>
          </reference>
        </references>
      </pivotArea>
    </chartFormat>
    <chartFormat chart="1" format="1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7"/>
          </reference>
        </references>
      </pivotArea>
    </chartFormat>
    <chartFormat chart="1" format="1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8"/>
          </reference>
        </references>
      </pivotArea>
    </chartFormat>
    <chartFormat chart="1" format="1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9"/>
          </reference>
        </references>
      </pivotArea>
    </chartFormat>
    <chartFormat chart="1" format="1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20"/>
          </reference>
        </references>
      </pivotArea>
    </chartFormat>
    <chartFormat chart="1" format="1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21"/>
          </reference>
        </references>
      </pivotArea>
    </chartFormat>
    <chartFormat chart="1" format="1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22"/>
          </reference>
        </references>
      </pivotArea>
    </chartFormat>
    <chartFormat chart="1" format="1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23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1EBCC-CEB2-4C28-ABE4-BF0EFE3FF8F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6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10"/>
        <item h="1" x="23"/>
        <item h="1" x="4"/>
        <item h="1" x="6"/>
        <item h="1" x="5"/>
        <item h="1" x="13"/>
        <item h="1" x="0"/>
        <item h="1" x="7"/>
        <item h="1" x="17"/>
        <item h="1" x="16"/>
        <item h="1" x="20"/>
        <item h="1" x="9"/>
        <item h="1" x="14"/>
        <item h="1" x="3"/>
        <item h="1" x="15"/>
        <item h="1" x="1"/>
        <item h="1" x="22"/>
        <item h="1" x="12"/>
        <item h="1" x="19"/>
        <item h="1" x="18"/>
        <item x="11"/>
        <item h="1" x="8"/>
        <item h="1" x="2"/>
        <item h="1"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h="1" x="12"/>
        <item t="default"/>
      </items>
    </pivotField>
  </pivotFields>
  <rowFields count="1">
    <field x="2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9" hier="-1"/>
  </pageFields>
  <dataFields count="1">
    <dataField name="Count of outcome" fld="6" subtotal="count" baseField="0" baseItem="0"/>
  </dataFields>
  <chartFormats count="1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5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6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7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8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9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10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1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2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3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4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5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6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7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8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9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10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11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1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2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3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4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5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6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7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8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9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1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2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3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4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5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6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7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8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9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10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6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7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8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11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12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13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15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17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18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20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22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0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2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3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4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5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6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7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8"/>
          </reference>
        </references>
      </pivotArea>
    </chartFormat>
    <chartFormat chart="1" format="7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9"/>
          </reference>
        </references>
      </pivotArea>
    </chartFormat>
    <chartFormat chart="1" format="7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0"/>
          </reference>
        </references>
      </pivotArea>
    </chartFormat>
    <chartFormat chart="1" format="7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1"/>
          </reference>
        </references>
      </pivotArea>
    </chartFormat>
    <chartFormat chart="1" format="7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2"/>
          </reference>
        </references>
      </pivotArea>
    </chartFormat>
    <chartFormat chart="1" format="7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3"/>
          </reference>
        </references>
      </pivotArea>
    </chartFormat>
    <chartFormat chart="1" format="8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4"/>
          </reference>
        </references>
      </pivotArea>
    </chartFormat>
    <chartFormat chart="1" format="8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5"/>
          </reference>
        </references>
      </pivotArea>
    </chartFormat>
    <chartFormat chart="1" format="8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6"/>
          </reference>
        </references>
      </pivotArea>
    </chartFormat>
    <chartFormat chart="1" format="8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7"/>
          </reference>
        </references>
      </pivotArea>
    </chartFormat>
    <chartFormat chart="1" format="8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8"/>
          </reference>
        </references>
      </pivotArea>
    </chartFormat>
    <chartFormat chart="1" format="8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9"/>
          </reference>
        </references>
      </pivotArea>
    </chartFormat>
    <chartFormat chart="1" format="8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20"/>
          </reference>
        </references>
      </pivotArea>
    </chartFormat>
    <chartFormat chart="1" format="8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21"/>
          </reference>
        </references>
      </pivotArea>
    </chartFormat>
    <chartFormat chart="1" format="8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22"/>
          </reference>
        </references>
      </pivotArea>
    </chartFormat>
    <chartFormat chart="1" format="8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0"/>
          </reference>
        </references>
      </pivotArea>
    </chartFormat>
    <chartFormat chart="1" format="9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2"/>
          </reference>
        </references>
      </pivotArea>
    </chartFormat>
    <chartFormat chart="1" format="9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3"/>
          </reference>
        </references>
      </pivotArea>
    </chartFormat>
    <chartFormat chart="1" format="9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10"/>
          </reference>
        </references>
      </pivotArea>
    </chartFormat>
    <chartFormat chart="1" format="9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11"/>
          </reference>
        </references>
      </pivotArea>
    </chartFormat>
    <chartFormat chart="1" format="9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12"/>
          </reference>
        </references>
      </pivotArea>
    </chartFormat>
    <chartFormat chart="1" format="9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13"/>
          </reference>
        </references>
      </pivotArea>
    </chartFormat>
    <chartFormat chart="1" format="9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17"/>
          </reference>
        </references>
      </pivotArea>
    </chartFormat>
    <chartFormat chart="1" format="9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20"/>
          </reference>
        </references>
      </pivotArea>
    </chartFormat>
    <chartFormat chart="1" format="9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21"/>
          </reference>
        </references>
      </pivotArea>
    </chartFormat>
    <chartFormat chart="1" format="9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9" count="1" selected="0">
            <x v="22"/>
          </reference>
        </references>
      </pivotArea>
    </chartFormat>
    <chartFormat chart="1" format="10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0"/>
          </reference>
        </references>
      </pivotArea>
    </chartFormat>
    <chartFormat chart="1" format="10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"/>
          </reference>
        </references>
      </pivotArea>
    </chartFormat>
    <chartFormat chart="1" format="10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2"/>
          </reference>
        </references>
      </pivotArea>
    </chartFormat>
    <chartFormat chart="1" format="10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3"/>
          </reference>
        </references>
      </pivotArea>
    </chartFormat>
    <chartFormat chart="1" format="10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4"/>
          </reference>
        </references>
      </pivotArea>
    </chartFormat>
    <chartFormat chart="1" format="10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5"/>
          </reference>
        </references>
      </pivotArea>
    </chartFormat>
    <chartFormat chart="1" format="10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6"/>
          </reference>
        </references>
      </pivotArea>
    </chartFormat>
    <chartFormat chart="1" format="10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7"/>
          </reference>
        </references>
      </pivotArea>
    </chartFormat>
    <chartFormat chart="1" format="10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8"/>
          </reference>
        </references>
      </pivotArea>
    </chartFormat>
    <chartFormat chart="1" format="10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9"/>
          </reference>
        </references>
      </pivotArea>
    </chartFormat>
    <chartFormat chart="1" format="1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0"/>
          </reference>
        </references>
      </pivotArea>
    </chartFormat>
    <chartFormat chart="1" format="1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1"/>
          </reference>
        </references>
      </pivotArea>
    </chartFormat>
    <chartFormat chart="1" format="1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2"/>
          </reference>
        </references>
      </pivotArea>
    </chartFormat>
    <chartFormat chart="1" format="1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3"/>
          </reference>
        </references>
      </pivotArea>
    </chartFormat>
    <chartFormat chart="1" format="1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4"/>
          </reference>
        </references>
      </pivotArea>
    </chartFormat>
    <chartFormat chart="1" format="1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5"/>
          </reference>
        </references>
      </pivotArea>
    </chartFormat>
    <chartFormat chart="1" format="1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6"/>
          </reference>
        </references>
      </pivotArea>
    </chartFormat>
    <chartFormat chart="1" format="1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7"/>
          </reference>
        </references>
      </pivotArea>
    </chartFormat>
    <chartFormat chart="1" format="1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8"/>
          </reference>
        </references>
      </pivotArea>
    </chartFormat>
    <chartFormat chart="1" format="1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9"/>
          </reference>
        </references>
      </pivotArea>
    </chartFormat>
    <chartFormat chart="1" format="1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20"/>
          </reference>
        </references>
      </pivotArea>
    </chartFormat>
    <chartFormat chart="1" format="1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21"/>
          </reference>
        </references>
      </pivotArea>
    </chartFormat>
    <chartFormat chart="1" format="1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22"/>
          </reference>
        </references>
      </pivotArea>
    </chartFormat>
    <chartFormat chart="1" format="1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A7335-A5CB-4FE2-BA31-659EF169F80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item="8" hier="-1"/>
    <pageField fld="21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8" dT="2022-12-21T18:33:03.60" personId="{61155BE4-E23F-40BD-990B-13AFDFAF5235}" id="{E2AB9E3A-6699-4F25-B68D-A2BC898F1180}">
    <text>Outliers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showGridLines="0" workbookViewId="0">
      <selection activeCell="A11" sqref="A1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bestFit="1" customWidth="1"/>
    <col min="8" max="8" width="16.5" bestFit="1" customWidth="1"/>
    <col min="9" max="9" width="13" bestFit="1" customWidth="1"/>
    <col min="12" max="12" width="11.19921875" bestFit="1" customWidth="1"/>
    <col min="13" max="13" width="26.19921875" bestFit="1" customWidth="1"/>
    <col min="14" max="14" width="11.19921875" bestFit="1" customWidth="1"/>
    <col min="15" max="15" width="11.19921875" customWidth="1"/>
    <col min="18" max="18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 s="5">
        <f t="shared" ref="H2:H65" si="0">IFERROR(E2/I2,0)</f>
        <v>0</v>
      </c>
      <c r="I2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E3/D3*100</f>
        <v>1040</v>
      </c>
      <c r="G3" t="s">
        <v>20</v>
      </c>
      <c r="H3" s="5">
        <f t="shared" si="0"/>
        <v>92.151898734177209</v>
      </c>
      <c r="I3">
        <v>158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131.4787822878229</v>
      </c>
      <c r="G4" t="s">
        <v>20</v>
      </c>
      <c r="H4" s="5">
        <f t="shared" si="0"/>
        <v>100.01614035087719</v>
      </c>
      <c r="I4">
        <v>1425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58.976190476190467</v>
      </c>
      <c r="G5" t="s">
        <v>14</v>
      </c>
      <c r="H5" s="5">
        <f t="shared" si="0"/>
        <v>103.20833333333333</v>
      </c>
      <c r="I5">
        <v>24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69.276315789473685</v>
      </c>
      <c r="G6" t="s">
        <v>14</v>
      </c>
      <c r="H6" s="5">
        <f t="shared" si="0"/>
        <v>99.339622641509436</v>
      </c>
      <c r="I6">
        <v>53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173.61842105263159</v>
      </c>
      <c r="G7" t="s">
        <v>20</v>
      </c>
      <c r="H7" s="5">
        <f t="shared" si="0"/>
        <v>75.833333333333329</v>
      </c>
      <c r="I7">
        <v>174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20.961538461538463</v>
      </c>
      <c r="G8" t="s">
        <v>14</v>
      </c>
      <c r="H8" s="5">
        <f t="shared" si="0"/>
        <v>60.555555555555557</v>
      </c>
      <c r="I8">
        <v>18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327.57777777777778</v>
      </c>
      <c r="G9" t="s">
        <v>20</v>
      </c>
      <c r="H9" s="5">
        <f t="shared" si="0"/>
        <v>64.93832599118943</v>
      </c>
      <c r="I9">
        <v>227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19.932788374205266</v>
      </c>
      <c r="G10" t="s">
        <v>47</v>
      </c>
      <c r="H10" s="5">
        <f t="shared" si="0"/>
        <v>30.997175141242938</v>
      </c>
      <c r="I10">
        <v>708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51.741935483870968</v>
      </c>
      <c r="G11" t="s">
        <v>14</v>
      </c>
      <c r="H11" s="5">
        <f t="shared" si="0"/>
        <v>72.909090909090907</v>
      </c>
      <c r="I11">
        <v>44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266.11538461538464</v>
      </c>
      <c r="G12" t="s">
        <v>20</v>
      </c>
      <c r="H12" s="5">
        <f t="shared" si="0"/>
        <v>62.9</v>
      </c>
      <c r="I12">
        <v>220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48.095238095238095</v>
      </c>
      <c r="G13" t="s">
        <v>14</v>
      </c>
      <c r="H13" s="5">
        <f t="shared" si="0"/>
        <v>112.22222222222223</v>
      </c>
      <c r="I13">
        <v>27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89.349206349206341</v>
      </c>
      <c r="G14" t="s">
        <v>14</v>
      </c>
      <c r="H14" s="5">
        <f t="shared" si="0"/>
        <v>102.34545454545454</v>
      </c>
      <c r="I14">
        <v>55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245.11904761904765</v>
      </c>
      <c r="G15" t="s">
        <v>20</v>
      </c>
      <c r="H15" s="5">
        <f t="shared" si="0"/>
        <v>105.05102040816327</v>
      </c>
      <c r="I15">
        <v>98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66.769503546099301</v>
      </c>
      <c r="G16" t="s">
        <v>14</v>
      </c>
      <c r="H16" s="5">
        <f t="shared" si="0"/>
        <v>94.144999999999996</v>
      </c>
      <c r="I16">
        <v>200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47.307881773399011</v>
      </c>
      <c r="G17" t="s">
        <v>14</v>
      </c>
      <c r="H17" s="5">
        <f t="shared" si="0"/>
        <v>84.986725663716811</v>
      </c>
      <c r="I17">
        <v>452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649.47058823529414</v>
      </c>
      <c r="G18" t="s">
        <v>20</v>
      </c>
      <c r="H18" s="5">
        <f t="shared" si="0"/>
        <v>110.41</v>
      </c>
      <c r="I18">
        <v>100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159.39125295508273</v>
      </c>
      <c r="G19" t="s">
        <v>20</v>
      </c>
      <c r="H19" s="5">
        <f t="shared" si="0"/>
        <v>107.96236989591674</v>
      </c>
      <c r="I19">
        <v>1249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66.912087912087912</v>
      </c>
      <c r="G20" t="s">
        <v>74</v>
      </c>
      <c r="H20" s="5">
        <f t="shared" si="0"/>
        <v>45.103703703703701</v>
      </c>
      <c r="I20">
        <v>135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48.529600000000002</v>
      </c>
      <c r="G21" t="s">
        <v>14</v>
      </c>
      <c r="H21" s="5">
        <f t="shared" si="0"/>
        <v>45.001483679525222</v>
      </c>
      <c r="I21">
        <v>674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112.24279210925646</v>
      </c>
      <c r="G22" t="s">
        <v>20</v>
      </c>
      <c r="H22" s="5">
        <f t="shared" si="0"/>
        <v>105.97134670487107</v>
      </c>
      <c r="I22">
        <v>1396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40.992553191489364</v>
      </c>
      <c r="G23" t="s">
        <v>14</v>
      </c>
      <c r="H23" s="5">
        <f t="shared" si="0"/>
        <v>69.055555555555557</v>
      </c>
      <c r="I23">
        <v>558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128.07106598984771</v>
      </c>
      <c r="G24" t="s">
        <v>20</v>
      </c>
      <c r="H24" s="5">
        <f t="shared" si="0"/>
        <v>85.044943820224717</v>
      </c>
      <c r="I24">
        <v>890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332.04444444444448</v>
      </c>
      <c r="G25" t="s">
        <v>20</v>
      </c>
      <c r="H25" s="5">
        <f t="shared" si="0"/>
        <v>105.22535211267606</v>
      </c>
      <c r="I25">
        <v>142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112.83225108225108</v>
      </c>
      <c r="G26" t="s">
        <v>20</v>
      </c>
      <c r="H26" s="5">
        <f t="shared" si="0"/>
        <v>39.003741114852225</v>
      </c>
      <c r="I26">
        <v>2673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216.43636363636364</v>
      </c>
      <c r="G27" t="s">
        <v>20</v>
      </c>
      <c r="H27" s="5">
        <f t="shared" si="0"/>
        <v>73.030674846625772</v>
      </c>
      <c r="I27">
        <v>163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48.199069767441863</v>
      </c>
      <c r="G28" t="s">
        <v>74</v>
      </c>
      <c r="H28" s="5">
        <f t="shared" si="0"/>
        <v>35.009459459459457</v>
      </c>
      <c r="I28">
        <v>1480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79.95</v>
      </c>
      <c r="G29" t="s">
        <v>14</v>
      </c>
      <c r="H29" s="5">
        <f t="shared" si="0"/>
        <v>106.6</v>
      </c>
      <c r="I29">
        <v>15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105.22553516819573</v>
      </c>
      <c r="G30" t="s">
        <v>20</v>
      </c>
      <c r="H30" s="5">
        <f t="shared" si="0"/>
        <v>61.997747747747745</v>
      </c>
      <c r="I30">
        <v>2220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328.89978213507629</v>
      </c>
      <c r="G31" t="s">
        <v>20</v>
      </c>
      <c r="H31" s="5">
        <f t="shared" si="0"/>
        <v>94.000622665006233</v>
      </c>
      <c r="I31">
        <v>1606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160.61111111111111</v>
      </c>
      <c r="G32" t="s">
        <v>20</v>
      </c>
      <c r="H32" s="5">
        <f t="shared" si="0"/>
        <v>112.05426356589147</v>
      </c>
      <c r="I32">
        <v>129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310</v>
      </c>
      <c r="G33" t="s">
        <v>20</v>
      </c>
      <c r="H33" s="5">
        <f t="shared" si="0"/>
        <v>48.008849557522126</v>
      </c>
      <c r="I33">
        <v>226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86.807920792079202</v>
      </c>
      <c r="G34" t="s">
        <v>14</v>
      </c>
      <c r="H34" s="5">
        <f t="shared" si="0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377.82071713147411</v>
      </c>
      <c r="G35" t="s">
        <v>20</v>
      </c>
      <c r="H35" s="5">
        <f t="shared" si="0"/>
        <v>35.000184535892231</v>
      </c>
      <c r="I35">
        <v>5419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150.80645161290323</v>
      </c>
      <c r="G36" t="s">
        <v>20</v>
      </c>
      <c r="H36" s="5">
        <f t="shared" si="0"/>
        <v>85</v>
      </c>
      <c r="I36">
        <v>165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150.30119521912351</v>
      </c>
      <c r="G37" t="s">
        <v>20</v>
      </c>
      <c r="H37" s="5">
        <f t="shared" si="0"/>
        <v>95.993893129770996</v>
      </c>
      <c r="I37">
        <v>1965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157.28571428571431</v>
      </c>
      <c r="G38" t="s">
        <v>20</v>
      </c>
      <c r="H38" s="5">
        <f t="shared" si="0"/>
        <v>68.8125</v>
      </c>
      <c r="I38">
        <v>16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139.98765432098764</v>
      </c>
      <c r="G39" t="s">
        <v>20</v>
      </c>
      <c r="H39" s="5">
        <f t="shared" si="0"/>
        <v>105.97196261682242</v>
      </c>
      <c r="I39">
        <v>107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325.32258064516128</v>
      </c>
      <c r="G40" t="s">
        <v>20</v>
      </c>
      <c r="H40" s="5">
        <f t="shared" si="0"/>
        <v>75.261194029850742</v>
      </c>
      <c r="I40">
        <v>134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50.777777777777779</v>
      </c>
      <c r="G41" t="s">
        <v>14</v>
      </c>
      <c r="H41" s="5">
        <f t="shared" si="0"/>
        <v>57.125</v>
      </c>
      <c r="I41">
        <v>88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169.06818181818181</v>
      </c>
      <c r="G42" t="s">
        <v>20</v>
      </c>
      <c r="H42" s="5">
        <f t="shared" si="0"/>
        <v>75.141414141414145</v>
      </c>
      <c r="I42">
        <v>198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212.92857142857144</v>
      </c>
      <c r="G43" t="s">
        <v>20</v>
      </c>
      <c r="H43" s="5">
        <f t="shared" si="0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443.94444444444446</v>
      </c>
      <c r="G44" t="s">
        <v>20</v>
      </c>
      <c r="H44" s="5">
        <f t="shared" si="0"/>
        <v>35.995495495495497</v>
      </c>
      <c r="I44">
        <v>222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185.9390243902439</v>
      </c>
      <c r="G45" t="s">
        <v>20</v>
      </c>
      <c r="H45" s="5">
        <f t="shared" si="0"/>
        <v>26.998873148744366</v>
      </c>
      <c r="I45">
        <v>6212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658.8125</v>
      </c>
      <c r="G46" t="s">
        <v>20</v>
      </c>
      <c r="H46" s="5">
        <f t="shared" si="0"/>
        <v>107.56122448979592</v>
      </c>
      <c r="I46">
        <v>98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47.684210526315788</v>
      </c>
      <c r="G47" t="s">
        <v>14</v>
      </c>
      <c r="H47" s="5">
        <f t="shared" si="0"/>
        <v>94.375</v>
      </c>
      <c r="I47">
        <v>48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114.78378378378378</v>
      </c>
      <c r="G48" t="s">
        <v>20</v>
      </c>
      <c r="H48" s="5">
        <f t="shared" si="0"/>
        <v>46.163043478260867</v>
      </c>
      <c r="I48">
        <v>92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475.26666666666665</v>
      </c>
      <c r="G49" t="s">
        <v>20</v>
      </c>
      <c r="H49" s="5">
        <f t="shared" si="0"/>
        <v>47.845637583892618</v>
      </c>
      <c r="I49">
        <v>149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386.97297297297297</v>
      </c>
      <c r="G50" t="s">
        <v>20</v>
      </c>
      <c r="H50" s="5">
        <f t="shared" si="0"/>
        <v>53.007815713698065</v>
      </c>
      <c r="I50">
        <v>2431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189.625</v>
      </c>
      <c r="G51" t="s">
        <v>20</v>
      </c>
      <c r="H51" s="5">
        <f t="shared" si="0"/>
        <v>45.059405940594061</v>
      </c>
      <c r="I51">
        <v>303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2</v>
      </c>
      <c r="G52" t="s">
        <v>14</v>
      </c>
      <c r="H52" s="5">
        <f t="shared" si="0"/>
        <v>2</v>
      </c>
      <c r="I52">
        <v>1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91.867805186590772</v>
      </c>
      <c r="G53" t="s">
        <v>14</v>
      </c>
      <c r="H53" s="5">
        <f t="shared" si="0"/>
        <v>99.006816632583508</v>
      </c>
      <c r="I53">
        <v>1467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34.152777777777779</v>
      </c>
      <c r="G54" t="s">
        <v>14</v>
      </c>
      <c r="H54" s="5">
        <f t="shared" si="0"/>
        <v>32.786666666666669</v>
      </c>
      <c r="I54">
        <v>75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140.40909090909091</v>
      </c>
      <c r="G55" t="s">
        <v>20</v>
      </c>
      <c r="H55" s="5">
        <f t="shared" si="0"/>
        <v>59.119617224880386</v>
      </c>
      <c r="I55">
        <v>209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89.86666666666666</v>
      </c>
      <c r="G56" t="s">
        <v>14</v>
      </c>
      <c r="H56" s="5">
        <f t="shared" si="0"/>
        <v>44.93333333333333</v>
      </c>
      <c r="I56">
        <v>120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177.96969696969697</v>
      </c>
      <c r="G57" t="s">
        <v>20</v>
      </c>
      <c r="H57" s="5">
        <f t="shared" si="0"/>
        <v>89.664122137404576</v>
      </c>
      <c r="I57">
        <v>131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143.66249999999999</v>
      </c>
      <c r="G58" t="s">
        <v>20</v>
      </c>
      <c r="H58" s="5">
        <f t="shared" si="0"/>
        <v>70.079268292682926</v>
      </c>
      <c r="I58">
        <v>164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215.27586206896552</v>
      </c>
      <c r="G59" t="s">
        <v>20</v>
      </c>
      <c r="H59" s="5">
        <f t="shared" si="0"/>
        <v>31.059701492537314</v>
      </c>
      <c r="I59">
        <v>201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227.11111111111114</v>
      </c>
      <c r="G60" t="s">
        <v>20</v>
      </c>
      <c r="H60" s="5">
        <f t="shared" si="0"/>
        <v>29.061611374407583</v>
      </c>
      <c r="I60">
        <v>211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275.07142857142861</v>
      </c>
      <c r="G61" t="s">
        <v>20</v>
      </c>
      <c r="H61" s="5">
        <f t="shared" si="0"/>
        <v>30.0859375</v>
      </c>
      <c r="I61">
        <v>128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144.37048832271762</v>
      </c>
      <c r="G62" t="s">
        <v>20</v>
      </c>
      <c r="H62" s="5">
        <f t="shared" si="0"/>
        <v>84.998125000000002</v>
      </c>
      <c r="I62">
        <v>1600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92.74598393574297</v>
      </c>
      <c r="G63" t="s">
        <v>14</v>
      </c>
      <c r="H63" s="5">
        <f t="shared" si="0"/>
        <v>82.001775410563695</v>
      </c>
      <c r="I63">
        <v>2253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722.6</v>
      </c>
      <c r="G64" t="s">
        <v>20</v>
      </c>
      <c r="H64" s="5">
        <f t="shared" si="0"/>
        <v>58.040160642570278</v>
      </c>
      <c r="I64">
        <v>249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11.851063829787234</v>
      </c>
      <c r="G65" t="s">
        <v>14</v>
      </c>
      <c r="H65" s="5">
        <f t="shared" si="0"/>
        <v>111.4</v>
      </c>
      <c r="I65">
        <v>5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97.642857142857139</v>
      </c>
      <c r="G66" t="s">
        <v>14</v>
      </c>
      <c r="H66" s="5">
        <f t="shared" ref="H66:H129" si="6">IFERROR(E66/I66,0)</f>
        <v>71.94736842105263</v>
      </c>
      <c r="I66">
        <v>38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7">E67/D67*100</f>
        <v>236.14754098360655</v>
      </c>
      <c r="G67" t="s">
        <v>20</v>
      </c>
      <c r="H67" s="5">
        <f t="shared" si="6"/>
        <v>61.038135593220339</v>
      </c>
      <c r="I67">
        <v>236</v>
      </c>
      <c r="J67" t="s">
        <v>21</v>
      </c>
      <c r="K67" t="s">
        <v>22</v>
      </c>
      <c r="L67">
        <v>1296108000</v>
      </c>
      <c r="M67" s="8">
        <f t="shared" ref="M67:M130" si="8">(((L67/60)/60)/24)+DATE(1970,1,1)</f>
        <v>40570.25</v>
      </c>
      <c r="N67">
        <v>1296712800</v>
      </c>
      <c r="O67" s="8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7"/>
        <v>45.068965517241381</v>
      </c>
      <c r="G68" t="s">
        <v>14</v>
      </c>
      <c r="H68" s="5">
        <f t="shared" si="6"/>
        <v>108.91666666666667</v>
      </c>
      <c r="I68">
        <v>12</v>
      </c>
      <c r="J68" t="s">
        <v>21</v>
      </c>
      <c r="K68" t="s">
        <v>22</v>
      </c>
      <c r="L68">
        <v>1428469200</v>
      </c>
      <c r="M68" s="8">
        <f t="shared" si="8"/>
        <v>42102.208333333328</v>
      </c>
      <c r="N68">
        <v>1428901200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7"/>
        <v>162.38567493112947</v>
      </c>
      <c r="G69" t="s">
        <v>20</v>
      </c>
      <c r="H69" s="5">
        <f t="shared" si="6"/>
        <v>29.001722017220171</v>
      </c>
      <c r="I69">
        <v>4065</v>
      </c>
      <c r="J69" t="s">
        <v>40</v>
      </c>
      <c r="K69" t="s">
        <v>41</v>
      </c>
      <c r="L69">
        <v>1264399200</v>
      </c>
      <c r="M69" s="8">
        <f t="shared" si="8"/>
        <v>40203.25</v>
      </c>
      <c r="N69">
        <v>1264831200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254.52631578947367</v>
      </c>
      <c r="G70" t="s">
        <v>20</v>
      </c>
      <c r="H70" s="5">
        <f t="shared" si="6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8">
        <f t="shared" si="8"/>
        <v>42943.208333333328</v>
      </c>
      <c r="N70">
        <v>1505192400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24.063291139240505</v>
      </c>
      <c r="G71" t="s">
        <v>74</v>
      </c>
      <c r="H71" s="5">
        <f t="shared" si="6"/>
        <v>111.82352941176471</v>
      </c>
      <c r="I71">
        <v>17</v>
      </c>
      <c r="J71" t="s">
        <v>21</v>
      </c>
      <c r="K71" t="s">
        <v>22</v>
      </c>
      <c r="L71">
        <v>1292738400</v>
      </c>
      <c r="M71" s="8">
        <f t="shared" si="8"/>
        <v>40531.25</v>
      </c>
      <c r="N71">
        <v>1295676000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123.74140625000001</v>
      </c>
      <c r="G72" t="s">
        <v>20</v>
      </c>
      <c r="H72" s="5">
        <f t="shared" si="6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8">
        <f t="shared" si="8"/>
        <v>40484.208333333336</v>
      </c>
      <c r="N72">
        <v>1292911200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108.06666666666666</v>
      </c>
      <c r="G73" t="s">
        <v>20</v>
      </c>
      <c r="H73" s="5">
        <f t="shared" si="6"/>
        <v>85.315789473684205</v>
      </c>
      <c r="I73">
        <v>76</v>
      </c>
      <c r="J73" t="s">
        <v>21</v>
      </c>
      <c r="K73" t="s">
        <v>22</v>
      </c>
      <c r="L73">
        <v>1575093600</v>
      </c>
      <c r="M73" s="8">
        <f t="shared" si="8"/>
        <v>43799.25</v>
      </c>
      <c r="N73">
        <v>1575439200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670.33333333333326</v>
      </c>
      <c r="G74" t="s">
        <v>20</v>
      </c>
      <c r="H74" s="5">
        <f t="shared" si="6"/>
        <v>74.481481481481481</v>
      </c>
      <c r="I74">
        <v>54</v>
      </c>
      <c r="J74" t="s">
        <v>21</v>
      </c>
      <c r="K74" t="s">
        <v>22</v>
      </c>
      <c r="L74">
        <v>1435726800</v>
      </c>
      <c r="M74" s="8">
        <f t="shared" si="8"/>
        <v>42186.208333333328</v>
      </c>
      <c r="N74">
        <v>1438837200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660.92857142857144</v>
      </c>
      <c r="G75" t="s">
        <v>20</v>
      </c>
      <c r="H75" s="5">
        <f t="shared" si="6"/>
        <v>105.14772727272727</v>
      </c>
      <c r="I75">
        <v>88</v>
      </c>
      <c r="J75" t="s">
        <v>21</v>
      </c>
      <c r="K75" t="s">
        <v>22</v>
      </c>
      <c r="L75">
        <v>1480226400</v>
      </c>
      <c r="M75" s="8">
        <f t="shared" si="8"/>
        <v>42701.25</v>
      </c>
      <c r="N75">
        <v>1480485600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122.46153846153847</v>
      </c>
      <c r="G76" t="s">
        <v>20</v>
      </c>
      <c r="H76" s="5">
        <f t="shared" si="6"/>
        <v>56.188235294117646</v>
      </c>
      <c r="I76">
        <v>85</v>
      </c>
      <c r="J76" t="s">
        <v>40</v>
      </c>
      <c r="K76" t="s">
        <v>41</v>
      </c>
      <c r="L76">
        <v>1459054800</v>
      </c>
      <c r="M76" s="8">
        <f t="shared" si="8"/>
        <v>42456.208333333328</v>
      </c>
      <c r="N76">
        <v>1459141200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150.57731958762886</v>
      </c>
      <c r="G77" t="s">
        <v>20</v>
      </c>
      <c r="H77" s="5">
        <f t="shared" si="6"/>
        <v>85.917647058823533</v>
      </c>
      <c r="I77">
        <v>170</v>
      </c>
      <c r="J77" t="s">
        <v>21</v>
      </c>
      <c r="K77" t="s">
        <v>22</v>
      </c>
      <c r="L77">
        <v>1531630800</v>
      </c>
      <c r="M77" s="8">
        <f t="shared" si="8"/>
        <v>43296.208333333328</v>
      </c>
      <c r="N77">
        <v>1532322000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78.106590724165997</v>
      </c>
      <c r="G78" t="s">
        <v>14</v>
      </c>
      <c r="H78" s="5">
        <f t="shared" si="6"/>
        <v>57.00296912114014</v>
      </c>
      <c r="I78">
        <v>1684</v>
      </c>
      <c r="J78" t="s">
        <v>21</v>
      </c>
      <c r="K78" t="s">
        <v>22</v>
      </c>
      <c r="L78">
        <v>1421992800</v>
      </c>
      <c r="M78" s="8">
        <f t="shared" si="8"/>
        <v>42027.25</v>
      </c>
      <c r="N78">
        <v>1426222800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46.94736842105263</v>
      </c>
      <c r="G79" t="s">
        <v>14</v>
      </c>
      <c r="H79" s="5">
        <f t="shared" si="6"/>
        <v>79.642857142857139</v>
      </c>
      <c r="I79">
        <v>56</v>
      </c>
      <c r="J79" t="s">
        <v>21</v>
      </c>
      <c r="K79" t="s">
        <v>22</v>
      </c>
      <c r="L79">
        <v>1285563600</v>
      </c>
      <c r="M79" s="8">
        <f t="shared" si="8"/>
        <v>40448.208333333336</v>
      </c>
      <c r="N79">
        <v>1286773200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300.8</v>
      </c>
      <c r="G80" t="s">
        <v>20</v>
      </c>
      <c r="H80" s="5">
        <f t="shared" si="6"/>
        <v>41.018181818181816</v>
      </c>
      <c r="I80">
        <v>330</v>
      </c>
      <c r="J80" t="s">
        <v>21</v>
      </c>
      <c r="K80" t="s">
        <v>22</v>
      </c>
      <c r="L80">
        <v>1523854800</v>
      </c>
      <c r="M80" s="8">
        <f t="shared" si="8"/>
        <v>43206.208333333328</v>
      </c>
      <c r="N80">
        <v>1523941200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69.598615916955026</v>
      </c>
      <c r="G81" t="s">
        <v>14</v>
      </c>
      <c r="H81" s="5">
        <f t="shared" si="6"/>
        <v>48.004773269689736</v>
      </c>
      <c r="I81">
        <v>838</v>
      </c>
      <c r="J81" t="s">
        <v>21</v>
      </c>
      <c r="K81" t="s">
        <v>22</v>
      </c>
      <c r="L81">
        <v>1529125200</v>
      </c>
      <c r="M81" s="8">
        <f t="shared" si="8"/>
        <v>43267.208333333328</v>
      </c>
      <c r="N81">
        <v>1529557200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637.4545454545455</v>
      </c>
      <c r="G82" t="s">
        <v>20</v>
      </c>
      <c r="H82" s="5">
        <f t="shared" si="6"/>
        <v>55.212598425196852</v>
      </c>
      <c r="I82">
        <v>127</v>
      </c>
      <c r="J82" t="s">
        <v>21</v>
      </c>
      <c r="K82" t="s">
        <v>22</v>
      </c>
      <c r="L82">
        <v>1503982800</v>
      </c>
      <c r="M82" s="8">
        <f t="shared" si="8"/>
        <v>42976.208333333328</v>
      </c>
      <c r="N82">
        <v>1506574800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225.33928571428569</v>
      </c>
      <c r="G83" t="s">
        <v>20</v>
      </c>
      <c r="H83" s="5">
        <f t="shared" si="6"/>
        <v>92.109489051094897</v>
      </c>
      <c r="I83">
        <v>411</v>
      </c>
      <c r="J83" t="s">
        <v>21</v>
      </c>
      <c r="K83" t="s">
        <v>22</v>
      </c>
      <c r="L83">
        <v>1511416800</v>
      </c>
      <c r="M83" s="8">
        <f t="shared" si="8"/>
        <v>43062.25</v>
      </c>
      <c r="N83">
        <v>1513576800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1497.3000000000002</v>
      </c>
      <c r="G84" t="s">
        <v>20</v>
      </c>
      <c r="H84" s="5">
        <f t="shared" si="6"/>
        <v>83.183333333333337</v>
      </c>
      <c r="I84">
        <v>180</v>
      </c>
      <c r="J84" t="s">
        <v>40</v>
      </c>
      <c r="K84" t="s">
        <v>41</v>
      </c>
      <c r="L84">
        <v>1547704800</v>
      </c>
      <c r="M84" s="8">
        <f t="shared" si="8"/>
        <v>43482.25</v>
      </c>
      <c r="N84">
        <v>1548309600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37.590225563909776</v>
      </c>
      <c r="G85" t="s">
        <v>14</v>
      </c>
      <c r="H85" s="5">
        <f t="shared" si="6"/>
        <v>39.996000000000002</v>
      </c>
      <c r="I85">
        <v>1000</v>
      </c>
      <c r="J85" t="s">
        <v>21</v>
      </c>
      <c r="K85" t="s">
        <v>22</v>
      </c>
      <c r="L85">
        <v>1469682000</v>
      </c>
      <c r="M85" s="8">
        <f t="shared" si="8"/>
        <v>42579.208333333328</v>
      </c>
      <c r="N85">
        <v>1471582800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132.36942675159236</v>
      </c>
      <c r="G86" t="s">
        <v>20</v>
      </c>
      <c r="H86" s="5">
        <f t="shared" si="6"/>
        <v>111.1336898395722</v>
      </c>
      <c r="I86">
        <v>374</v>
      </c>
      <c r="J86" t="s">
        <v>21</v>
      </c>
      <c r="K86" t="s">
        <v>22</v>
      </c>
      <c r="L86">
        <v>1343451600</v>
      </c>
      <c r="M86" s="8">
        <f t="shared" si="8"/>
        <v>41118.208333333336</v>
      </c>
      <c r="N86">
        <v>1344315600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131.22448979591837</v>
      </c>
      <c r="G87" t="s">
        <v>20</v>
      </c>
      <c r="H87" s="5">
        <f t="shared" si="6"/>
        <v>90.563380281690144</v>
      </c>
      <c r="I87">
        <v>71</v>
      </c>
      <c r="J87" t="s">
        <v>26</v>
      </c>
      <c r="K87" t="s">
        <v>27</v>
      </c>
      <c r="L87">
        <v>1315717200</v>
      </c>
      <c r="M87" s="8">
        <f t="shared" si="8"/>
        <v>40797.208333333336</v>
      </c>
      <c r="N87">
        <v>1316408400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167.63513513513513</v>
      </c>
      <c r="G88" t="s">
        <v>20</v>
      </c>
      <c r="H88" s="5">
        <f t="shared" si="6"/>
        <v>61.108374384236456</v>
      </c>
      <c r="I88">
        <v>203</v>
      </c>
      <c r="J88" t="s">
        <v>21</v>
      </c>
      <c r="K88" t="s">
        <v>22</v>
      </c>
      <c r="L88">
        <v>1430715600</v>
      </c>
      <c r="M88" s="8">
        <f t="shared" si="8"/>
        <v>42128.208333333328</v>
      </c>
      <c r="N88">
        <v>1431838800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61.984886649874063</v>
      </c>
      <c r="G89" t="s">
        <v>14</v>
      </c>
      <c r="H89" s="5">
        <f t="shared" si="6"/>
        <v>83.022941970310384</v>
      </c>
      <c r="I89">
        <v>1482</v>
      </c>
      <c r="J89" t="s">
        <v>26</v>
      </c>
      <c r="K89" t="s">
        <v>27</v>
      </c>
      <c r="L89">
        <v>1299564000</v>
      </c>
      <c r="M89" s="8">
        <f t="shared" si="8"/>
        <v>40610.25</v>
      </c>
      <c r="N89">
        <v>1300510800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260.75</v>
      </c>
      <c r="G90" t="s">
        <v>20</v>
      </c>
      <c r="H90" s="5">
        <f t="shared" si="6"/>
        <v>110.76106194690266</v>
      </c>
      <c r="I90">
        <v>113</v>
      </c>
      <c r="J90" t="s">
        <v>21</v>
      </c>
      <c r="K90" t="s">
        <v>22</v>
      </c>
      <c r="L90">
        <v>1429160400</v>
      </c>
      <c r="M90" s="8">
        <f t="shared" si="8"/>
        <v>42110.208333333328</v>
      </c>
      <c r="N90">
        <v>1431061200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252.58823529411765</v>
      </c>
      <c r="G91" t="s">
        <v>20</v>
      </c>
      <c r="H91" s="5">
        <f t="shared" si="6"/>
        <v>89.458333333333329</v>
      </c>
      <c r="I91">
        <v>96</v>
      </c>
      <c r="J91" t="s">
        <v>21</v>
      </c>
      <c r="K91" t="s">
        <v>22</v>
      </c>
      <c r="L91">
        <v>1271307600</v>
      </c>
      <c r="M91" s="8">
        <f t="shared" si="8"/>
        <v>40283.208333333336</v>
      </c>
      <c r="N91">
        <v>1271480400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78.615384615384613</v>
      </c>
      <c r="G92" t="s">
        <v>14</v>
      </c>
      <c r="H92" s="5">
        <f t="shared" si="6"/>
        <v>57.849056603773583</v>
      </c>
      <c r="I92">
        <v>106</v>
      </c>
      <c r="J92" t="s">
        <v>21</v>
      </c>
      <c r="K92" t="s">
        <v>22</v>
      </c>
      <c r="L92">
        <v>1456380000</v>
      </c>
      <c r="M92" s="8">
        <f t="shared" si="8"/>
        <v>42425.25</v>
      </c>
      <c r="N92">
        <v>1456380000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48.404406999351913</v>
      </c>
      <c r="G93" t="s">
        <v>14</v>
      </c>
      <c r="H93" s="5">
        <f t="shared" si="6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8">
        <f t="shared" si="8"/>
        <v>42588.208333333328</v>
      </c>
      <c r="N93">
        <v>1472878800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258.875</v>
      </c>
      <c r="G94" t="s">
        <v>20</v>
      </c>
      <c r="H94" s="5">
        <f t="shared" si="6"/>
        <v>103.96586345381526</v>
      </c>
      <c r="I94">
        <v>498</v>
      </c>
      <c r="J94" t="s">
        <v>98</v>
      </c>
      <c r="K94" t="s">
        <v>99</v>
      </c>
      <c r="L94">
        <v>1277269200</v>
      </c>
      <c r="M94" s="8">
        <f t="shared" si="8"/>
        <v>40352.208333333336</v>
      </c>
      <c r="N94">
        <v>1277355600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60.548713235294116</v>
      </c>
      <c r="G95" t="s">
        <v>74</v>
      </c>
      <c r="H95" s="5">
        <f t="shared" si="6"/>
        <v>107.99508196721311</v>
      </c>
      <c r="I95">
        <v>610</v>
      </c>
      <c r="J95" t="s">
        <v>21</v>
      </c>
      <c r="K95" t="s">
        <v>22</v>
      </c>
      <c r="L95">
        <v>1350709200</v>
      </c>
      <c r="M95" s="8">
        <f t="shared" si="8"/>
        <v>41202.208333333336</v>
      </c>
      <c r="N95">
        <v>1351054800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303.68965517241378</v>
      </c>
      <c r="G96" t="s">
        <v>20</v>
      </c>
      <c r="H96" s="5">
        <f t="shared" si="6"/>
        <v>48.927777777777777</v>
      </c>
      <c r="I96">
        <v>180</v>
      </c>
      <c r="J96" t="s">
        <v>40</v>
      </c>
      <c r="K96" t="s">
        <v>41</v>
      </c>
      <c r="L96">
        <v>1554613200</v>
      </c>
      <c r="M96" s="8">
        <f t="shared" si="8"/>
        <v>43562.208333333328</v>
      </c>
      <c r="N96">
        <v>1555563600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112.99999999999999</v>
      </c>
      <c r="G97" t="s">
        <v>20</v>
      </c>
      <c r="H97" s="5">
        <f t="shared" si="6"/>
        <v>37.666666666666664</v>
      </c>
      <c r="I97">
        <v>27</v>
      </c>
      <c r="J97" t="s">
        <v>21</v>
      </c>
      <c r="K97" t="s">
        <v>22</v>
      </c>
      <c r="L97">
        <v>1571029200</v>
      </c>
      <c r="M97" s="8">
        <f t="shared" si="8"/>
        <v>43752.208333333328</v>
      </c>
      <c r="N97">
        <v>1571634000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217.37876614060258</v>
      </c>
      <c r="G98" t="s">
        <v>20</v>
      </c>
      <c r="H98" s="5">
        <f t="shared" si="6"/>
        <v>64.999141999141997</v>
      </c>
      <c r="I98">
        <v>2331</v>
      </c>
      <c r="J98" t="s">
        <v>21</v>
      </c>
      <c r="K98" t="s">
        <v>22</v>
      </c>
      <c r="L98">
        <v>1299736800</v>
      </c>
      <c r="M98" s="8">
        <f t="shared" si="8"/>
        <v>40612.25</v>
      </c>
      <c r="N98">
        <v>1300856400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926.69230769230762</v>
      </c>
      <c r="G99" t="s">
        <v>20</v>
      </c>
      <c r="H99" s="5">
        <f t="shared" si="6"/>
        <v>106.61061946902655</v>
      </c>
      <c r="I99">
        <v>113</v>
      </c>
      <c r="J99" t="s">
        <v>21</v>
      </c>
      <c r="K99" t="s">
        <v>22</v>
      </c>
      <c r="L99">
        <v>1435208400</v>
      </c>
      <c r="M99" s="8">
        <f t="shared" si="8"/>
        <v>42180.208333333328</v>
      </c>
      <c r="N99">
        <v>1439874000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33.692229038854805</v>
      </c>
      <c r="G100" t="s">
        <v>14</v>
      </c>
      <c r="H100" s="5">
        <f t="shared" si="6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8">
        <f t="shared" si="8"/>
        <v>42212.208333333328</v>
      </c>
      <c r="N100">
        <v>1438318800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196.7236842105263</v>
      </c>
      <c r="G101" t="s">
        <v>20</v>
      </c>
      <c r="H101" s="5">
        <f t="shared" si="6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8">
        <f t="shared" si="8"/>
        <v>41968.25</v>
      </c>
      <c r="N101">
        <v>1419400800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1</v>
      </c>
      <c r="G102" t="s">
        <v>14</v>
      </c>
      <c r="H102" s="5">
        <f t="shared" si="6"/>
        <v>1</v>
      </c>
      <c r="I102">
        <v>1</v>
      </c>
      <c r="J102" t="s">
        <v>21</v>
      </c>
      <c r="K102" t="s">
        <v>22</v>
      </c>
      <c r="L102">
        <v>1319000400</v>
      </c>
      <c r="M102" s="8">
        <f t="shared" si="8"/>
        <v>40835.208333333336</v>
      </c>
      <c r="N102">
        <v>1320555600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1021.4444444444445</v>
      </c>
      <c r="G103" t="s">
        <v>20</v>
      </c>
      <c r="H103" s="5">
        <f t="shared" si="6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8">
        <f t="shared" si="8"/>
        <v>42056.25</v>
      </c>
      <c r="N103">
        <v>1425103200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281.67567567567568</v>
      </c>
      <c r="G104" t="s">
        <v>20</v>
      </c>
      <c r="H104" s="5">
        <f t="shared" si="6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8">
        <f t="shared" si="8"/>
        <v>43234.208333333328</v>
      </c>
      <c r="N104">
        <v>1526878800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24.610000000000003</v>
      </c>
      <c r="G105" t="s">
        <v>14</v>
      </c>
      <c r="H105" s="5">
        <f t="shared" si="6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8">
        <f t="shared" si="8"/>
        <v>40475.208333333336</v>
      </c>
      <c r="N105">
        <v>1288674000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143.14010067114094</v>
      </c>
      <c r="G106" t="s">
        <v>20</v>
      </c>
      <c r="H106" s="5">
        <f t="shared" si="6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8">
        <f t="shared" si="8"/>
        <v>42878.208333333328</v>
      </c>
      <c r="N106">
        <v>1495602000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144.54411764705884</v>
      </c>
      <c r="G107" t="s">
        <v>20</v>
      </c>
      <c r="H107" s="5">
        <f t="shared" si="6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8">
        <f t="shared" si="8"/>
        <v>41366.208333333336</v>
      </c>
      <c r="N107">
        <v>1366434000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359.12820512820514</v>
      </c>
      <c r="G108" t="s">
        <v>20</v>
      </c>
      <c r="H108" s="5">
        <f t="shared" si="6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8">
        <f t="shared" si="8"/>
        <v>43716.208333333328</v>
      </c>
      <c r="N108">
        <v>1568350800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186.48571428571427</v>
      </c>
      <c r="G109" t="s">
        <v>20</v>
      </c>
      <c r="H109" s="5">
        <f t="shared" si="6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8">
        <f t="shared" si="8"/>
        <v>43213.208333333328</v>
      </c>
      <c r="N109">
        <v>1525928400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595.26666666666665</v>
      </c>
      <c r="G110" t="s">
        <v>20</v>
      </c>
      <c r="H110" s="5">
        <f t="shared" si="6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8">
        <f t="shared" si="8"/>
        <v>41005.208333333336</v>
      </c>
      <c r="N110">
        <v>1336885200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59.21153846153846</v>
      </c>
      <c r="G111" t="s">
        <v>14</v>
      </c>
      <c r="H111" s="5">
        <f t="shared" si="6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8">
        <f t="shared" si="8"/>
        <v>41651.25</v>
      </c>
      <c r="N111">
        <v>1389679200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14.962780898876405</v>
      </c>
      <c r="G112" t="s">
        <v>14</v>
      </c>
      <c r="H112" s="5">
        <f t="shared" si="6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8">
        <f t="shared" si="8"/>
        <v>43354.208333333328</v>
      </c>
      <c r="N112">
        <v>1538283600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119.95602605863192</v>
      </c>
      <c r="G113" t="s">
        <v>20</v>
      </c>
      <c r="H113" s="5">
        <f t="shared" si="6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8">
        <f t="shared" si="8"/>
        <v>41174.208333333336</v>
      </c>
      <c r="N113">
        <v>1348808400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268.82978723404256</v>
      </c>
      <c r="G114" t="s">
        <v>20</v>
      </c>
      <c r="H114" s="5">
        <f t="shared" si="6"/>
        <v>35</v>
      </c>
      <c r="I114">
        <v>361</v>
      </c>
      <c r="J114" t="s">
        <v>26</v>
      </c>
      <c r="K114" t="s">
        <v>27</v>
      </c>
      <c r="L114">
        <v>1408856400</v>
      </c>
      <c r="M114" s="8">
        <f t="shared" si="8"/>
        <v>41875.208333333336</v>
      </c>
      <c r="N114">
        <v>1410152400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376.87878787878788</v>
      </c>
      <c r="G115" t="s">
        <v>20</v>
      </c>
      <c r="H115" s="5">
        <f t="shared" si="6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8">
        <f t="shared" si="8"/>
        <v>42990.208333333328</v>
      </c>
      <c r="N115">
        <v>1505797200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727.15789473684208</v>
      </c>
      <c r="G116" t="s">
        <v>20</v>
      </c>
      <c r="H116" s="5">
        <f t="shared" si="6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8">
        <f t="shared" si="8"/>
        <v>43564.208333333328</v>
      </c>
      <c r="N116">
        <v>1554872400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87.211757648470297</v>
      </c>
      <c r="G117" t="s">
        <v>14</v>
      </c>
      <c r="H117" s="5">
        <f t="shared" si="6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8">
        <f t="shared" si="8"/>
        <v>43056.25</v>
      </c>
      <c r="N117">
        <v>1513922400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88</v>
      </c>
      <c r="G118" t="s">
        <v>14</v>
      </c>
      <c r="H118" s="5">
        <f t="shared" si="6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8">
        <f t="shared" si="8"/>
        <v>42265.208333333328</v>
      </c>
      <c r="N118">
        <v>1442638800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173.9387755102041</v>
      </c>
      <c r="G119" t="s">
        <v>20</v>
      </c>
      <c r="H119" s="5">
        <f t="shared" si="6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8">
        <f t="shared" si="8"/>
        <v>40808.208333333336</v>
      </c>
      <c r="N119">
        <v>1317186000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117.61111111111111</v>
      </c>
      <c r="G120" t="s">
        <v>20</v>
      </c>
      <c r="H120" s="5">
        <f t="shared" si="6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8">
        <f t="shared" si="8"/>
        <v>41665.25</v>
      </c>
      <c r="N120">
        <v>1391234400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214.96</v>
      </c>
      <c r="G121" t="s">
        <v>20</v>
      </c>
      <c r="H121" s="5">
        <f t="shared" si="6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8">
        <f t="shared" si="8"/>
        <v>41806.208333333336</v>
      </c>
      <c r="N121">
        <v>1404363600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149.49667110519306</v>
      </c>
      <c r="G122" t="s">
        <v>20</v>
      </c>
      <c r="H122" s="5">
        <f t="shared" si="6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8">
        <f t="shared" si="8"/>
        <v>42111.208333333328</v>
      </c>
      <c r="N122">
        <v>1429592400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219.33995584988963</v>
      </c>
      <c r="G123" t="s">
        <v>20</v>
      </c>
      <c r="H123" s="5">
        <f t="shared" si="6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8">
        <f t="shared" si="8"/>
        <v>41917.208333333336</v>
      </c>
      <c r="N123">
        <v>1413608400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64.367690058479525</v>
      </c>
      <c r="G124" t="s">
        <v>14</v>
      </c>
      <c r="H124" s="5">
        <f t="shared" si="6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8">
        <f t="shared" si="8"/>
        <v>41970.25</v>
      </c>
      <c r="N124">
        <v>1419400800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18.622397298818232</v>
      </c>
      <c r="G125" t="s">
        <v>14</v>
      </c>
      <c r="H125" s="5">
        <f t="shared" si="6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8">
        <f t="shared" si="8"/>
        <v>42332.25</v>
      </c>
      <c r="N125">
        <v>1448604000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367.76923076923077</v>
      </c>
      <c r="G126" t="s">
        <v>20</v>
      </c>
      <c r="H126" s="5">
        <f t="shared" si="6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8">
        <f t="shared" si="8"/>
        <v>43598.208333333328</v>
      </c>
      <c r="N126">
        <v>1562302800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159.90566037735849</v>
      </c>
      <c r="G127" t="s">
        <v>20</v>
      </c>
      <c r="H127" s="5">
        <f t="shared" si="6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8">
        <f t="shared" si="8"/>
        <v>43362.208333333328</v>
      </c>
      <c r="N127">
        <v>1537678800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38.633185349611544</v>
      </c>
      <c r="G128" t="s">
        <v>14</v>
      </c>
      <c r="H128" s="5">
        <f t="shared" si="6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8">
        <f t="shared" si="8"/>
        <v>42596.208333333328</v>
      </c>
      <c r="N128">
        <v>1473570000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51.42151162790698</v>
      </c>
      <c r="G129" t="s">
        <v>14</v>
      </c>
      <c r="H129" s="5">
        <f t="shared" si="6"/>
        <v>78.96875</v>
      </c>
      <c r="I129">
        <v>672</v>
      </c>
      <c r="J129" t="s">
        <v>15</v>
      </c>
      <c r="K129" t="s">
        <v>16</v>
      </c>
      <c r="L129">
        <v>1273640400</v>
      </c>
      <c r="M129" s="8">
        <f t="shared" si="8"/>
        <v>40310.208333333336</v>
      </c>
      <c r="N129">
        <v>1273899600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7"/>
        <v>60.334277620396605</v>
      </c>
      <c r="G130" t="s">
        <v>74</v>
      </c>
      <c r="H130" s="5">
        <f t="shared" ref="H130:H193" si="12">IFERROR(E130/I130,0)</f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8">
        <f t="shared" si="8"/>
        <v>40417.208333333336</v>
      </c>
      <c r="N130">
        <v>1284008400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3">E131/D131*100</f>
        <v>3.202693602693603</v>
      </c>
      <c r="G131" t="s">
        <v>74</v>
      </c>
      <c r="H131" s="5">
        <f t="shared" si="12"/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8">
        <f t="shared" ref="M131:M194" si="14">(((L131/60)/60)/24)+DATE(1970,1,1)</f>
        <v>42038.25</v>
      </c>
      <c r="N131">
        <v>1425103200</v>
      </c>
      <c r="O131" s="8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3"/>
        <v>155.46875</v>
      </c>
      <c r="G132" t="s">
        <v>20</v>
      </c>
      <c r="H132" s="5">
        <f t="shared" si="12"/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8">
        <f t="shared" si="14"/>
        <v>40842.208333333336</v>
      </c>
      <c r="N132">
        <v>1320991200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3"/>
        <v>100.85974499089254</v>
      </c>
      <c r="G133" t="s">
        <v>20</v>
      </c>
      <c r="H133" s="5">
        <f t="shared" si="12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8">
        <f t="shared" si="14"/>
        <v>41607.25</v>
      </c>
      <c r="N133">
        <v>1386828000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3"/>
        <v>116.18181818181819</v>
      </c>
      <c r="G134" t="s">
        <v>20</v>
      </c>
      <c r="H134" s="5">
        <f t="shared" si="12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8">
        <f t="shared" si="14"/>
        <v>43112.25</v>
      </c>
      <c r="N134">
        <v>1517119200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3"/>
        <v>310.77777777777777</v>
      </c>
      <c r="G135" t="s">
        <v>20</v>
      </c>
      <c r="H135" s="5">
        <f t="shared" si="12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8">
        <f t="shared" si="14"/>
        <v>40767.208333333336</v>
      </c>
      <c r="N135">
        <v>1315026000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3"/>
        <v>89.73668341708543</v>
      </c>
      <c r="G136" t="s">
        <v>14</v>
      </c>
      <c r="H136" s="5">
        <f t="shared" si="12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8">
        <f t="shared" si="14"/>
        <v>40713.208333333336</v>
      </c>
      <c r="N136">
        <v>1312693200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3"/>
        <v>71.27272727272728</v>
      </c>
      <c r="G137" t="s">
        <v>14</v>
      </c>
      <c r="H137" s="5">
        <f t="shared" si="12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8">
        <f t="shared" si="14"/>
        <v>41340.25</v>
      </c>
      <c r="N137">
        <v>1363064400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3"/>
        <v>3.2862318840579712</v>
      </c>
      <c r="G138" t="s">
        <v>74</v>
      </c>
      <c r="H138" s="5">
        <f t="shared" si="12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8">
        <f t="shared" si="14"/>
        <v>41797.208333333336</v>
      </c>
      <c r="N138">
        <v>1403154000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3"/>
        <v>261.77777777777777</v>
      </c>
      <c r="G139" t="s">
        <v>20</v>
      </c>
      <c r="H139" s="5">
        <f t="shared" si="12"/>
        <v>94.24</v>
      </c>
      <c r="I139">
        <v>50</v>
      </c>
      <c r="J139" t="s">
        <v>21</v>
      </c>
      <c r="K139" t="s">
        <v>22</v>
      </c>
      <c r="L139">
        <v>1286341200</v>
      </c>
      <c r="M139" s="8">
        <f t="shared" si="14"/>
        <v>40457.208333333336</v>
      </c>
      <c r="N139">
        <v>1286859600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3"/>
        <v>96</v>
      </c>
      <c r="G140" t="s">
        <v>14</v>
      </c>
      <c r="H140" s="5">
        <f t="shared" si="12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8">
        <f t="shared" si="14"/>
        <v>41180.208333333336</v>
      </c>
      <c r="N140">
        <v>1349326800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3"/>
        <v>20.896851248642779</v>
      </c>
      <c r="G141" t="s">
        <v>14</v>
      </c>
      <c r="H141" s="5">
        <f t="shared" si="12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8">
        <f t="shared" si="14"/>
        <v>42115.208333333328</v>
      </c>
      <c r="N141">
        <v>1430974800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3"/>
        <v>223.16363636363636</v>
      </c>
      <c r="G142" t="s">
        <v>20</v>
      </c>
      <c r="H142" s="5">
        <f t="shared" si="12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8">
        <f t="shared" si="14"/>
        <v>43156.25</v>
      </c>
      <c r="N142">
        <v>1519970400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3"/>
        <v>101.59097978227061</v>
      </c>
      <c r="G143" t="s">
        <v>20</v>
      </c>
      <c r="H143" s="5">
        <f t="shared" si="12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8">
        <f t="shared" si="14"/>
        <v>42167.208333333328</v>
      </c>
      <c r="N143">
        <v>1434603600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3"/>
        <v>230.03999999999996</v>
      </c>
      <c r="G144" t="s">
        <v>20</v>
      </c>
      <c r="H144" s="5">
        <f t="shared" si="12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8">
        <f t="shared" si="14"/>
        <v>41005.208333333336</v>
      </c>
      <c r="N144">
        <v>1337230800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3"/>
        <v>135.59259259259261</v>
      </c>
      <c r="G145" t="s">
        <v>20</v>
      </c>
      <c r="H145" s="5">
        <f t="shared" si="12"/>
        <v>104.6</v>
      </c>
      <c r="I145">
        <v>70</v>
      </c>
      <c r="J145" t="s">
        <v>21</v>
      </c>
      <c r="K145" t="s">
        <v>22</v>
      </c>
      <c r="L145">
        <v>1277701200</v>
      </c>
      <c r="M145" s="8">
        <f t="shared" si="14"/>
        <v>40357.208333333336</v>
      </c>
      <c r="N145">
        <v>1279429200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3"/>
        <v>129.1</v>
      </c>
      <c r="G146" t="s">
        <v>20</v>
      </c>
      <c r="H146" s="5">
        <f t="shared" si="12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8">
        <f t="shared" si="14"/>
        <v>43633.208333333328</v>
      </c>
      <c r="N146">
        <v>1561438800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3"/>
        <v>236.512</v>
      </c>
      <c r="G147" t="s">
        <v>20</v>
      </c>
      <c r="H147" s="5">
        <f t="shared" si="12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8">
        <f t="shared" si="14"/>
        <v>41889.208333333336</v>
      </c>
      <c r="N147">
        <v>1410498000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3"/>
        <v>17.25</v>
      </c>
      <c r="G148" t="s">
        <v>74</v>
      </c>
      <c r="H148" s="5">
        <f t="shared" si="12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8">
        <f t="shared" si="14"/>
        <v>40855.25</v>
      </c>
      <c r="N148">
        <v>1322460000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3"/>
        <v>112.49397590361446</v>
      </c>
      <c r="G149" t="s">
        <v>20</v>
      </c>
      <c r="H149" s="5">
        <f t="shared" si="12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8">
        <f t="shared" si="14"/>
        <v>42534.208333333328</v>
      </c>
      <c r="N149">
        <v>1466312400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3"/>
        <v>121.02150537634408</v>
      </c>
      <c r="G150" t="s">
        <v>20</v>
      </c>
      <c r="H150" s="5">
        <f t="shared" si="12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8">
        <f t="shared" si="14"/>
        <v>42941.208333333328</v>
      </c>
      <c r="N150">
        <v>1501736400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3"/>
        <v>219.87096774193549</v>
      </c>
      <c r="G151" t="s">
        <v>20</v>
      </c>
      <c r="H151" s="5">
        <f t="shared" si="12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8">
        <f t="shared" si="14"/>
        <v>41275.25</v>
      </c>
      <c r="N151">
        <v>1361512800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3"/>
        <v>1</v>
      </c>
      <c r="G152" t="s">
        <v>14</v>
      </c>
      <c r="H152" s="5">
        <f t="shared" si="12"/>
        <v>1</v>
      </c>
      <c r="I152">
        <v>1</v>
      </c>
      <c r="J152" t="s">
        <v>21</v>
      </c>
      <c r="K152" t="s">
        <v>22</v>
      </c>
      <c r="L152">
        <v>1544940000</v>
      </c>
      <c r="M152" s="8">
        <f t="shared" si="14"/>
        <v>43450.25</v>
      </c>
      <c r="N152">
        <v>1545026400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3"/>
        <v>64.166909620991248</v>
      </c>
      <c r="G153" t="s">
        <v>14</v>
      </c>
      <c r="H153" s="5">
        <f t="shared" si="12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8">
        <f t="shared" si="14"/>
        <v>41799.208333333336</v>
      </c>
      <c r="N153">
        <v>1406696400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3"/>
        <v>423.06746987951806</v>
      </c>
      <c r="G154" t="s">
        <v>20</v>
      </c>
      <c r="H154" s="5">
        <f t="shared" si="12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8">
        <f t="shared" si="14"/>
        <v>42783.25</v>
      </c>
      <c r="N154">
        <v>1487916000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3"/>
        <v>92.984160506863773</v>
      </c>
      <c r="G155" t="s">
        <v>14</v>
      </c>
      <c r="H155" s="5">
        <f t="shared" si="12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8">
        <f t="shared" si="14"/>
        <v>41201.208333333336</v>
      </c>
      <c r="N155">
        <v>1351141200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3"/>
        <v>58.756567425569173</v>
      </c>
      <c r="G156" t="s">
        <v>14</v>
      </c>
      <c r="H156" s="5">
        <f t="shared" si="12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8">
        <f t="shared" si="14"/>
        <v>42502.208333333328</v>
      </c>
      <c r="N156">
        <v>1465016400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3"/>
        <v>65.022222222222226</v>
      </c>
      <c r="G157" t="s">
        <v>14</v>
      </c>
      <c r="H157" s="5">
        <f t="shared" si="12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8">
        <f t="shared" si="14"/>
        <v>40262.208333333336</v>
      </c>
      <c r="N157">
        <v>1270789200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3"/>
        <v>73.939560439560438</v>
      </c>
      <c r="G158" t="s">
        <v>74</v>
      </c>
      <c r="H158" s="5">
        <f t="shared" si="12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8">
        <f t="shared" si="14"/>
        <v>43743.208333333328</v>
      </c>
      <c r="N158">
        <v>1572325200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3"/>
        <v>52.666666666666664</v>
      </c>
      <c r="G159" t="s">
        <v>14</v>
      </c>
      <c r="H159" s="5">
        <f t="shared" si="12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8">
        <f t="shared" si="14"/>
        <v>41638.25</v>
      </c>
      <c r="N159">
        <v>1389420000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3"/>
        <v>220.95238095238096</v>
      </c>
      <c r="G160" t="s">
        <v>20</v>
      </c>
      <c r="H160" s="5">
        <f t="shared" si="12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8">
        <f t="shared" si="14"/>
        <v>42346.25</v>
      </c>
      <c r="N160">
        <v>1449640800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3"/>
        <v>100.01150627615063</v>
      </c>
      <c r="G161" t="s">
        <v>20</v>
      </c>
      <c r="H161" s="5">
        <f t="shared" si="12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8">
        <f t="shared" si="14"/>
        <v>43551.208333333328</v>
      </c>
      <c r="N161">
        <v>1555218000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3"/>
        <v>162.3125</v>
      </c>
      <c r="G162" t="s">
        <v>20</v>
      </c>
      <c r="H162" s="5">
        <f t="shared" si="12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8">
        <f t="shared" si="14"/>
        <v>43582.208333333328</v>
      </c>
      <c r="N162">
        <v>1557723600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3"/>
        <v>78.181818181818187</v>
      </c>
      <c r="G163" t="s">
        <v>14</v>
      </c>
      <c r="H163" s="5">
        <f t="shared" si="12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8">
        <f t="shared" si="14"/>
        <v>42270.208333333328</v>
      </c>
      <c r="N163">
        <v>1443502800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3"/>
        <v>149.73770491803279</v>
      </c>
      <c r="G164" t="s">
        <v>20</v>
      </c>
      <c r="H164" s="5">
        <f t="shared" si="12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8">
        <f t="shared" si="14"/>
        <v>43442.25</v>
      </c>
      <c r="N164">
        <v>1546840800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3"/>
        <v>253.25714285714284</v>
      </c>
      <c r="G165" t="s">
        <v>20</v>
      </c>
      <c r="H165" s="5">
        <f t="shared" si="12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8">
        <f t="shared" si="14"/>
        <v>43028.208333333328</v>
      </c>
      <c r="N165">
        <v>1512712800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3"/>
        <v>100.16943521594683</v>
      </c>
      <c r="G166" t="s">
        <v>20</v>
      </c>
      <c r="H166" s="5">
        <f t="shared" si="12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8">
        <f t="shared" si="14"/>
        <v>43016.208333333328</v>
      </c>
      <c r="N166">
        <v>1507525200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3"/>
        <v>121.99004424778761</v>
      </c>
      <c r="G167" t="s">
        <v>20</v>
      </c>
      <c r="H167" s="5">
        <f t="shared" si="12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8">
        <f t="shared" si="14"/>
        <v>42948.208333333328</v>
      </c>
      <c r="N167">
        <v>1504328400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3"/>
        <v>137.13265306122449</v>
      </c>
      <c r="G168" t="s">
        <v>20</v>
      </c>
      <c r="H168" s="5">
        <f t="shared" si="12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8">
        <f t="shared" si="14"/>
        <v>40534.25</v>
      </c>
      <c r="N168">
        <v>1293343200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3"/>
        <v>415.53846153846149</v>
      </c>
      <c r="G169" t="s">
        <v>20</v>
      </c>
      <c r="H169" s="5">
        <f t="shared" si="12"/>
        <v>74</v>
      </c>
      <c r="I169">
        <v>146</v>
      </c>
      <c r="J169" t="s">
        <v>26</v>
      </c>
      <c r="K169" t="s">
        <v>27</v>
      </c>
      <c r="L169">
        <v>1370840400</v>
      </c>
      <c r="M169" s="8">
        <f t="shared" si="14"/>
        <v>41435.208333333336</v>
      </c>
      <c r="N169">
        <v>1371704400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3"/>
        <v>31.30913348946136</v>
      </c>
      <c r="G170" t="s">
        <v>14</v>
      </c>
      <c r="H170" s="5">
        <f t="shared" si="12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8">
        <f t="shared" si="14"/>
        <v>43518.25</v>
      </c>
      <c r="N170">
        <v>1552798800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3"/>
        <v>424.08154506437768</v>
      </c>
      <c r="G171" t="s">
        <v>20</v>
      </c>
      <c r="H171" s="5">
        <f t="shared" si="12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8">
        <f t="shared" si="14"/>
        <v>41077.208333333336</v>
      </c>
      <c r="N171">
        <v>1342328400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3"/>
        <v>2.93886230728336</v>
      </c>
      <c r="G172" t="s">
        <v>14</v>
      </c>
      <c r="H172" s="5">
        <f t="shared" si="12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8">
        <f t="shared" si="14"/>
        <v>42950.208333333328</v>
      </c>
      <c r="N172">
        <v>1502341200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3"/>
        <v>10.63265306122449</v>
      </c>
      <c r="G173" t="s">
        <v>14</v>
      </c>
      <c r="H173" s="5">
        <f t="shared" si="12"/>
        <v>104.2</v>
      </c>
      <c r="I173">
        <v>5</v>
      </c>
      <c r="J173" t="s">
        <v>21</v>
      </c>
      <c r="K173" t="s">
        <v>22</v>
      </c>
      <c r="L173">
        <v>1395291600</v>
      </c>
      <c r="M173" s="8">
        <f t="shared" si="14"/>
        <v>41718.208333333336</v>
      </c>
      <c r="N173">
        <v>1397192400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3"/>
        <v>82.875</v>
      </c>
      <c r="G174" t="s">
        <v>14</v>
      </c>
      <c r="H174" s="5">
        <f t="shared" si="12"/>
        <v>25.5</v>
      </c>
      <c r="I174">
        <v>26</v>
      </c>
      <c r="J174" t="s">
        <v>21</v>
      </c>
      <c r="K174" t="s">
        <v>22</v>
      </c>
      <c r="L174">
        <v>1405746000</v>
      </c>
      <c r="M174" s="8">
        <f t="shared" si="14"/>
        <v>41839.208333333336</v>
      </c>
      <c r="N174">
        <v>1407042000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3"/>
        <v>163.01447776628748</v>
      </c>
      <c r="G175" t="s">
        <v>20</v>
      </c>
      <c r="H175" s="5">
        <f t="shared" si="12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8">
        <f t="shared" si="14"/>
        <v>41412.208333333336</v>
      </c>
      <c r="N175">
        <v>1369371600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3"/>
        <v>894.66666666666674</v>
      </c>
      <c r="G176" t="s">
        <v>20</v>
      </c>
      <c r="H176" s="5">
        <f t="shared" si="12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8">
        <f t="shared" si="14"/>
        <v>42282.208333333328</v>
      </c>
      <c r="N176">
        <v>1444107600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3"/>
        <v>26.191501103752756</v>
      </c>
      <c r="G177" t="s">
        <v>14</v>
      </c>
      <c r="H177" s="5">
        <f t="shared" si="12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8">
        <f t="shared" si="14"/>
        <v>42613.208333333328</v>
      </c>
      <c r="N177">
        <v>1474261200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3"/>
        <v>74.834782608695647</v>
      </c>
      <c r="G178" t="s">
        <v>14</v>
      </c>
      <c r="H178" s="5">
        <f t="shared" si="12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8">
        <f t="shared" si="14"/>
        <v>42616.208333333328</v>
      </c>
      <c r="N178">
        <v>1473656400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3"/>
        <v>416.47680412371136</v>
      </c>
      <c r="G179" t="s">
        <v>20</v>
      </c>
      <c r="H179" s="5">
        <f t="shared" si="12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8">
        <f t="shared" si="14"/>
        <v>40497.25</v>
      </c>
      <c r="N179">
        <v>1291960800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3"/>
        <v>96.208333333333329</v>
      </c>
      <c r="G180" t="s">
        <v>14</v>
      </c>
      <c r="H180" s="5">
        <f t="shared" si="12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8">
        <f t="shared" si="14"/>
        <v>42999.208333333328</v>
      </c>
      <c r="N180">
        <v>1506747600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3"/>
        <v>357.71910112359546</v>
      </c>
      <c r="G181" t="s">
        <v>20</v>
      </c>
      <c r="H181" s="5">
        <f t="shared" si="12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8">
        <f t="shared" si="14"/>
        <v>41350.208333333336</v>
      </c>
      <c r="N181">
        <v>1363582800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3"/>
        <v>308.45714285714286</v>
      </c>
      <c r="G182" t="s">
        <v>20</v>
      </c>
      <c r="H182" s="5">
        <f t="shared" si="12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8">
        <f t="shared" si="14"/>
        <v>40259.208333333336</v>
      </c>
      <c r="N182">
        <v>1269666000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3"/>
        <v>61.802325581395344</v>
      </c>
      <c r="G183" t="s">
        <v>14</v>
      </c>
      <c r="H183" s="5">
        <f t="shared" si="12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8">
        <f t="shared" si="14"/>
        <v>43012.208333333328</v>
      </c>
      <c r="N183">
        <v>1508648400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3"/>
        <v>722.32472324723244</v>
      </c>
      <c r="G184" t="s">
        <v>20</v>
      </c>
      <c r="H184" s="5">
        <f t="shared" si="12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8">
        <f t="shared" si="14"/>
        <v>43631.208333333328</v>
      </c>
      <c r="N184">
        <v>1561957200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3"/>
        <v>69.117647058823522</v>
      </c>
      <c r="G185" t="s">
        <v>14</v>
      </c>
      <c r="H185" s="5">
        <f t="shared" si="12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8">
        <f t="shared" si="14"/>
        <v>40430.208333333336</v>
      </c>
      <c r="N185">
        <v>1285131600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3"/>
        <v>293.05555555555554</v>
      </c>
      <c r="G186" t="s">
        <v>20</v>
      </c>
      <c r="H186" s="5">
        <f t="shared" si="12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8">
        <f t="shared" si="14"/>
        <v>43588.208333333328</v>
      </c>
      <c r="N186">
        <v>1556946000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3"/>
        <v>71.8</v>
      </c>
      <c r="G187" t="s">
        <v>14</v>
      </c>
      <c r="H187" s="5">
        <f t="shared" si="12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8">
        <f t="shared" si="14"/>
        <v>43233.208333333328</v>
      </c>
      <c r="N187">
        <v>1527138000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3"/>
        <v>31.934684684684683</v>
      </c>
      <c r="G188" t="s">
        <v>14</v>
      </c>
      <c r="H188" s="5">
        <f t="shared" si="12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8">
        <f t="shared" si="14"/>
        <v>41782.208333333336</v>
      </c>
      <c r="N188">
        <v>1402117200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3"/>
        <v>229.87375415282392</v>
      </c>
      <c r="G189" t="s">
        <v>20</v>
      </c>
      <c r="H189" s="5">
        <f t="shared" si="12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8">
        <f t="shared" si="14"/>
        <v>41328.25</v>
      </c>
      <c r="N189">
        <v>1364014800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3"/>
        <v>32.012195121951223</v>
      </c>
      <c r="G190" t="s">
        <v>14</v>
      </c>
      <c r="H190" s="5">
        <f t="shared" si="12"/>
        <v>75</v>
      </c>
      <c r="I190">
        <v>35</v>
      </c>
      <c r="J190" t="s">
        <v>107</v>
      </c>
      <c r="K190" t="s">
        <v>108</v>
      </c>
      <c r="L190">
        <v>1417500000</v>
      </c>
      <c r="M190" s="8">
        <f t="shared" si="14"/>
        <v>41975.25</v>
      </c>
      <c r="N190">
        <v>1417586400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3"/>
        <v>23.525352848928385</v>
      </c>
      <c r="G191" t="s">
        <v>74</v>
      </c>
      <c r="H191" s="5">
        <f t="shared" si="12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8">
        <f t="shared" si="14"/>
        <v>42433.25</v>
      </c>
      <c r="N191">
        <v>1457071200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3"/>
        <v>68.594594594594597</v>
      </c>
      <c r="G192" t="s">
        <v>14</v>
      </c>
      <c r="H192" s="5">
        <f t="shared" si="12"/>
        <v>105.75</v>
      </c>
      <c r="I192">
        <v>24</v>
      </c>
      <c r="J192" t="s">
        <v>21</v>
      </c>
      <c r="K192" t="s">
        <v>22</v>
      </c>
      <c r="L192">
        <v>1370322000</v>
      </c>
      <c r="M192" s="8">
        <f t="shared" si="14"/>
        <v>41429.208333333336</v>
      </c>
      <c r="N192">
        <v>1370408400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3"/>
        <v>37.952380952380956</v>
      </c>
      <c r="G193" t="s">
        <v>14</v>
      </c>
      <c r="H193" s="5">
        <f t="shared" si="12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8">
        <f t="shared" si="14"/>
        <v>43536.208333333328</v>
      </c>
      <c r="N193">
        <v>1552626000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3"/>
        <v>19.992957746478872</v>
      </c>
      <c r="G194" t="s">
        <v>14</v>
      </c>
      <c r="H194" s="5">
        <f t="shared" ref="H194:H257" si="18">IFERROR(E194/I194,0)</f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8">
        <f t="shared" si="14"/>
        <v>41817.208333333336</v>
      </c>
      <c r="N194">
        <v>1404190800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9">E195/D195*100</f>
        <v>45.636363636363633</v>
      </c>
      <c r="G195" t="s">
        <v>14</v>
      </c>
      <c r="H195" s="5">
        <f t="shared" si="18"/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8">
        <f t="shared" ref="M195:M258" si="20">(((L195/60)/60)/24)+DATE(1970,1,1)</f>
        <v>43198.208333333328</v>
      </c>
      <c r="N195">
        <v>1523509200</v>
      </c>
      <c r="O195" s="8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9"/>
        <v>122.7605633802817</v>
      </c>
      <c r="G196" t="s">
        <v>20</v>
      </c>
      <c r="H196" s="5">
        <f t="shared" si="18"/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8">
        <f t="shared" si="20"/>
        <v>42261.208333333328</v>
      </c>
      <c r="N196">
        <v>1443589200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9"/>
        <v>361.75316455696202</v>
      </c>
      <c r="G197" t="s">
        <v>20</v>
      </c>
      <c r="H197" s="5">
        <f t="shared" si="18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8">
        <f t="shared" si="20"/>
        <v>43310.208333333328</v>
      </c>
      <c r="N197">
        <v>1533445200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9"/>
        <v>63.146341463414636</v>
      </c>
      <c r="G198" t="s">
        <v>14</v>
      </c>
      <c r="H198" s="5">
        <f t="shared" si="18"/>
        <v>51.78</v>
      </c>
      <c r="I198">
        <v>100</v>
      </c>
      <c r="J198" t="s">
        <v>36</v>
      </c>
      <c r="K198" t="s">
        <v>37</v>
      </c>
      <c r="L198">
        <v>1472878800</v>
      </c>
      <c r="M198" s="8">
        <f t="shared" si="20"/>
        <v>42616.208333333328</v>
      </c>
      <c r="N198">
        <v>1474520400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9"/>
        <v>298.20475319926874</v>
      </c>
      <c r="G199" t="s">
        <v>20</v>
      </c>
      <c r="H199" s="5">
        <f t="shared" si="18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8">
        <f t="shared" si="20"/>
        <v>42909.208333333328</v>
      </c>
      <c r="N199">
        <v>1499403600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9"/>
        <v>9.5585443037974684</v>
      </c>
      <c r="G200" t="s">
        <v>14</v>
      </c>
      <c r="H200" s="5">
        <f t="shared" si="18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8">
        <f t="shared" si="20"/>
        <v>40396.208333333336</v>
      </c>
      <c r="N200">
        <v>1283576400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9"/>
        <v>53.777777777777779</v>
      </c>
      <c r="G201" t="s">
        <v>14</v>
      </c>
      <c r="H201" s="5">
        <f t="shared" si="18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8">
        <f t="shared" si="20"/>
        <v>42192.208333333328</v>
      </c>
      <c r="N201">
        <v>1436590800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9"/>
        <v>2</v>
      </c>
      <c r="G202" t="s">
        <v>14</v>
      </c>
      <c r="H202" s="5">
        <f t="shared" si="18"/>
        <v>2</v>
      </c>
      <c r="I202">
        <v>1</v>
      </c>
      <c r="J202" t="s">
        <v>15</v>
      </c>
      <c r="K202" t="s">
        <v>16</v>
      </c>
      <c r="L202">
        <v>1269493200</v>
      </c>
      <c r="M202" s="8">
        <f t="shared" si="20"/>
        <v>40262.208333333336</v>
      </c>
      <c r="N202">
        <v>1270443600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9"/>
        <v>681.19047619047615</v>
      </c>
      <c r="G203" t="s">
        <v>20</v>
      </c>
      <c r="H203" s="5">
        <f t="shared" si="18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8">
        <f t="shared" si="20"/>
        <v>41845.208333333336</v>
      </c>
      <c r="N203">
        <v>1407819600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9"/>
        <v>78.831325301204828</v>
      </c>
      <c r="G204" t="s">
        <v>74</v>
      </c>
      <c r="H204" s="5">
        <f t="shared" si="18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8">
        <f t="shared" si="20"/>
        <v>40818.208333333336</v>
      </c>
      <c r="N204">
        <v>1317877200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9"/>
        <v>134.40792216817235</v>
      </c>
      <c r="G205" t="s">
        <v>20</v>
      </c>
      <c r="H205" s="5">
        <f t="shared" si="18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8">
        <f t="shared" si="20"/>
        <v>42752.25</v>
      </c>
      <c r="N205">
        <v>1484805600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9"/>
        <v>3.3719999999999999</v>
      </c>
      <c r="G206" t="s">
        <v>14</v>
      </c>
      <c r="H206" s="5">
        <f t="shared" si="18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8">
        <f t="shared" si="20"/>
        <v>40636.208333333336</v>
      </c>
      <c r="N206">
        <v>1302670800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9"/>
        <v>431.84615384615387</v>
      </c>
      <c r="G207" t="s">
        <v>20</v>
      </c>
      <c r="H207" s="5">
        <f t="shared" si="18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8">
        <f t="shared" si="20"/>
        <v>43390.208333333328</v>
      </c>
      <c r="N207">
        <v>1540789200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9"/>
        <v>38.844444444444441</v>
      </c>
      <c r="G208" t="s">
        <v>74</v>
      </c>
      <c r="H208" s="5">
        <f t="shared" si="18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8">
        <f t="shared" si="20"/>
        <v>40236.25</v>
      </c>
      <c r="N208">
        <v>1268028000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9"/>
        <v>425.7</v>
      </c>
      <c r="G209" t="s">
        <v>20</v>
      </c>
      <c r="H209" s="5">
        <f t="shared" si="18"/>
        <v>99</v>
      </c>
      <c r="I209">
        <v>43</v>
      </c>
      <c r="J209" t="s">
        <v>21</v>
      </c>
      <c r="K209" t="s">
        <v>22</v>
      </c>
      <c r="L209">
        <v>1535432400</v>
      </c>
      <c r="M209" s="8">
        <f t="shared" si="20"/>
        <v>43340.208333333328</v>
      </c>
      <c r="N209">
        <v>1537160400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9"/>
        <v>101.12239715591672</v>
      </c>
      <c r="G210" t="s">
        <v>20</v>
      </c>
      <c r="H210" s="5">
        <f t="shared" si="18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8">
        <f t="shared" si="20"/>
        <v>43048.25</v>
      </c>
      <c r="N210">
        <v>1512280800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9"/>
        <v>21.188688946015425</v>
      </c>
      <c r="G211" t="s">
        <v>47</v>
      </c>
      <c r="H211" s="5">
        <f t="shared" si="18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8">
        <f t="shared" si="20"/>
        <v>42496.208333333328</v>
      </c>
      <c r="N211">
        <v>1463115600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9"/>
        <v>67.425531914893625</v>
      </c>
      <c r="G212" t="s">
        <v>14</v>
      </c>
      <c r="H212" s="5">
        <f t="shared" si="18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8">
        <f t="shared" si="20"/>
        <v>42797.25</v>
      </c>
      <c r="N212">
        <v>1490850000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9"/>
        <v>94.923371647509583</v>
      </c>
      <c r="G213" t="s">
        <v>14</v>
      </c>
      <c r="H213" s="5">
        <f t="shared" si="18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8">
        <f t="shared" si="20"/>
        <v>41513.208333333336</v>
      </c>
      <c r="N213">
        <v>1379653200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9"/>
        <v>151.85185185185185</v>
      </c>
      <c r="G214" t="s">
        <v>20</v>
      </c>
      <c r="H214" s="5">
        <f t="shared" si="18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8">
        <f t="shared" si="20"/>
        <v>43814.25</v>
      </c>
      <c r="N214">
        <v>1580364000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9"/>
        <v>195.16382252559728</v>
      </c>
      <c r="G215" t="s">
        <v>20</v>
      </c>
      <c r="H215" s="5">
        <f t="shared" si="18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8">
        <f t="shared" si="20"/>
        <v>40488.208333333336</v>
      </c>
      <c r="N215">
        <v>1289714400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9"/>
        <v>1023.1428571428571</v>
      </c>
      <c r="G216" t="s">
        <v>20</v>
      </c>
      <c r="H216" s="5">
        <f t="shared" si="18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8">
        <f t="shared" si="20"/>
        <v>40409.208333333336</v>
      </c>
      <c r="N216">
        <v>1282712400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9"/>
        <v>3.841836734693878</v>
      </c>
      <c r="G217" t="s">
        <v>14</v>
      </c>
      <c r="H217" s="5">
        <f t="shared" si="18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8">
        <f t="shared" si="20"/>
        <v>43509.25</v>
      </c>
      <c r="N217">
        <v>1550210400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9"/>
        <v>155.07066557107643</v>
      </c>
      <c r="G218" t="s">
        <v>20</v>
      </c>
      <c r="H218" s="5">
        <f t="shared" si="18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8">
        <f t="shared" si="20"/>
        <v>40869.25</v>
      </c>
      <c r="N218">
        <v>1322114400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9"/>
        <v>44.753477588871718</v>
      </c>
      <c r="G219" t="s">
        <v>14</v>
      </c>
      <c r="H219" s="5">
        <f t="shared" si="18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8">
        <f t="shared" si="20"/>
        <v>43583.208333333328</v>
      </c>
      <c r="N219">
        <v>1557205200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9"/>
        <v>215.94736842105263</v>
      </c>
      <c r="G220" t="s">
        <v>20</v>
      </c>
      <c r="H220" s="5">
        <f t="shared" si="18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8">
        <f t="shared" si="20"/>
        <v>40858.25</v>
      </c>
      <c r="N220">
        <v>1323928800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9"/>
        <v>332.12709832134288</v>
      </c>
      <c r="G221" t="s">
        <v>20</v>
      </c>
      <c r="H221" s="5">
        <f t="shared" si="18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8">
        <f t="shared" si="20"/>
        <v>41137.208333333336</v>
      </c>
      <c r="N221">
        <v>1346130000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9"/>
        <v>8.4430379746835449</v>
      </c>
      <c r="G222" t="s">
        <v>14</v>
      </c>
      <c r="H222" s="5">
        <f t="shared" si="18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8">
        <f t="shared" si="20"/>
        <v>40725.208333333336</v>
      </c>
      <c r="N222">
        <v>1311051600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9"/>
        <v>98.625514403292186</v>
      </c>
      <c r="G223" t="s">
        <v>14</v>
      </c>
      <c r="H223" s="5">
        <f t="shared" si="18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8">
        <f t="shared" si="20"/>
        <v>41081.208333333336</v>
      </c>
      <c r="N223">
        <v>1340427600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9"/>
        <v>137.97916666666669</v>
      </c>
      <c r="G224" t="s">
        <v>20</v>
      </c>
      <c r="H224" s="5">
        <f t="shared" si="18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8">
        <f t="shared" si="20"/>
        <v>41914.208333333336</v>
      </c>
      <c r="N224">
        <v>1412312400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9"/>
        <v>93.81099656357388</v>
      </c>
      <c r="G225" t="s">
        <v>14</v>
      </c>
      <c r="H225" s="5">
        <f t="shared" si="18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8">
        <f t="shared" si="20"/>
        <v>42445.208333333328</v>
      </c>
      <c r="N225">
        <v>1459314000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9"/>
        <v>403.63930885529157</v>
      </c>
      <c r="G226" t="s">
        <v>20</v>
      </c>
      <c r="H226" s="5">
        <f t="shared" si="18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8">
        <f t="shared" si="20"/>
        <v>41906.208333333336</v>
      </c>
      <c r="N226">
        <v>1415426400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9"/>
        <v>260.1740412979351</v>
      </c>
      <c r="G227" t="s">
        <v>20</v>
      </c>
      <c r="H227" s="5">
        <f t="shared" si="18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8">
        <f t="shared" si="20"/>
        <v>41762.208333333336</v>
      </c>
      <c r="N227">
        <v>1399093200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9"/>
        <v>366.63333333333333</v>
      </c>
      <c r="G228" t="s">
        <v>20</v>
      </c>
      <c r="H228" s="5">
        <f t="shared" si="18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8">
        <f t="shared" si="20"/>
        <v>40276.208333333336</v>
      </c>
      <c r="N228">
        <v>1273899600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9"/>
        <v>168.72085385878489</v>
      </c>
      <c r="G229" t="s">
        <v>20</v>
      </c>
      <c r="H229" s="5">
        <f t="shared" si="18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8">
        <f t="shared" si="20"/>
        <v>42139.208333333328</v>
      </c>
      <c r="N229">
        <v>1432184400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9"/>
        <v>119.90717911530093</v>
      </c>
      <c r="G230" t="s">
        <v>20</v>
      </c>
      <c r="H230" s="5">
        <f t="shared" si="18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8">
        <f t="shared" si="20"/>
        <v>42613.208333333328</v>
      </c>
      <c r="N230">
        <v>1474779600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9"/>
        <v>193.68925233644859</v>
      </c>
      <c r="G231" t="s">
        <v>20</v>
      </c>
      <c r="H231" s="5">
        <f t="shared" si="18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8">
        <f t="shared" si="20"/>
        <v>42887.208333333328</v>
      </c>
      <c r="N231">
        <v>1500440400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9"/>
        <v>420.16666666666669</v>
      </c>
      <c r="G232" t="s">
        <v>20</v>
      </c>
      <c r="H232" s="5">
        <f t="shared" si="18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8">
        <f t="shared" si="20"/>
        <v>43805.25</v>
      </c>
      <c r="N232">
        <v>1575612000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9"/>
        <v>76.708333333333329</v>
      </c>
      <c r="G233" t="s">
        <v>74</v>
      </c>
      <c r="H233" s="5">
        <f t="shared" si="18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8">
        <f t="shared" si="20"/>
        <v>41415.208333333336</v>
      </c>
      <c r="N233">
        <v>1374123600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9"/>
        <v>171.26470588235293</v>
      </c>
      <c r="G234" t="s">
        <v>20</v>
      </c>
      <c r="H234" s="5">
        <f t="shared" si="18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8">
        <f t="shared" si="20"/>
        <v>42576.208333333328</v>
      </c>
      <c r="N234">
        <v>1469509200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9"/>
        <v>157.89473684210526</v>
      </c>
      <c r="G235" t="s">
        <v>20</v>
      </c>
      <c r="H235" s="5">
        <f t="shared" si="18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8">
        <f t="shared" si="20"/>
        <v>40706.208333333336</v>
      </c>
      <c r="N235">
        <v>1309237200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9"/>
        <v>109.08</v>
      </c>
      <c r="G236" t="s">
        <v>20</v>
      </c>
      <c r="H236" s="5">
        <f t="shared" si="18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8">
        <f t="shared" si="20"/>
        <v>42969.208333333328</v>
      </c>
      <c r="N236">
        <v>1503982800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9"/>
        <v>41.732558139534881</v>
      </c>
      <c r="G237" t="s">
        <v>14</v>
      </c>
      <c r="H237" s="5">
        <f t="shared" si="18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8">
        <f t="shared" si="20"/>
        <v>42779.25</v>
      </c>
      <c r="N237">
        <v>1487397600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9"/>
        <v>10.944303797468354</v>
      </c>
      <c r="G238" t="s">
        <v>14</v>
      </c>
      <c r="H238" s="5">
        <f t="shared" si="18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8">
        <f t="shared" si="20"/>
        <v>43641.208333333328</v>
      </c>
      <c r="N238">
        <v>1562043600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9"/>
        <v>159.3763440860215</v>
      </c>
      <c r="G239" t="s">
        <v>20</v>
      </c>
      <c r="H239" s="5">
        <f t="shared" si="18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8">
        <f t="shared" si="20"/>
        <v>41754.208333333336</v>
      </c>
      <c r="N239">
        <v>1398574800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9"/>
        <v>422.41666666666669</v>
      </c>
      <c r="G240" t="s">
        <v>20</v>
      </c>
      <c r="H240" s="5">
        <f t="shared" si="18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8">
        <f t="shared" si="20"/>
        <v>43083.25</v>
      </c>
      <c r="N240">
        <v>1515391200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9"/>
        <v>97.71875</v>
      </c>
      <c r="G241" t="s">
        <v>14</v>
      </c>
      <c r="H241" s="5">
        <f t="shared" si="18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8">
        <f t="shared" si="20"/>
        <v>42245.208333333328</v>
      </c>
      <c r="N241">
        <v>1441170000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9"/>
        <v>418.78911564625849</v>
      </c>
      <c r="G242" t="s">
        <v>20</v>
      </c>
      <c r="H242" s="5">
        <f t="shared" si="18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8">
        <f t="shared" si="20"/>
        <v>40396.208333333336</v>
      </c>
      <c r="N242">
        <v>1281157200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9"/>
        <v>101.91632047477745</v>
      </c>
      <c r="G243" t="s">
        <v>20</v>
      </c>
      <c r="H243" s="5">
        <f t="shared" si="18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8">
        <f t="shared" si="20"/>
        <v>41742.208333333336</v>
      </c>
      <c r="N243">
        <v>1398229200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9"/>
        <v>127.72619047619047</v>
      </c>
      <c r="G244" t="s">
        <v>20</v>
      </c>
      <c r="H244" s="5">
        <f t="shared" si="18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8">
        <f t="shared" si="20"/>
        <v>42865.208333333328</v>
      </c>
      <c r="N244">
        <v>1495256400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9"/>
        <v>445.21739130434781</v>
      </c>
      <c r="G245" t="s">
        <v>20</v>
      </c>
      <c r="H245" s="5">
        <f t="shared" si="18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8">
        <f t="shared" si="20"/>
        <v>43163.25</v>
      </c>
      <c r="N245">
        <v>1520402400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9"/>
        <v>569.71428571428578</v>
      </c>
      <c r="G246" t="s">
        <v>20</v>
      </c>
      <c r="H246" s="5">
        <f t="shared" si="18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8">
        <f t="shared" si="20"/>
        <v>41834.208333333336</v>
      </c>
      <c r="N246">
        <v>1409806800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9"/>
        <v>509.34482758620686</v>
      </c>
      <c r="G247" t="s">
        <v>20</v>
      </c>
      <c r="H247" s="5">
        <f t="shared" si="18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8">
        <f t="shared" si="20"/>
        <v>41736.208333333336</v>
      </c>
      <c r="N247">
        <v>1396933200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9"/>
        <v>325.5333333333333</v>
      </c>
      <c r="G248" t="s">
        <v>20</v>
      </c>
      <c r="H248" s="5">
        <f t="shared" si="18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8">
        <f t="shared" si="20"/>
        <v>41491.208333333336</v>
      </c>
      <c r="N248">
        <v>1376024400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9"/>
        <v>932.61616161616166</v>
      </c>
      <c r="G249" t="s">
        <v>20</v>
      </c>
      <c r="H249" s="5">
        <f t="shared" si="18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8">
        <f t="shared" si="20"/>
        <v>42726.25</v>
      </c>
      <c r="N249">
        <v>1483682400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9"/>
        <v>211.33870967741933</v>
      </c>
      <c r="G250" t="s">
        <v>20</v>
      </c>
      <c r="H250" s="5">
        <f t="shared" si="18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8">
        <f t="shared" si="20"/>
        <v>42004.25</v>
      </c>
      <c r="N250">
        <v>1420437600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9"/>
        <v>273.32520325203251</v>
      </c>
      <c r="G251" t="s">
        <v>20</v>
      </c>
      <c r="H251" s="5">
        <f t="shared" si="18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8">
        <f t="shared" si="20"/>
        <v>42006.25</v>
      </c>
      <c r="N251">
        <v>1420783200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9"/>
        <v>3</v>
      </c>
      <c r="G252" t="s">
        <v>14</v>
      </c>
      <c r="H252" s="5">
        <f t="shared" si="18"/>
        <v>3</v>
      </c>
      <c r="I252">
        <v>1</v>
      </c>
      <c r="J252" t="s">
        <v>21</v>
      </c>
      <c r="K252" t="s">
        <v>22</v>
      </c>
      <c r="L252">
        <v>1264399200</v>
      </c>
      <c r="M252" s="8">
        <f t="shared" si="20"/>
        <v>40203.25</v>
      </c>
      <c r="N252">
        <v>1267423200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9"/>
        <v>54.084507042253513</v>
      </c>
      <c r="G253" t="s">
        <v>14</v>
      </c>
      <c r="H253" s="5">
        <f t="shared" si="18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8">
        <f t="shared" si="20"/>
        <v>41252.25</v>
      </c>
      <c r="N253">
        <v>1355205600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9"/>
        <v>626.29999999999995</v>
      </c>
      <c r="G254" t="s">
        <v>20</v>
      </c>
      <c r="H254" s="5">
        <f t="shared" si="18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8">
        <f t="shared" si="20"/>
        <v>41572.208333333336</v>
      </c>
      <c r="N254">
        <v>1383109200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9"/>
        <v>89.021399176954731</v>
      </c>
      <c r="G255" t="s">
        <v>14</v>
      </c>
      <c r="H255" s="5">
        <f t="shared" si="18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8">
        <f t="shared" si="20"/>
        <v>40641.208333333336</v>
      </c>
      <c r="N255">
        <v>1303275600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9"/>
        <v>184.89130434782609</v>
      </c>
      <c r="G256" t="s">
        <v>20</v>
      </c>
      <c r="H256" s="5">
        <f t="shared" si="18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8">
        <f t="shared" si="20"/>
        <v>42787.25</v>
      </c>
      <c r="N256">
        <v>1487829600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9"/>
        <v>120.16770186335404</v>
      </c>
      <c r="G257" t="s">
        <v>20</v>
      </c>
      <c r="H257" s="5">
        <f t="shared" si="18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8">
        <f t="shared" si="20"/>
        <v>40590.25</v>
      </c>
      <c r="N257">
        <v>1298268000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9"/>
        <v>23.390243902439025</v>
      </c>
      <c r="G258" t="s">
        <v>14</v>
      </c>
      <c r="H258" s="5">
        <f t="shared" ref="H258:H321" si="24">IFERROR(E258/I258,0)</f>
        <v>63.93333333333333</v>
      </c>
      <c r="I258">
        <v>15</v>
      </c>
      <c r="J258" t="s">
        <v>40</v>
      </c>
      <c r="K258" t="s">
        <v>41</v>
      </c>
      <c r="L258">
        <v>1453615200</v>
      </c>
      <c r="M258" s="8">
        <f t="shared" si="20"/>
        <v>42393.25</v>
      </c>
      <c r="N258">
        <v>1456812000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5">E259/D259*100</f>
        <v>146</v>
      </c>
      <c r="G259" t="s">
        <v>20</v>
      </c>
      <c r="H259" s="5">
        <f t="shared" si="24"/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8">
        <f t="shared" ref="M259:M322" si="26">(((L259/60)/60)/24)+DATE(1970,1,1)</f>
        <v>41338.25</v>
      </c>
      <c r="N259">
        <v>1363669200</v>
      </c>
      <c r="O259" s="8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5"/>
        <v>268.48</v>
      </c>
      <c r="G260" t="s">
        <v>20</v>
      </c>
      <c r="H260" s="5">
        <f t="shared" si="24"/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8">
        <f t="shared" si="26"/>
        <v>42712.25</v>
      </c>
      <c r="N260">
        <v>1482904800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5"/>
        <v>597.5</v>
      </c>
      <c r="G261" t="s">
        <v>20</v>
      </c>
      <c r="H261" s="5">
        <f t="shared" si="24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8">
        <f t="shared" si="26"/>
        <v>41251.25</v>
      </c>
      <c r="N261">
        <v>1356588000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5"/>
        <v>157.69841269841268</v>
      </c>
      <c r="G262" t="s">
        <v>20</v>
      </c>
      <c r="H262" s="5">
        <f t="shared" si="24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8">
        <f t="shared" si="26"/>
        <v>41180.208333333336</v>
      </c>
      <c r="N262">
        <v>1349845200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5"/>
        <v>31.201660735468568</v>
      </c>
      <c r="G263" t="s">
        <v>14</v>
      </c>
      <c r="H263" s="5">
        <f t="shared" si="24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8">
        <f t="shared" si="26"/>
        <v>40415.208333333336</v>
      </c>
      <c r="N263">
        <v>1283058000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5"/>
        <v>313.41176470588238</v>
      </c>
      <c r="G264" t="s">
        <v>20</v>
      </c>
      <c r="H264" s="5">
        <f t="shared" si="24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8">
        <f t="shared" si="26"/>
        <v>40638.208333333336</v>
      </c>
      <c r="N264">
        <v>1304226000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5"/>
        <v>370.89655172413791</v>
      </c>
      <c r="G265" t="s">
        <v>20</v>
      </c>
      <c r="H265" s="5">
        <f t="shared" si="24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8">
        <f t="shared" si="26"/>
        <v>40187.25</v>
      </c>
      <c r="N265">
        <v>1263016800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5"/>
        <v>362.66447368421052</v>
      </c>
      <c r="G266" t="s">
        <v>20</v>
      </c>
      <c r="H266" s="5">
        <f t="shared" si="24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8">
        <f t="shared" si="26"/>
        <v>41317.25</v>
      </c>
      <c r="N266">
        <v>1362031200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5"/>
        <v>123.08163265306122</v>
      </c>
      <c r="G267" t="s">
        <v>20</v>
      </c>
      <c r="H267" s="5">
        <f t="shared" si="24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8">
        <f t="shared" si="26"/>
        <v>42372.25</v>
      </c>
      <c r="N267">
        <v>1455602400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5"/>
        <v>76.766756032171585</v>
      </c>
      <c r="G268" t="s">
        <v>14</v>
      </c>
      <c r="H268" s="5">
        <f t="shared" si="24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8">
        <f t="shared" si="26"/>
        <v>41950.25</v>
      </c>
      <c r="N268">
        <v>1418191200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5"/>
        <v>233.62012987012989</v>
      </c>
      <c r="G269" t="s">
        <v>20</v>
      </c>
      <c r="H269" s="5">
        <f t="shared" si="24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8">
        <f t="shared" si="26"/>
        <v>41206.208333333336</v>
      </c>
      <c r="N269">
        <v>1352440800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5"/>
        <v>180.53333333333333</v>
      </c>
      <c r="G270" t="s">
        <v>20</v>
      </c>
      <c r="H270" s="5">
        <f t="shared" si="24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8">
        <f t="shared" si="26"/>
        <v>41186.208333333336</v>
      </c>
      <c r="N270">
        <v>1353304800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5"/>
        <v>252.62857142857143</v>
      </c>
      <c r="G271" t="s">
        <v>20</v>
      </c>
      <c r="H271" s="5">
        <f t="shared" si="24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8">
        <f t="shared" si="26"/>
        <v>43496.25</v>
      </c>
      <c r="N271">
        <v>1550728800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5"/>
        <v>27.176538240368025</v>
      </c>
      <c r="G272" t="s">
        <v>74</v>
      </c>
      <c r="H272" s="5">
        <f t="shared" si="24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8">
        <f t="shared" si="26"/>
        <v>40514.25</v>
      </c>
      <c r="N272">
        <v>1291442400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5"/>
        <v>1.2706571242680547</v>
      </c>
      <c r="G273" t="s">
        <v>47</v>
      </c>
      <c r="H273" s="5">
        <f t="shared" si="24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8">
        <f t="shared" si="26"/>
        <v>42345.25</v>
      </c>
      <c r="N273">
        <v>1452146400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5"/>
        <v>304.0097847358121</v>
      </c>
      <c r="G274" t="s">
        <v>20</v>
      </c>
      <c r="H274" s="5">
        <f t="shared" si="24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8">
        <f t="shared" si="26"/>
        <v>43656.208333333328</v>
      </c>
      <c r="N274">
        <v>1564894800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5"/>
        <v>137.23076923076923</v>
      </c>
      <c r="G275" t="s">
        <v>20</v>
      </c>
      <c r="H275" s="5">
        <f t="shared" si="24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8">
        <f t="shared" si="26"/>
        <v>42995.208333333328</v>
      </c>
      <c r="N275">
        <v>1505883600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5"/>
        <v>32.208333333333336</v>
      </c>
      <c r="G276" t="s">
        <v>14</v>
      </c>
      <c r="H276" s="5">
        <f t="shared" si="24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8">
        <f t="shared" si="26"/>
        <v>43045.25</v>
      </c>
      <c r="N276">
        <v>1510380000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5"/>
        <v>241.51282051282053</v>
      </c>
      <c r="G277" t="s">
        <v>20</v>
      </c>
      <c r="H277" s="5">
        <f t="shared" si="24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8">
        <f t="shared" si="26"/>
        <v>43561.208333333328</v>
      </c>
      <c r="N277">
        <v>1555218000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5"/>
        <v>96.8</v>
      </c>
      <c r="G278" t="s">
        <v>14</v>
      </c>
      <c r="H278" s="5">
        <f t="shared" si="24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8">
        <f t="shared" si="26"/>
        <v>41018.208333333336</v>
      </c>
      <c r="N278">
        <v>1335243600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5"/>
        <v>1066.4285714285716</v>
      </c>
      <c r="G279" t="s">
        <v>20</v>
      </c>
      <c r="H279" s="5">
        <f t="shared" si="24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8">
        <f t="shared" si="26"/>
        <v>40378.208333333336</v>
      </c>
      <c r="N279">
        <v>1279688400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5"/>
        <v>325.88888888888891</v>
      </c>
      <c r="G280" t="s">
        <v>20</v>
      </c>
      <c r="H280" s="5">
        <f t="shared" si="24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8">
        <f t="shared" si="26"/>
        <v>41239.25</v>
      </c>
      <c r="N280">
        <v>1356069600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5"/>
        <v>170.70000000000002</v>
      </c>
      <c r="G281" t="s">
        <v>20</v>
      </c>
      <c r="H281" s="5">
        <f t="shared" si="24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8">
        <f t="shared" si="26"/>
        <v>43346.208333333328</v>
      </c>
      <c r="N281">
        <v>1536210000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5"/>
        <v>581.44000000000005</v>
      </c>
      <c r="G282" t="s">
        <v>20</v>
      </c>
      <c r="H282" s="5">
        <f t="shared" si="24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8">
        <f t="shared" si="26"/>
        <v>43060.25</v>
      </c>
      <c r="N282">
        <v>1511762400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5"/>
        <v>91.520972644376897</v>
      </c>
      <c r="G283" t="s">
        <v>14</v>
      </c>
      <c r="H283" s="5">
        <f t="shared" si="24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8">
        <f t="shared" si="26"/>
        <v>40979.25</v>
      </c>
      <c r="N283">
        <v>1333256400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5"/>
        <v>108.04761904761904</v>
      </c>
      <c r="G284" t="s">
        <v>20</v>
      </c>
      <c r="H284" s="5">
        <f t="shared" si="24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8">
        <f t="shared" si="26"/>
        <v>42701.25</v>
      </c>
      <c r="N284">
        <v>1480744800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5"/>
        <v>18.728395061728396</v>
      </c>
      <c r="G285" t="s">
        <v>14</v>
      </c>
      <c r="H285" s="5">
        <f t="shared" si="24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8">
        <f t="shared" si="26"/>
        <v>42520.208333333328</v>
      </c>
      <c r="N285">
        <v>1465016400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5"/>
        <v>83.193877551020407</v>
      </c>
      <c r="G286" t="s">
        <v>14</v>
      </c>
      <c r="H286" s="5">
        <f t="shared" si="24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8">
        <f t="shared" si="26"/>
        <v>41030.208333333336</v>
      </c>
      <c r="N286">
        <v>1336280400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5"/>
        <v>706.33333333333337</v>
      </c>
      <c r="G287" t="s">
        <v>20</v>
      </c>
      <c r="H287" s="5">
        <f t="shared" si="24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8">
        <f t="shared" si="26"/>
        <v>42623.208333333328</v>
      </c>
      <c r="N287">
        <v>1476766800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5"/>
        <v>17.446030330062445</v>
      </c>
      <c r="G288" t="s">
        <v>74</v>
      </c>
      <c r="H288" s="5">
        <f t="shared" si="24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8">
        <f t="shared" si="26"/>
        <v>42697.25</v>
      </c>
      <c r="N288">
        <v>1480485600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5"/>
        <v>209.73015873015873</v>
      </c>
      <c r="G289" t="s">
        <v>20</v>
      </c>
      <c r="H289" s="5">
        <f t="shared" si="24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8">
        <f t="shared" si="26"/>
        <v>42122.208333333328</v>
      </c>
      <c r="N289">
        <v>1430197200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5"/>
        <v>97.785714285714292</v>
      </c>
      <c r="G290" t="s">
        <v>14</v>
      </c>
      <c r="H290" s="5">
        <f t="shared" si="24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8">
        <f t="shared" si="26"/>
        <v>40982.208333333336</v>
      </c>
      <c r="N290">
        <v>1331787600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5"/>
        <v>1684.25</v>
      </c>
      <c r="G291" t="s">
        <v>20</v>
      </c>
      <c r="H291" s="5">
        <f t="shared" si="24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8">
        <f t="shared" si="26"/>
        <v>42219.208333333328</v>
      </c>
      <c r="N291">
        <v>1438837200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5"/>
        <v>54.402135231316727</v>
      </c>
      <c r="G292" t="s">
        <v>14</v>
      </c>
      <c r="H292" s="5">
        <f t="shared" si="24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8">
        <f t="shared" si="26"/>
        <v>41404.208333333336</v>
      </c>
      <c r="N292">
        <v>1370926800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5"/>
        <v>456.61111111111109</v>
      </c>
      <c r="G293" t="s">
        <v>20</v>
      </c>
      <c r="H293" s="5">
        <f t="shared" si="24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8">
        <f t="shared" si="26"/>
        <v>40831.208333333336</v>
      </c>
      <c r="N293">
        <v>1319000400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5"/>
        <v>9.8219178082191778</v>
      </c>
      <c r="G294" t="s">
        <v>14</v>
      </c>
      <c r="H294" s="5">
        <f t="shared" si="24"/>
        <v>71.7</v>
      </c>
      <c r="I294">
        <v>10</v>
      </c>
      <c r="J294" t="s">
        <v>21</v>
      </c>
      <c r="K294" t="s">
        <v>22</v>
      </c>
      <c r="L294">
        <v>1331874000</v>
      </c>
      <c r="M294" s="8">
        <f t="shared" si="26"/>
        <v>40984.208333333336</v>
      </c>
      <c r="N294">
        <v>1333429200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5"/>
        <v>16.384615384615383</v>
      </c>
      <c r="G295" t="s">
        <v>74</v>
      </c>
      <c r="H295" s="5">
        <f t="shared" si="24"/>
        <v>33.28125</v>
      </c>
      <c r="I295">
        <v>32</v>
      </c>
      <c r="J295" t="s">
        <v>107</v>
      </c>
      <c r="K295" t="s">
        <v>108</v>
      </c>
      <c r="L295">
        <v>1286254800</v>
      </c>
      <c r="M295" s="8">
        <f t="shared" si="26"/>
        <v>40456.208333333336</v>
      </c>
      <c r="N295">
        <v>1287032400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5"/>
        <v>1339.6666666666667</v>
      </c>
      <c r="G296" t="s">
        <v>20</v>
      </c>
      <c r="H296" s="5">
        <f t="shared" si="24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8">
        <f t="shared" si="26"/>
        <v>43399.208333333328</v>
      </c>
      <c r="N296">
        <v>1541570400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5"/>
        <v>35.650077760497666</v>
      </c>
      <c r="G297" t="s">
        <v>14</v>
      </c>
      <c r="H297" s="5">
        <f t="shared" si="24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8">
        <f t="shared" si="26"/>
        <v>41562.208333333336</v>
      </c>
      <c r="N297">
        <v>1383976800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5"/>
        <v>54.950819672131146</v>
      </c>
      <c r="G298" t="s">
        <v>14</v>
      </c>
      <c r="H298" s="5">
        <f t="shared" si="24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8">
        <f t="shared" si="26"/>
        <v>43493.25</v>
      </c>
      <c r="N298">
        <v>1550556000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5"/>
        <v>94.236111111111114</v>
      </c>
      <c r="G299" t="s">
        <v>14</v>
      </c>
      <c r="H299" s="5">
        <f t="shared" si="24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8">
        <f t="shared" si="26"/>
        <v>41653.25</v>
      </c>
      <c r="N299">
        <v>1390456800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5"/>
        <v>143.91428571428571</v>
      </c>
      <c r="G300" t="s">
        <v>20</v>
      </c>
      <c r="H300" s="5">
        <f t="shared" si="24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8">
        <f t="shared" si="26"/>
        <v>42426.25</v>
      </c>
      <c r="N300">
        <v>1458018000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5"/>
        <v>51.421052631578945</v>
      </c>
      <c r="G301" t="s">
        <v>14</v>
      </c>
      <c r="H301" s="5">
        <f t="shared" si="24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8">
        <f t="shared" si="26"/>
        <v>42432.25</v>
      </c>
      <c r="N301">
        <v>1461819600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5"/>
        <v>5</v>
      </c>
      <c r="G302" t="s">
        <v>14</v>
      </c>
      <c r="H302" s="5">
        <f t="shared" si="24"/>
        <v>5</v>
      </c>
      <c r="I302">
        <v>1</v>
      </c>
      <c r="J302" t="s">
        <v>36</v>
      </c>
      <c r="K302" t="s">
        <v>37</v>
      </c>
      <c r="L302">
        <v>1504069200</v>
      </c>
      <c r="M302" s="8">
        <f t="shared" si="26"/>
        <v>42977.208333333328</v>
      </c>
      <c r="N302">
        <v>1504155600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5"/>
        <v>1344.6666666666667</v>
      </c>
      <c r="G303" t="s">
        <v>20</v>
      </c>
      <c r="H303" s="5">
        <f t="shared" si="24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8">
        <f t="shared" si="26"/>
        <v>42061.25</v>
      </c>
      <c r="N303">
        <v>1426395600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5"/>
        <v>31.844940867279899</v>
      </c>
      <c r="G304" t="s">
        <v>14</v>
      </c>
      <c r="H304" s="5">
        <f t="shared" si="24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8">
        <f t="shared" si="26"/>
        <v>43345.208333333328</v>
      </c>
      <c r="N304">
        <v>1537074000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5"/>
        <v>82.617647058823536</v>
      </c>
      <c r="G305" t="s">
        <v>14</v>
      </c>
      <c r="H305" s="5">
        <f t="shared" si="24"/>
        <v>87.78125</v>
      </c>
      <c r="I305">
        <v>32</v>
      </c>
      <c r="J305" t="s">
        <v>21</v>
      </c>
      <c r="K305" t="s">
        <v>22</v>
      </c>
      <c r="L305">
        <v>1452146400</v>
      </c>
      <c r="M305" s="8">
        <f t="shared" si="26"/>
        <v>42376.25</v>
      </c>
      <c r="N305">
        <v>1452578400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5"/>
        <v>546.14285714285722</v>
      </c>
      <c r="G306" t="s">
        <v>20</v>
      </c>
      <c r="H306" s="5">
        <f t="shared" si="24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8">
        <f t="shared" si="26"/>
        <v>42589.208333333328</v>
      </c>
      <c r="N306">
        <v>1474088400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5"/>
        <v>286.21428571428572</v>
      </c>
      <c r="G307" t="s">
        <v>20</v>
      </c>
      <c r="H307" s="5">
        <f t="shared" si="24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8">
        <f t="shared" si="26"/>
        <v>42448.208333333328</v>
      </c>
      <c r="N307">
        <v>1461906000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5"/>
        <v>7.9076923076923071</v>
      </c>
      <c r="G308" t="s">
        <v>14</v>
      </c>
      <c r="H308" s="5">
        <f t="shared" si="24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8">
        <f t="shared" si="26"/>
        <v>42930.208333333328</v>
      </c>
      <c r="N308">
        <v>1500267600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5"/>
        <v>132.13677811550153</v>
      </c>
      <c r="G309" t="s">
        <v>20</v>
      </c>
      <c r="H309" s="5">
        <f t="shared" si="24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8">
        <f t="shared" si="26"/>
        <v>41066.208333333336</v>
      </c>
      <c r="N309">
        <v>1340686800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5"/>
        <v>74.077834179357026</v>
      </c>
      <c r="G310" t="s">
        <v>14</v>
      </c>
      <c r="H310" s="5">
        <f t="shared" si="24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8">
        <f t="shared" si="26"/>
        <v>40651.208333333336</v>
      </c>
      <c r="N310">
        <v>1303189200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5"/>
        <v>75.292682926829272</v>
      </c>
      <c r="G311" t="s">
        <v>74</v>
      </c>
      <c r="H311" s="5">
        <f t="shared" si="24"/>
        <v>41.16</v>
      </c>
      <c r="I311">
        <v>75</v>
      </c>
      <c r="J311" t="s">
        <v>21</v>
      </c>
      <c r="K311" t="s">
        <v>22</v>
      </c>
      <c r="L311">
        <v>1316581200</v>
      </c>
      <c r="M311" s="8">
        <f t="shared" si="26"/>
        <v>40807.208333333336</v>
      </c>
      <c r="N311">
        <v>1318309200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5"/>
        <v>20.333333333333332</v>
      </c>
      <c r="G312" t="s">
        <v>14</v>
      </c>
      <c r="H312" s="5">
        <f t="shared" si="24"/>
        <v>99.125</v>
      </c>
      <c r="I312">
        <v>16</v>
      </c>
      <c r="J312" t="s">
        <v>21</v>
      </c>
      <c r="K312" t="s">
        <v>22</v>
      </c>
      <c r="L312">
        <v>1270789200</v>
      </c>
      <c r="M312" s="8">
        <f t="shared" si="26"/>
        <v>40277.208333333336</v>
      </c>
      <c r="N312">
        <v>1272171600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5"/>
        <v>203.36507936507937</v>
      </c>
      <c r="G313" t="s">
        <v>20</v>
      </c>
      <c r="H313" s="5">
        <f t="shared" si="24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8">
        <f t="shared" si="26"/>
        <v>40590.25</v>
      </c>
      <c r="N313">
        <v>1298872800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5"/>
        <v>310.2284263959391</v>
      </c>
      <c r="G314" t="s">
        <v>20</v>
      </c>
      <c r="H314" s="5">
        <f t="shared" si="24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8">
        <f t="shared" si="26"/>
        <v>41572.208333333336</v>
      </c>
      <c r="N314">
        <v>1383282000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5"/>
        <v>395.31818181818181</v>
      </c>
      <c r="G315" t="s">
        <v>20</v>
      </c>
      <c r="H315" s="5">
        <f t="shared" si="24"/>
        <v>39</v>
      </c>
      <c r="I315">
        <v>223</v>
      </c>
      <c r="J315" t="s">
        <v>21</v>
      </c>
      <c r="K315" t="s">
        <v>22</v>
      </c>
      <c r="L315">
        <v>1330322400</v>
      </c>
      <c r="M315" s="8">
        <f t="shared" si="26"/>
        <v>40966.25</v>
      </c>
      <c r="N315">
        <v>1330495200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5"/>
        <v>294.71428571428572</v>
      </c>
      <c r="G316" t="s">
        <v>20</v>
      </c>
      <c r="H316" s="5">
        <f t="shared" si="24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8">
        <f t="shared" si="26"/>
        <v>43536.208333333328</v>
      </c>
      <c r="N316">
        <v>1552798800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5"/>
        <v>33.89473684210526</v>
      </c>
      <c r="G317" t="s">
        <v>14</v>
      </c>
      <c r="H317" s="5">
        <f t="shared" si="24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8">
        <f t="shared" si="26"/>
        <v>41783.208333333336</v>
      </c>
      <c r="N317">
        <v>1403413200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5"/>
        <v>66.677083333333329</v>
      </c>
      <c r="G318" t="s">
        <v>14</v>
      </c>
      <c r="H318" s="5">
        <f t="shared" si="24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8">
        <f t="shared" si="26"/>
        <v>43788.25</v>
      </c>
      <c r="N318">
        <v>1574229600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5"/>
        <v>19.227272727272727</v>
      </c>
      <c r="G319" t="s">
        <v>14</v>
      </c>
      <c r="H319" s="5">
        <f t="shared" si="24"/>
        <v>42.3</v>
      </c>
      <c r="I319">
        <v>30</v>
      </c>
      <c r="J319" t="s">
        <v>21</v>
      </c>
      <c r="K319" t="s">
        <v>22</v>
      </c>
      <c r="L319">
        <v>1494738000</v>
      </c>
      <c r="M319" s="8">
        <f t="shared" si="26"/>
        <v>42869.208333333328</v>
      </c>
      <c r="N319">
        <v>1495861200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5"/>
        <v>15.842105263157894</v>
      </c>
      <c r="G320" t="s">
        <v>14</v>
      </c>
      <c r="H320" s="5">
        <f t="shared" si="24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8">
        <f t="shared" si="26"/>
        <v>41684.25</v>
      </c>
      <c r="N320">
        <v>1392530400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5"/>
        <v>38.702380952380956</v>
      </c>
      <c r="G321" t="s">
        <v>74</v>
      </c>
      <c r="H321" s="5">
        <f t="shared" si="24"/>
        <v>50.796875</v>
      </c>
      <c r="I321">
        <v>64</v>
      </c>
      <c r="J321" t="s">
        <v>21</v>
      </c>
      <c r="K321" t="s">
        <v>22</v>
      </c>
      <c r="L321">
        <v>1281589200</v>
      </c>
      <c r="M321" s="8">
        <f t="shared" si="26"/>
        <v>40402.208333333336</v>
      </c>
      <c r="N321">
        <v>1283662800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5"/>
        <v>9.5876777251184837</v>
      </c>
      <c r="G322" t="s">
        <v>14</v>
      </c>
      <c r="H322" s="5">
        <f t="shared" ref="H322:H385" si="30">IFERROR(E322/I322,0)</f>
        <v>101.15</v>
      </c>
      <c r="I322">
        <v>80</v>
      </c>
      <c r="J322" t="s">
        <v>21</v>
      </c>
      <c r="K322" t="s">
        <v>22</v>
      </c>
      <c r="L322">
        <v>1305003600</v>
      </c>
      <c r="M322" s="8">
        <f t="shared" si="26"/>
        <v>40673.208333333336</v>
      </c>
      <c r="N322">
        <v>1305781200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1">E323/D323*100</f>
        <v>94.144366197183089</v>
      </c>
      <c r="G323" t="s">
        <v>14</v>
      </c>
      <c r="H323" s="5">
        <f t="shared" si="30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8">
        <f t="shared" ref="M323:M386" si="32">(((L323/60)/60)/24)+DATE(1970,1,1)</f>
        <v>40634.208333333336</v>
      </c>
      <c r="N323">
        <v>1302325200</v>
      </c>
      <c r="O323" s="8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1"/>
        <v>166.56234096692114</v>
      </c>
      <c r="G324" t="s">
        <v>20</v>
      </c>
      <c r="H324" s="5">
        <f t="shared" si="30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8">
        <f t="shared" si="32"/>
        <v>40507.25</v>
      </c>
      <c r="N324">
        <v>1291788000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1"/>
        <v>24.134831460674157</v>
      </c>
      <c r="G325" t="s">
        <v>14</v>
      </c>
      <c r="H325" s="5">
        <f t="shared" si="30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8">
        <f t="shared" si="32"/>
        <v>41725.208333333336</v>
      </c>
      <c r="N325">
        <v>1396069200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1"/>
        <v>164.05633802816902</v>
      </c>
      <c r="G326" t="s">
        <v>20</v>
      </c>
      <c r="H326" s="5">
        <f t="shared" si="30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8">
        <f t="shared" si="32"/>
        <v>42176.208333333328</v>
      </c>
      <c r="N326">
        <v>1435899600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1"/>
        <v>90.723076923076931</v>
      </c>
      <c r="G327" t="s">
        <v>14</v>
      </c>
      <c r="H327" s="5">
        <f t="shared" si="30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8">
        <f t="shared" si="32"/>
        <v>43267.208333333328</v>
      </c>
      <c r="N327">
        <v>1531112400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1"/>
        <v>46.194444444444443</v>
      </c>
      <c r="G328" t="s">
        <v>14</v>
      </c>
      <c r="H328" s="5">
        <f t="shared" si="30"/>
        <v>25.984375</v>
      </c>
      <c r="I328">
        <v>128</v>
      </c>
      <c r="J328" t="s">
        <v>21</v>
      </c>
      <c r="K328" t="s">
        <v>22</v>
      </c>
      <c r="L328">
        <v>1451109600</v>
      </c>
      <c r="M328" s="8">
        <f t="shared" si="32"/>
        <v>42364.25</v>
      </c>
      <c r="N328">
        <v>1451628000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1"/>
        <v>38.53846153846154</v>
      </c>
      <c r="G329" t="s">
        <v>14</v>
      </c>
      <c r="H329" s="5">
        <f t="shared" si="30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8">
        <f t="shared" si="32"/>
        <v>43705.208333333328</v>
      </c>
      <c r="N329">
        <v>1567314000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1"/>
        <v>133.56231003039514</v>
      </c>
      <c r="G330" t="s">
        <v>20</v>
      </c>
      <c r="H330" s="5">
        <f t="shared" si="30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8">
        <f t="shared" si="32"/>
        <v>43434.25</v>
      </c>
      <c r="N330">
        <v>1544508000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1"/>
        <v>22.896588486140725</v>
      </c>
      <c r="G331" t="s">
        <v>47</v>
      </c>
      <c r="H331" s="5">
        <f t="shared" si="30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8">
        <f t="shared" si="32"/>
        <v>42716.25</v>
      </c>
      <c r="N331">
        <v>1482472800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1"/>
        <v>184.95548961424333</v>
      </c>
      <c r="G332" t="s">
        <v>20</v>
      </c>
      <c r="H332" s="5">
        <f t="shared" si="30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8">
        <f t="shared" si="32"/>
        <v>43077.25</v>
      </c>
      <c r="N332">
        <v>1512799200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1"/>
        <v>443.72727272727275</v>
      </c>
      <c r="G333" t="s">
        <v>20</v>
      </c>
      <c r="H333" s="5">
        <f t="shared" si="30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8">
        <f t="shared" si="32"/>
        <v>40896.25</v>
      </c>
      <c r="N333">
        <v>1324360800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1"/>
        <v>199.9806763285024</v>
      </c>
      <c r="G334" t="s">
        <v>20</v>
      </c>
      <c r="H334" s="5">
        <f t="shared" si="30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8">
        <f t="shared" si="32"/>
        <v>41361.208333333336</v>
      </c>
      <c r="N334">
        <v>1364533200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1"/>
        <v>123.95833333333333</v>
      </c>
      <c r="G335" t="s">
        <v>20</v>
      </c>
      <c r="H335" s="5">
        <f t="shared" si="30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8">
        <f t="shared" si="32"/>
        <v>43424.25</v>
      </c>
      <c r="N335">
        <v>1545112800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1"/>
        <v>186.61329305135951</v>
      </c>
      <c r="G336" t="s">
        <v>20</v>
      </c>
      <c r="H336" s="5">
        <f t="shared" si="30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8">
        <f t="shared" si="32"/>
        <v>43110.25</v>
      </c>
      <c r="N336">
        <v>1516168800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1"/>
        <v>114.28538550057536</v>
      </c>
      <c r="G337" t="s">
        <v>20</v>
      </c>
      <c r="H337" s="5">
        <f t="shared" si="30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8">
        <f t="shared" si="32"/>
        <v>43784.25</v>
      </c>
      <c r="N337">
        <v>1574920800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1"/>
        <v>97.032531824611041</v>
      </c>
      <c r="G338" t="s">
        <v>14</v>
      </c>
      <c r="H338" s="5">
        <f t="shared" si="30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8">
        <f t="shared" si="32"/>
        <v>40527.25</v>
      </c>
      <c r="N338">
        <v>1292479200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1"/>
        <v>122.81904761904762</v>
      </c>
      <c r="G339" t="s">
        <v>20</v>
      </c>
      <c r="H339" s="5">
        <f t="shared" si="30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8">
        <f t="shared" si="32"/>
        <v>43780.25</v>
      </c>
      <c r="N339">
        <v>1573538400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1"/>
        <v>179.14326647564468</v>
      </c>
      <c r="G340" t="s">
        <v>20</v>
      </c>
      <c r="H340" s="5">
        <f t="shared" si="30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8">
        <f t="shared" si="32"/>
        <v>40821.208333333336</v>
      </c>
      <c r="N340">
        <v>1320382800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1"/>
        <v>79.951577402787962</v>
      </c>
      <c r="G341" t="s">
        <v>74</v>
      </c>
      <c r="H341" s="5">
        <f t="shared" si="30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8">
        <f t="shared" si="32"/>
        <v>42949.208333333328</v>
      </c>
      <c r="N341">
        <v>1502859600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1"/>
        <v>94.242587601078171</v>
      </c>
      <c r="G342" t="s">
        <v>14</v>
      </c>
      <c r="H342" s="5">
        <f t="shared" si="30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8">
        <f t="shared" si="32"/>
        <v>40889.25</v>
      </c>
      <c r="N342">
        <v>1323756000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1"/>
        <v>84.669291338582681</v>
      </c>
      <c r="G343" t="s">
        <v>14</v>
      </c>
      <c r="H343" s="5">
        <f t="shared" si="30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8">
        <f t="shared" si="32"/>
        <v>42244.208333333328</v>
      </c>
      <c r="N343">
        <v>1441342800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1"/>
        <v>66.521920668058456</v>
      </c>
      <c r="G344" t="s">
        <v>14</v>
      </c>
      <c r="H344" s="5">
        <f t="shared" si="30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8">
        <f t="shared" si="32"/>
        <v>41475.208333333336</v>
      </c>
      <c r="N344">
        <v>1375333200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1"/>
        <v>53.922222222222224</v>
      </c>
      <c r="G345" t="s">
        <v>14</v>
      </c>
      <c r="H345" s="5">
        <f t="shared" si="30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8">
        <f t="shared" si="32"/>
        <v>41597.25</v>
      </c>
      <c r="N345">
        <v>1389420000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1"/>
        <v>41.983299595141702</v>
      </c>
      <c r="G346" t="s">
        <v>14</v>
      </c>
      <c r="H346" s="5">
        <f t="shared" si="30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8">
        <f t="shared" si="32"/>
        <v>43122.25</v>
      </c>
      <c r="N346">
        <v>1520056800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1"/>
        <v>14.69479695431472</v>
      </c>
      <c r="G347" t="s">
        <v>14</v>
      </c>
      <c r="H347" s="5">
        <f t="shared" si="30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8">
        <f t="shared" si="32"/>
        <v>42194.208333333328</v>
      </c>
      <c r="N347">
        <v>1436504400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1"/>
        <v>34.475000000000001</v>
      </c>
      <c r="G348" t="s">
        <v>14</v>
      </c>
      <c r="H348" s="5">
        <f t="shared" si="30"/>
        <v>110.32</v>
      </c>
      <c r="I348">
        <v>25</v>
      </c>
      <c r="J348" t="s">
        <v>21</v>
      </c>
      <c r="K348" t="s">
        <v>22</v>
      </c>
      <c r="L348">
        <v>1503550800</v>
      </c>
      <c r="M348" s="8">
        <f t="shared" si="32"/>
        <v>42971.208333333328</v>
      </c>
      <c r="N348">
        <v>1508302800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1"/>
        <v>1400.7777777777778</v>
      </c>
      <c r="G349" t="s">
        <v>20</v>
      </c>
      <c r="H349" s="5">
        <f t="shared" si="30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8">
        <f t="shared" si="32"/>
        <v>42046.25</v>
      </c>
      <c r="N349">
        <v>1425708000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1"/>
        <v>71.770351758793964</v>
      </c>
      <c r="G350" t="s">
        <v>14</v>
      </c>
      <c r="H350" s="5">
        <f t="shared" si="30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8">
        <f t="shared" si="32"/>
        <v>42782.25</v>
      </c>
      <c r="N350">
        <v>1488348000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1"/>
        <v>53.074115044247783</v>
      </c>
      <c r="G351" t="s">
        <v>14</v>
      </c>
      <c r="H351" s="5">
        <f t="shared" si="30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8">
        <f t="shared" si="32"/>
        <v>42930.208333333328</v>
      </c>
      <c r="N351">
        <v>1502600400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1"/>
        <v>5</v>
      </c>
      <c r="G352" t="s">
        <v>14</v>
      </c>
      <c r="H352" s="5">
        <f t="shared" si="30"/>
        <v>5</v>
      </c>
      <c r="I352">
        <v>1</v>
      </c>
      <c r="J352" t="s">
        <v>21</v>
      </c>
      <c r="K352" t="s">
        <v>22</v>
      </c>
      <c r="L352">
        <v>1432098000</v>
      </c>
      <c r="M352" s="8">
        <f t="shared" si="32"/>
        <v>42144.208333333328</v>
      </c>
      <c r="N352">
        <v>1433653200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1"/>
        <v>127.70715249662618</v>
      </c>
      <c r="G353" t="s">
        <v>20</v>
      </c>
      <c r="H353" s="5">
        <f t="shared" si="30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8">
        <f t="shared" si="32"/>
        <v>42240.208333333328</v>
      </c>
      <c r="N353">
        <v>1441602000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1"/>
        <v>34.892857142857139</v>
      </c>
      <c r="G354" t="s">
        <v>14</v>
      </c>
      <c r="H354" s="5">
        <f t="shared" si="30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8">
        <f t="shared" si="32"/>
        <v>42315.25</v>
      </c>
      <c r="N354">
        <v>1447567200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1"/>
        <v>410.59821428571428</v>
      </c>
      <c r="G355" t="s">
        <v>20</v>
      </c>
      <c r="H355" s="5">
        <f t="shared" si="30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8">
        <f t="shared" si="32"/>
        <v>43651.208333333328</v>
      </c>
      <c r="N355">
        <v>1562389200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1"/>
        <v>123.73770491803278</v>
      </c>
      <c r="G356" t="s">
        <v>20</v>
      </c>
      <c r="H356" s="5">
        <f t="shared" si="30"/>
        <v>94.35</v>
      </c>
      <c r="I356">
        <v>80</v>
      </c>
      <c r="J356" t="s">
        <v>36</v>
      </c>
      <c r="K356" t="s">
        <v>37</v>
      </c>
      <c r="L356">
        <v>1378184400</v>
      </c>
      <c r="M356" s="8">
        <f t="shared" si="32"/>
        <v>41520.208333333336</v>
      </c>
      <c r="N356">
        <v>1378789200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1"/>
        <v>58.973684210526315</v>
      </c>
      <c r="G357" t="s">
        <v>47</v>
      </c>
      <c r="H357" s="5">
        <f t="shared" si="30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8">
        <f t="shared" si="32"/>
        <v>42757.25</v>
      </c>
      <c r="N357">
        <v>1488520800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1"/>
        <v>36.892473118279568</v>
      </c>
      <c r="G358" t="s">
        <v>14</v>
      </c>
      <c r="H358" s="5">
        <f t="shared" si="30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8">
        <f t="shared" si="32"/>
        <v>40922.25</v>
      </c>
      <c r="N358">
        <v>1327298400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1"/>
        <v>184.91304347826087</v>
      </c>
      <c r="G359" t="s">
        <v>20</v>
      </c>
      <c r="H359" s="5">
        <f t="shared" si="30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8">
        <f t="shared" si="32"/>
        <v>42250.208333333328</v>
      </c>
      <c r="N359">
        <v>1443416400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1"/>
        <v>11.814432989690722</v>
      </c>
      <c r="G360" t="s">
        <v>14</v>
      </c>
      <c r="H360" s="5">
        <f t="shared" si="30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8">
        <f t="shared" si="32"/>
        <v>43322.208333333328</v>
      </c>
      <c r="N360">
        <v>1534136400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1"/>
        <v>298.7</v>
      </c>
      <c r="G361" t="s">
        <v>20</v>
      </c>
      <c r="H361" s="5">
        <f t="shared" si="30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8">
        <f t="shared" si="32"/>
        <v>40782.208333333336</v>
      </c>
      <c r="N361">
        <v>1315026000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1"/>
        <v>226.35175879396985</v>
      </c>
      <c r="G362" t="s">
        <v>20</v>
      </c>
      <c r="H362" s="5">
        <f t="shared" si="30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8">
        <f t="shared" si="32"/>
        <v>40544.25</v>
      </c>
      <c r="N362">
        <v>1295071200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1"/>
        <v>173.56363636363636</v>
      </c>
      <c r="G363" t="s">
        <v>20</v>
      </c>
      <c r="H363" s="5">
        <f t="shared" si="30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8">
        <f t="shared" si="32"/>
        <v>43015.208333333328</v>
      </c>
      <c r="N363">
        <v>1509426000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1"/>
        <v>371.75675675675677</v>
      </c>
      <c r="G364" t="s">
        <v>20</v>
      </c>
      <c r="H364" s="5">
        <f t="shared" si="30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8">
        <f t="shared" si="32"/>
        <v>40570.25</v>
      </c>
      <c r="N364">
        <v>1299391200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1"/>
        <v>160.19230769230771</v>
      </c>
      <c r="G365" t="s">
        <v>20</v>
      </c>
      <c r="H365" s="5">
        <f t="shared" si="30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8">
        <f t="shared" si="32"/>
        <v>40904.25</v>
      </c>
      <c r="N365">
        <v>1325052000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1"/>
        <v>1616.3333333333335</v>
      </c>
      <c r="G366" t="s">
        <v>20</v>
      </c>
      <c r="H366" s="5">
        <f t="shared" si="30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8">
        <f t="shared" si="32"/>
        <v>43164.25</v>
      </c>
      <c r="N366">
        <v>1522818000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1"/>
        <v>733.4375</v>
      </c>
      <c r="G367" t="s">
        <v>20</v>
      </c>
      <c r="H367" s="5">
        <f t="shared" si="30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8">
        <f t="shared" si="32"/>
        <v>42733.25</v>
      </c>
      <c r="N367">
        <v>1485324000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1"/>
        <v>592.11111111111109</v>
      </c>
      <c r="G368" t="s">
        <v>20</v>
      </c>
      <c r="H368" s="5">
        <f t="shared" si="30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8">
        <f t="shared" si="32"/>
        <v>40546.25</v>
      </c>
      <c r="N368">
        <v>1294120800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1"/>
        <v>18.888888888888889</v>
      </c>
      <c r="G369" t="s">
        <v>14</v>
      </c>
      <c r="H369" s="5">
        <f t="shared" si="30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8">
        <f t="shared" si="32"/>
        <v>41930.208333333336</v>
      </c>
      <c r="N369">
        <v>1415685600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1"/>
        <v>276.80769230769232</v>
      </c>
      <c r="G370" t="s">
        <v>20</v>
      </c>
      <c r="H370" s="5">
        <f t="shared" si="30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8">
        <f t="shared" si="32"/>
        <v>40464.208333333336</v>
      </c>
      <c r="N370">
        <v>1288933200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1"/>
        <v>273.01851851851848</v>
      </c>
      <c r="G371" t="s">
        <v>20</v>
      </c>
      <c r="H371" s="5">
        <f t="shared" si="30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8">
        <f t="shared" si="32"/>
        <v>41308.25</v>
      </c>
      <c r="N371">
        <v>1363237200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1"/>
        <v>159.36331255565449</v>
      </c>
      <c r="G372" t="s">
        <v>20</v>
      </c>
      <c r="H372" s="5">
        <f t="shared" si="30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8">
        <f t="shared" si="32"/>
        <v>43570.208333333328</v>
      </c>
      <c r="N372">
        <v>1555822800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1"/>
        <v>67.869978858350947</v>
      </c>
      <c r="G373" t="s">
        <v>14</v>
      </c>
      <c r="H373" s="5">
        <f t="shared" si="30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8">
        <f t="shared" si="32"/>
        <v>42043.25</v>
      </c>
      <c r="N373">
        <v>1427778000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1"/>
        <v>1591.5555555555554</v>
      </c>
      <c r="G374" t="s">
        <v>20</v>
      </c>
      <c r="H374" s="5">
        <f t="shared" si="30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8">
        <f t="shared" si="32"/>
        <v>42012.25</v>
      </c>
      <c r="N374">
        <v>1422424800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1"/>
        <v>730.18222222222221</v>
      </c>
      <c r="G375" t="s">
        <v>20</v>
      </c>
      <c r="H375" s="5">
        <f t="shared" si="30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8">
        <f t="shared" si="32"/>
        <v>42964.208333333328</v>
      </c>
      <c r="N375">
        <v>1503637200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1"/>
        <v>13.185782556750297</v>
      </c>
      <c r="G376" t="s">
        <v>14</v>
      </c>
      <c r="H376" s="5">
        <f t="shared" si="30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8">
        <f t="shared" si="32"/>
        <v>43476.25</v>
      </c>
      <c r="N376">
        <v>1547618400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1"/>
        <v>54.777777777777779</v>
      </c>
      <c r="G377" t="s">
        <v>14</v>
      </c>
      <c r="H377" s="5">
        <f t="shared" si="30"/>
        <v>59.16</v>
      </c>
      <c r="I377">
        <v>25</v>
      </c>
      <c r="J377" t="s">
        <v>21</v>
      </c>
      <c r="K377" t="s">
        <v>22</v>
      </c>
      <c r="L377">
        <v>1444971600</v>
      </c>
      <c r="M377" s="8">
        <f t="shared" si="32"/>
        <v>42293.208333333328</v>
      </c>
      <c r="N377">
        <v>1449900000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1"/>
        <v>361.02941176470591</v>
      </c>
      <c r="G378" t="s">
        <v>20</v>
      </c>
      <c r="H378" s="5">
        <f t="shared" si="30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8">
        <f t="shared" si="32"/>
        <v>41826.208333333336</v>
      </c>
      <c r="N378">
        <v>1405141200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1"/>
        <v>10.257545271629779</v>
      </c>
      <c r="G379" t="s">
        <v>14</v>
      </c>
      <c r="H379" s="5">
        <f t="shared" si="30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8">
        <f t="shared" si="32"/>
        <v>43760.208333333328</v>
      </c>
      <c r="N379">
        <v>1572933600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1"/>
        <v>13.962962962962964</v>
      </c>
      <c r="G380" t="s">
        <v>14</v>
      </c>
      <c r="H380" s="5">
        <f t="shared" si="30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8">
        <f t="shared" si="32"/>
        <v>43241.208333333328</v>
      </c>
      <c r="N380">
        <v>1530162000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1"/>
        <v>40.444444444444443</v>
      </c>
      <c r="G381" t="s">
        <v>14</v>
      </c>
      <c r="H381" s="5">
        <f t="shared" si="30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8">
        <f t="shared" si="32"/>
        <v>40843.208333333336</v>
      </c>
      <c r="N381">
        <v>1320904800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1"/>
        <v>160.32</v>
      </c>
      <c r="G382" t="s">
        <v>20</v>
      </c>
      <c r="H382" s="5">
        <f t="shared" si="30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8">
        <f t="shared" si="32"/>
        <v>41448.208333333336</v>
      </c>
      <c r="N382">
        <v>1372395600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1"/>
        <v>183.9433962264151</v>
      </c>
      <c r="G383" t="s">
        <v>20</v>
      </c>
      <c r="H383" s="5">
        <f t="shared" si="30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8">
        <f t="shared" si="32"/>
        <v>42163.208333333328</v>
      </c>
      <c r="N383">
        <v>1437714000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1"/>
        <v>63.769230769230766</v>
      </c>
      <c r="G384" t="s">
        <v>14</v>
      </c>
      <c r="H384" s="5">
        <f t="shared" si="30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8">
        <f t="shared" si="32"/>
        <v>43024.208333333328</v>
      </c>
      <c r="N384">
        <v>1509771600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1"/>
        <v>225.38095238095238</v>
      </c>
      <c r="G385" t="s">
        <v>20</v>
      </c>
      <c r="H385" s="5">
        <f t="shared" si="30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8">
        <f t="shared" si="32"/>
        <v>43509.25</v>
      </c>
      <c r="N385">
        <v>1550556000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1"/>
        <v>172.00961538461539</v>
      </c>
      <c r="G386" t="s">
        <v>20</v>
      </c>
      <c r="H386" s="5">
        <f t="shared" ref="H386:H449" si="36">IFERROR(E386/I386,0)</f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8">
        <f t="shared" si="32"/>
        <v>42776.25</v>
      </c>
      <c r="N386">
        <v>1489039200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7">E387/D387*100</f>
        <v>146.16709511568124</v>
      </c>
      <c r="G387" t="s">
        <v>20</v>
      </c>
      <c r="H387" s="5">
        <f t="shared" si="36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8">
        <f t="shared" ref="M387:M450" si="38">(((L387/60)/60)/24)+DATE(1970,1,1)</f>
        <v>43553.208333333328</v>
      </c>
      <c r="N387">
        <v>1556600400</v>
      </c>
      <c r="O387" s="8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7"/>
        <v>76.42361623616236</v>
      </c>
      <c r="G388" t="s">
        <v>14</v>
      </c>
      <c r="H388" s="5">
        <f t="shared" si="36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8">
        <f t="shared" si="38"/>
        <v>40355.208333333336</v>
      </c>
      <c r="N388">
        <v>1278565200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7"/>
        <v>39.261467889908261</v>
      </c>
      <c r="G389" t="s">
        <v>14</v>
      </c>
      <c r="H389" s="5">
        <f t="shared" si="36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8">
        <f t="shared" si="38"/>
        <v>41072.208333333336</v>
      </c>
      <c r="N389">
        <v>1339909200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7"/>
        <v>11.270034843205574</v>
      </c>
      <c r="G390" t="s">
        <v>74</v>
      </c>
      <c r="H390" s="5">
        <f t="shared" si="36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8">
        <f t="shared" si="38"/>
        <v>40912.25</v>
      </c>
      <c r="N390">
        <v>1325829600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7"/>
        <v>122.11084337349398</v>
      </c>
      <c r="G391" t="s">
        <v>20</v>
      </c>
      <c r="H391" s="5">
        <f t="shared" si="36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8">
        <f t="shared" si="38"/>
        <v>40479.208333333336</v>
      </c>
      <c r="N391">
        <v>1290578400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7"/>
        <v>186.54166666666669</v>
      </c>
      <c r="G392" t="s">
        <v>20</v>
      </c>
      <c r="H392" s="5">
        <f t="shared" si="36"/>
        <v>89.54</v>
      </c>
      <c r="I392">
        <v>50</v>
      </c>
      <c r="J392" t="s">
        <v>21</v>
      </c>
      <c r="K392" t="s">
        <v>22</v>
      </c>
      <c r="L392">
        <v>1379048400</v>
      </c>
      <c r="M392" s="8">
        <f t="shared" si="38"/>
        <v>41530.208333333336</v>
      </c>
      <c r="N392">
        <v>1380344400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7"/>
        <v>7.2731788079470201</v>
      </c>
      <c r="G393" t="s">
        <v>14</v>
      </c>
      <c r="H393" s="5">
        <f t="shared" si="36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8">
        <f t="shared" si="38"/>
        <v>41653.25</v>
      </c>
      <c r="N393">
        <v>1389852000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7"/>
        <v>65.642371234207957</v>
      </c>
      <c r="G394" t="s">
        <v>14</v>
      </c>
      <c r="H394" s="5">
        <f t="shared" si="36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8">
        <f t="shared" si="38"/>
        <v>40549.25</v>
      </c>
      <c r="N394">
        <v>1294466400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7"/>
        <v>228.96178343949046</v>
      </c>
      <c r="G395" t="s">
        <v>20</v>
      </c>
      <c r="H395" s="5">
        <f t="shared" si="36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8">
        <f t="shared" si="38"/>
        <v>42933.208333333328</v>
      </c>
      <c r="N395">
        <v>1500354000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7"/>
        <v>469.37499999999994</v>
      </c>
      <c r="G396" t="s">
        <v>20</v>
      </c>
      <c r="H396" s="5">
        <f t="shared" si="36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8">
        <f t="shared" si="38"/>
        <v>41484.208333333336</v>
      </c>
      <c r="N396">
        <v>1375938000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7"/>
        <v>130.11267605633802</v>
      </c>
      <c r="G397" t="s">
        <v>20</v>
      </c>
      <c r="H397" s="5">
        <f t="shared" si="36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8">
        <f t="shared" si="38"/>
        <v>40885.25</v>
      </c>
      <c r="N397">
        <v>1323410400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7"/>
        <v>167.05422993492408</v>
      </c>
      <c r="G398" t="s">
        <v>20</v>
      </c>
      <c r="H398" s="5">
        <f t="shared" si="36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8">
        <f t="shared" si="38"/>
        <v>43378.208333333328</v>
      </c>
      <c r="N398">
        <v>1539406800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7"/>
        <v>173.8641975308642</v>
      </c>
      <c r="G399" t="s">
        <v>20</v>
      </c>
      <c r="H399" s="5">
        <f t="shared" si="36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8">
        <f t="shared" si="38"/>
        <v>41417.208333333336</v>
      </c>
      <c r="N399">
        <v>1369803600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7"/>
        <v>717.76470588235293</v>
      </c>
      <c r="G400" t="s">
        <v>20</v>
      </c>
      <c r="H400" s="5">
        <f t="shared" si="36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8">
        <f t="shared" si="38"/>
        <v>43228.208333333328</v>
      </c>
      <c r="N400">
        <v>1525928400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7"/>
        <v>63.850976361767728</v>
      </c>
      <c r="G401" t="s">
        <v>14</v>
      </c>
      <c r="H401" s="5">
        <f t="shared" si="36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8">
        <f t="shared" si="38"/>
        <v>40576.25</v>
      </c>
      <c r="N401">
        <v>1297231200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7"/>
        <v>2</v>
      </c>
      <c r="G402" t="s">
        <v>14</v>
      </c>
      <c r="H402" s="5">
        <f t="shared" si="36"/>
        <v>2</v>
      </c>
      <c r="I402">
        <v>1</v>
      </c>
      <c r="J402" t="s">
        <v>21</v>
      </c>
      <c r="K402" t="s">
        <v>22</v>
      </c>
      <c r="L402">
        <v>1376629200</v>
      </c>
      <c r="M402" s="8">
        <f t="shared" si="38"/>
        <v>41502.208333333336</v>
      </c>
      <c r="N402">
        <v>1378530000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7"/>
        <v>1530.2222222222222</v>
      </c>
      <c r="G403" t="s">
        <v>20</v>
      </c>
      <c r="H403" s="5">
        <f t="shared" si="36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8">
        <f t="shared" si="38"/>
        <v>43765.208333333328</v>
      </c>
      <c r="N403">
        <v>1572152400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7"/>
        <v>40.356164383561641</v>
      </c>
      <c r="G404" t="s">
        <v>14</v>
      </c>
      <c r="H404" s="5">
        <f t="shared" si="36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8">
        <f t="shared" si="38"/>
        <v>40914.25</v>
      </c>
      <c r="N404">
        <v>1329890400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7"/>
        <v>86.220633299284984</v>
      </c>
      <c r="G405" t="s">
        <v>14</v>
      </c>
      <c r="H405" s="5">
        <f t="shared" si="36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8">
        <f t="shared" si="38"/>
        <v>40310.208333333336</v>
      </c>
      <c r="N405">
        <v>1276750800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7"/>
        <v>315.58486707566465</v>
      </c>
      <c r="G406" t="s">
        <v>20</v>
      </c>
      <c r="H406" s="5">
        <f t="shared" si="36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8">
        <f t="shared" si="38"/>
        <v>43053.25</v>
      </c>
      <c r="N406">
        <v>1510898400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7"/>
        <v>89.618243243243242</v>
      </c>
      <c r="G407" t="s">
        <v>14</v>
      </c>
      <c r="H407" s="5">
        <f t="shared" si="36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8">
        <f t="shared" si="38"/>
        <v>43255.208333333328</v>
      </c>
      <c r="N407">
        <v>1532408400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7"/>
        <v>182.14503816793894</v>
      </c>
      <c r="G408" t="s">
        <v>20</v>
      </c>
      <c r="H408" s="5">
        <f t="shared" si="36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8">
        <f t="shared" si="38"/>
        <v>41304.25</v>
      </c>
      <c r="N408">
        <v>1360562400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7"/>
        <v>355.88235294117646</v>
      </c>
      <c r="G409" t="s">
        <v>20</v>
      </c>
      <c r="H409" s="5">
        <f t="shared" si="36"/>
        <v>25</v>
      </c>
      <c r="I409">
        <v>484</v>
      </c>
      <c r="J409" t="s">
        <v>36</v>
      </c>
      <c r="K409" t="s">
        <v>37</v>
      </c>
      <c r="L409">
        <v>1570942800</v>
      </c>
      <c r="M409" s="8">
        <f t="shared" si="38"/>
        <v>43751.208333333328</v>
      </c>
      <c r="N409">
        <v>1571547600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7"/>
        <v>131.83695652173913</v>
      </c>
      <c r="G410" t="s">
        <v>20</v>
      </c>
      <c r="H410" s="5">
        <f t="shared" si="36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8">
        <f t="shared" si="38"/>
        <v>42541.208333333328</v>
      </c>
      <c r="N410">
        <v>1468126800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7"/>
        <v>46.315634218289084</v>
      </c>
      <c r="G411" t="s">
        <v>14</v>
      </c>
      <c r="H411" s="5">
        <f t="shared" si="36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8">
        <f t="shared" si="38"/>
        <v>42843.208333333328</v>
      </c>
      <c r="N411">
        <v>1492837200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7"/>
        <v>36.132726089785294</v>
      </c>
      <c r="G412" t="s">
        <v>47</v>
      </c>
      <c r="H412" s="5">
        <f t="shared" si="36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8">
        <f t="shared" si="38"/>
        <v>42122.208333333328</v>
      </c>
      <c r="N412">
        <v>1430197200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7"/>
        <v>104.62820512820512</v>
      </c>
      <c r="G413" t="s">
        <v>20</v>
      </c>
      <c r="H413" s="5">
        <f t="shared" si="36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8">
        <f t="shared" si="38"/>
        <v>42884.208333333328</v>
      </c>
      <c r="N413">
        <v>1496206800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7"/>
        <v>668.85714285714289</v>
      </c>
      <c r="G414" t="s">
        <v>20</v>
      </c>
      <c r="H414" s="5">
        <f t="shared" si="36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8">
        <f t="shared" si="38"/>
        <v>41642.25</v>
      </c>
      <c r="N414">
        <v>1389592800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7"/>
        <v>62.072823218997364</v>
      </c>
      <c r="G415" t="s">
        <v>47</v>
      </c>
      <c r="H415" s="5">
        <f t="shared" si="36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8">
        <f t="shared" si="38"/>
        <v>43431.25</v>
      </c>
      <c r="N415">
        <v>1545631200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7"/>
        <v>84.699787460148784</v>
      </c>
      <c r="G416" t="s">
        <v>14</v>
      </c>
      <c r="H416" s="5">
        <f t="shared" si="36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8">
        <f t="shared" si="38"/>
        <v>40288.208333333336</v>
      </c>
      <c r="N416">
        <v>1272430800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7"/>
        <v>11.059030837004405</v>
      </c>
      <c r="G417" t="s">
        <v>14</v>
      </c>
      <c r="H417" s="5">
        <f t="shared" si="36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8">
        <f t="shared" si="38"/>
        <v>40921.25</v>
      </c>
      <c r="N417">
        <v>1327903200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7"/>
        <v>43.838781575037146</v>
      </c>
      <c r="G418" t="s">
        <v>14</v>
      </c>
      <c r="H418" s="5">
        <f t="shared" si="36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8">
        <f t="shared" si="38"/>
        <v>40560.25</v>
      </c>
      <c r="N418">
        <v>1296021600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7"/>
        <v>55.470588235294116</v>
      </c>
      <c r="G419" t="s">
        <v>14</v>
      </c>
      <c r="H419" s="5">
        <f t="shared" si="36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8">
        <f t="shared" si="38"/>
        <v>43407.208333333328</v>
      </c>
      <c r="N419">
        <v>1543298400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7"/>
        <v>57.399511301160658</v>
      </c>
      <c r="G420" t="s">
        <v>14</v>
      </c>
      <c r="H420" s="5">
        <f t="shared" si="36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8">
        <f t="shared" si="38"/>
        <v>41035.208333333336</v>
      </c>
      <c r="N420">
        <v>1336366800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7"/>
        <v>123.43497363796135</v>
      </c>
      <c r="G421" t="s">
        <v>20</v>
      </c>
      <c r="H421" s="5">
        <f t="shared" si="36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8">
        <f t="shared" si="38"/>
        <v>40899.25</v>
      </c>
      <c r="N421">
        <v>1325052000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7"/>
        <v>128.46</v>
      </c>
      <c r="G422" t="s">
        <v>20</v>
      </c>
      <c r="H422" s="5">
        <f t="shared" si="36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8">
        <f t="shared" si="38"/>
        <v>42911.208333333328</v>
      </c>
      <c r="N422">
        <v>1499576400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7"/>
        <v>63.989361702127653</v>
      </c>
      <c r="G423" t="s">
        <v>14</v>
      </c>
      <c r="H423" s="5">
        <f t="shared" si="36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8">
        <f t="shared" si="38"/>
        <v>42915.208333333328</v>
      </c>
      <c r="N423">
        <v>1501304400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7"/>
        <v>127.29885057471265</v>
      </c>
      <c r="G424" t="s">
        <v>20</v>
      </c>
      <c r="H424" s="5">
        <f t="shared" si="36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8">
        <f t="shared" si="38"/>
        <v>40285.208333333336</v>
      </c>
      <c r="N424">
        <v>1273208400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7"/>
        <v>10.638024357239512</v>
      </c>
      <c r="G425" t="s">
        <v>14</v>
      </c>
      <c r="H425" s="5">
        <f t="shared" si="36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8">
        <f t="shared" si="38"/>
        <v>40808.208333333336</v>
      </c>
      <c r="N425">
        <v>1316840400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7"/>
        <v>40.470588235294116</v>
      </c>
      <c r="G426" t="s">
        <v>14</v>
      </c>
      <c r="H426" s="5">
        <f t="shared" si="36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8">
        <f t="shared" si="38"/>
        <v>43208.208333333328</v>
      </c>
      <c r="N426">
        <v>1524546000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7"/>
        <v>287.66666666666663</v>
      </c>
      <c r="G427" t="s">
        <v>20</v>
      </c>
      <c r="H427" s="5">
        <f t="shared" si="36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8">
        <f t="shared" si="38"/>
        <v>42213.208333333328</v>
      </c>
      <c r="N427">
        <v>1438578000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7"/>
        <v>572.94444444444446</v>
      </c>
      <c r="G428" t="s">
        <v>20</v>
      </c>
      <c r="H428" s="5">
        <f t="shared" si="36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8">
        <f t="shared" si="38"/>
        <v>41332.25</v>
      </c>
      <c r="N428">
        <v>1362549600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7"/>
        <v>112.90429799426933</v>
      </c>
      <c r="G429" t="s">
        <v>20</v>
      </c>
      <c r="H429" s="5">
        <f t="shared" si="36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8">
        <f t="shared" si="38"/>
        <v>41895.208333333336</v>
      </c>
      <c r="N429">
        <v>1413349200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7"/>
        <v>46.387573964497044</v>
      </c>
      <c r="G430" t="s">
        <v>14</v>
      </c>
      <c r="H430" s="5">
        <f t="shared" si="36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8">
        <f t="shared" si="38"/>
        <v>40585.25</v>
      </c>
      <c r="N430">
        <v>1298008800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7"/>
        <v>90.675916230366497</v>
      </c>
      <c r="G431" t="s">
        <v>74</v>
      </c>
      <c r="H431" s="5">
        <f t="shared" si="36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8">
        <f t="shared" si="38"/>
        <v>41680.25</v>
      </c>
      <c r="N431">
        <v>1394427600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7"/>
        <v>67.740740740740748</v>
      </c>
      <c r="G432" t="s">
        <v>14</v>
      </c>
      <c r="H432" s="5">
        <f t="shared" si="36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8">
        <f t="shared" si="38"/>
        <v>43737.208333333328</v>
      </c>
      <c r="N432">
        <v>1572670800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7"/>
        <v>192.49019607843135</v>
      </c>
      <c r="G433" t="s">
        <v>20</v>
      </c>
      <c r="H433" s="5">
        <f t="shared" si="36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8">
        <f t="shared" si="38"/>
        <v>43273.208333333328</v>
      </c>
      <c r="N433">
        <v>1531112400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7"/>
        <v>82.714285714285722</v>
      </c>
      <c r="G434" t="s">
        <v>14</v>
      </c>
      <c r="H434" s="5">
        <f t="shared" si="36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8">
        <f t="shared" si="38"/>
        <v>41761.208333333336</v>
      </c>
      <c r="N434">
        <v>1400734800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7"/>
        <v>54.163920922570021</v>
      </c>
      <c r="G435" t="s">
        <v>14</v>
      </c>
      <c r="H435" s="5">
        <f t="shared" si="36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8">
        <f t="shared" si="38"/>
        <v>41603.25</v>
      </c>
      <c r="N435">
        <v>1386741600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7"/>
        <v>16.722222222222221</v>
      </c>
      <c r="G436" t="s">
        <v>74</v>
      </c>
      <c r="H436" s="5">
        <f t="shared" si="36"/>
        <v>90.3</v>
      </c>
      <c r="I436">
        <v>10</v>
      </c>
      <c r="J436" t="s">
        <v>15</v>
      </c>
      <c r="K436" t="s">
        <v>16</v>
      </c>
      <c r="L436">
        <v>1480572000</v>
      </c>
      <c r="M436" s="8">
        <f t="shared" si="38"/>
        <v>42705.25</v>
      </c>
      <c r="N436">
        <v>1481781600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7"/>
        <v>116.87664041994749</v>
      </c>
      <c r="G437" t="s">
        <v>20</v>
      </c>
      <c r="H437" s="5">
        <f t="shared" si="36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8">
        <f t="shared" si="38"/>
        <v>41988.25</v>
      </c>
      <c r="N437">
        <v>1419660000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7"/>
        <v>1052.1538461538462</v>
      </c>
      <c r="G438" t="s">
        <v>20</v>
      </c>
      <c r="H438" s="5">
        <f t="shared" si="36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8">
        <f t="shared" si="38"/>
        <v>43575.208333333328</v>
      </c>
      <c r="N438">
        <v>1555822800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7"/>
        <v>123.07407407407408</v>
      </c>
      <c r="G439" t="s">
        <v>20</v>
      </c>
      <c r="H439" s="5">
        <f t="shared" si="36"/>
        <v>51.921875</v>
      </c>
      <c r="I439">
        <v>192</v>
      </c>
      <c r="J439" t="s">
        <v>21</v>
      </c>
      <c r="K439" t="s">
        <v>22</v>
      </c>
      <c r="L439">
        <v>1442120400</v>
      </c>
      <c r="M439" s="8">
        <f t="shared" si="38"/>
        <v>42260.208333333328</v>
      </c>
      <c r="N439">
        <v>1442379600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7"/>
        <v>178.63855421686748</v>
      </c>
      <c r="G440" t="s">
        <v>20</v>
      </c>
      <c r="H440" s="5">
        <f t="shared" si="36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8">
        <f t="shared" si="38"/>
        <v>41337.25</v>
      </c>
      <c r="N440">
        <v>1364965200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7"/>
        <v>355.28169014084506</v>
      </c>
      <c r="G441" t="s">
        <v>20</v>
      </c>
      <c r="H441" s="5">
        <f t="shared" si="36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8">
        <f t="shared" si="38"/>
        <v>42680.208333333328</v>
      </c>
      <c r="N441">
        <v>1479016800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7"/>
        <v>161.90634146341463</v>
      </c>
      <c r="G442" t="s">
        <v>20</v>
      </c>
      <c r="H442" s="5">
        <f t="shared" si="36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8">
        <f t="shared" si="38"/>
        <v>42916.208333333328</v>
      </c>
      <c r="N442">
        <v>1499662800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7"/>
        <v>24.914285714285715</v>
      </c>
      <c r="G443" t="s">
        <v>14</v>
      </c>
      <c r="H443" s="5">
        <f t="shared" si="36"/>
        <v>54.5</v>
      </c>
      <c r="I443">
        <v>32</v>
      </c>
      <c r="J443" t="s">
        <v>21</v>
      </c>
      <c r="K443" t="s">
        <v>22</v>
      </c>
      <c r="L443">
        <v>1335416400</v>
      </c>
      <c r="M443" s="8">
        <f t="shared" si="38"/>
        <v>41025.208333333336</v>
      </c>
      <c r="N443">
        <v>1337835600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7"/>
        <v>198.72222222222223</v>
      </c>
      <c r="G444" t="s">
        <v>20</v>
      </c>
      <c r="H444" s="5">
        <f t="shared" si="36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8">
        <f t="shared" si="38"/>
        <v>42980.208333333328</v>
      </c>
      <c r="N444">
        <v>1505710800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7"/>
        <v>34.752688172043008</v>
      </c>
      <c r="G445" t="s">
        <v>74</v>
      </c>
      <c r="H445" s="5">
        <f t="shared" si="36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8">
        <f t="shared" si="38"/>
        <v>40451.208333333336</v>
      </c>
      <c r="N445">
        <v>1287464400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7"/>
        <v>176.41935483870967</v>
      </c>
      <c r="G446" t="s">
        <v>20</v>
      </c>
      <c r="H446" s="5">
        <f t="shared" si="36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8">
        <f t="shared" si="38"/>
        <v>40748.208333333336</v>
      </c>
      <c r="N446">
        <v>1311656400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7"/>
        <v>511.38095238095235</v>
      </c>
      <c r="G447" t="s">
        <v>20</v>
      </c>
      <c r="H447" s="5">
        <f t="shared" si="36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8">
        <f t="shared" si="38"/>
        <v>40515.25</v>
      </c>
      <c r="N447">
        <v>1293170400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7"/>
        <v>82.044117647058826</v>
      </c>
      <c r="G448" t="s">
        <v>14</v>
      </c>
      <c r="H448" s="5">
        <f t="shared" si="36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8">
        <f t="shared" si="38"/>
        <v>41261.25</v>
      </c>
      <c r="N448">
        <v>1355983200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7"/>
        <v>24.326030927835053</v>
      </c>
      <c r="G449" t="s">
        <v>74</v>
      </c>
      <c r="H449" s="5">
        <f t="shared" si="36"/>
        <v>86</v>
      </c>
      <c r="I449">
        <v>439</v>
      </c>
      <c r="J449" t="s">
        <v>40</v>
      </c>
      <c r="K449" t="s">
        <v>41</v>
      </c>
      <c r="L449">
        <v>1513663200</v>
      </c>
      <c r="M449" s="8">
        <f t="shared" si="38"/>
        <v>43088.25</v>
      </c>
      <c r="N449">
        <v>1515045600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7"/>
        <v>50.482758620689658</v>
      </c>
      <c r="G450" t="s">
        <v>14</v>
      </c>
      <c r="H450" s="5">
        <f t="shared" ref="H450:H513" si="42">IFERROR(E450/I450,0)</f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8">
        <f t="shared" si="38"/>
        <v>41378.208333333336</v>
      </c>
      <c r="N450">
        <v>1366088400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3">E451/D451*100</f>
        <v>967</v>
      </c>
      <c r="G451" t="s">
        <v>20</v>
      </c>
      <c r="H451" s="5">
        <f t="shared" si="42"/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8">
        <f t="shared" ref="M451:M514" si="44">(((L451/60)/60)/24)+DATE(1970,1,1)</f>
        <v>43530.25</v>
      </c>
      <c r="N451">
        <v>1553317200</v>
      </c>
      <c r="O451" s="8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3"/>
        <v>4</v>
      </c>
      <c r="G452" t="s">
        <v>14</v>
      </c>
      <c r="H452" s="5">
        <f t="shared" si="42"/>
        <v>4</v>
      </c>
      <c r="I452">
        <v>1</v>
      </c>
      <c r="J452" t="s">
        <v>15</v>
      </c>
      <c r="K452" t="s">
        <v>16</v>
      </c>
      <c r="L452">
        <v>1540098000</v>
      </c>
      <c r="M452" s="8">
        <f t="shared" si="44"/>
        <v>43394.208333333328</v>
      </c>
      <c r="N452">
        <v>1542088800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3"/>
        <v>122.84501347708894</v>
      </c>
      <c r="G453" t="s">
        <v>20</v>
      </c>
      <c r="H453" s="5">
        <f t="shared" si="42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8">
        <f t="shared" si="44"/>
        <v>42935.208333333328</v>
      </c>
      <c r="N453">
        <v>1503118800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3"/>
        <v>63.4375</v>
      </c>
      <c r="G454" t="s">
        <v>14</v>
      </c>
      <c r="H454" s="5">
        <f t="shared" si="42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8">
        <f t="shared" si="44"/>
        <v>40365.208333333336</v>
      </c>
      <c r="N454">
        <v>1278478800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3"/>
        <v>56.331688596491226</v>
      </c>
      <c r="G455" t="s">
        <v>14</v>
      </c>
      <c r="H455" s="5">
        <f t="shared" si="42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8">
        <f t="shared" si="44"/>
        <v>42705.25</v>
      </c>
      <c r="N455">
        <v>1484114400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3"/>
        <v>44.074999999999996</v>
      </c>
      <c r="G456" t="s">
        <v>14</v>
      </c>
      <c r="H456" s="5">
        <f t="shared" si="42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8">
        <f t="shared" si="44"/>
        <v>41568.208333333336</v>
      </c>
      <c r="N456">
        <v>1385445600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3"/>
        <v>118.37253218884121</v>
      </c>
      <c r="G457" t="s">
        <v>20</v>
      </c>
      <c r="H457" s="5">
        <f t="shared" si="42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8">
        <f t="shared" si="44"/>
        <v>40809.208333333336</v>
      </c>
      <c r="N457">
        <v>1318741200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3"/>
        <v>104.1243169398907</v>
      </c>
      <c r="G458" t="s">
        <v>20</v>
      </c>
      <c r="H458" s="5">
        <f t="shared" si="42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8">
        <f t="shared" si="44"/>
        <v>43141.25</v>
      </c>
      <c r="N458">
        <v>1518242400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3"/>
        <v>26.640000000000004</v>
      </c>
      <c r="G459" t="s">
        <v>14</v>
      </c>
      <c r="H459" s="5">
        <f t="shared" si="42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8">
        <f t="shared" si="44"/>
        <v>42657.208333333328</v>
      </c>
      <c r="N459">
        <v>1476594000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3"/>
        <v>351.20118343195264</v>
      </c>
      <c r="G460" t="s">
        <v>20</v>
      </c>
      <c r="H460" s="5">
        <f t="shared" si="42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8">
        <f t="shared" si="44"/>
        <v>40265.208333333336</v>
      </c>
      <c r="N460">
        <v>1273554000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3"/>
        <v>90.063492063492063</v>
      </c>
      <c r="G461" t="s">
        <v>14</v>
      </c>
      <c r="H461" s="5">
        <f t="shared" si="42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8">
        <f t="shared" si="44"/>
        <v>42001.25</v>
      </c>
      <c r="N461">
        <v>1421906400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3"/>
        <v>171.625</v>
      </c>
      <c r="G462" t="s">
        <v>20</v>
      </c>
      <c r="H462" s="5">
        <f t="shared" si="42"/>
        <v>82.38</v>
      </c>
      <c r="I462">
        <v>50</v>
      </c>
      <c r="J462" t="s">
        <v>21</v>
      </c>
      <c r="K462" t="s">
        <v>22</v>
      </c>
      <c r="L462">
        <v>1281330000</v>
      </c>
      <c r="M462" s="8">
        <f t="shared" si="44"/>
        <v>40399.208333333336</v>
      </c>
      <c r="N462">
        <v>1281589200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3"/>
        <v>141.04655870445345</v>
      </c>
      <c r="G463" t="s">
        <v>20</v>
      </c>
      <c r="H463" s="5">
        <f t="shared" si="42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8">
        <f t="shared" si="44"/>
        <v>41757.208333333336</v>
      </c>
      <c r="N463">
        <v>1400389200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3"/>
        <v>30.57944915254237</v>
      </c>
      <c r="G464" t="s">
        <v>14</v>
      </c>
      <c r="H464" s="5">
        <f t="shared" si="42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8">
        <f t="shared" si="44"/>
        <v>41304.25</v>
      </c>
      <c r="N464">
        <v>1362808800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3"/>
        <v>108.16455696202532</v>
      </c>
      <c r="G465" t="s">
        <v>20</v>
      </c>
      <c r="H465" s="5">
        <f t="shared" si="42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8">
        <f t="shared" si="44"/>
        <v>41639.25</v>
      </c>
      <c r="N465">
        <v>1388815200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3"/>
        <v>133.45505617977528</v>
      </c>
      <c r="G466" t="s">
        <v>20</v>
      </c>
      <c r="H466" s="5">
        <f t="shared" si="42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8">
        <f t="shared" si="44"/>
        <v>43142.25</v>
      </c>
      <c r="N466">
        <v>1519538400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3"/>
        <v>187.85106382978722</v>
      </c>
      <c r="G467" t="s">
        <v>20</v>
      </c>
      <c r="H467" s="5">
        <f t="shared" si="42"/>
        <v>110.3625</v>
      </c>
      <c r="I467">
        <v>80</v>
      </c>
      <c r="J467" t="s">
        <v>21</v>
      </c>
      <c r="K467" t="s">
        <v>22</v>
      </c>
      <c r="L467">
        <v>1517032800</v>
      </c>
      <c r="M467" s="8">
        <f t="shared" si="44"/>
        <v>43127.25</v>
      </c>
      <c r="N467">
        <v>1517810400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3"/>
        <v>332</v>
      </c>
      <c r="G468" t="s">
        <v>20</v>
      </c>
      <c r="H468" s="5">
        <f t="shared" si="42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8">
        <f t="shared" si="44"/>
        <v>41409.208333333336</v>
      </c>
      <c r="N468">
        <v>1370581200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3"/>
        <v>575.21428571428578</v>
      </c>
      <c r="G469" t="s">
        <v>20</v>
      </c>
      <c r="H469" s="5">
        <f t="shared" si="42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8">
        <f t="shared" si="44"/>
        <v>42331.25</v>
      </c>
      <c r="N469">
        <v>1448863200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3"/>
        <v>40.5</v>
      </c>
      <c r="G470" t="s">
        <v>14</v>
      </c>
      <c r="H470" s="5">
        <f t="shared" si="42"/>
        <v>101.25</v>
      </c>
      <c r="I470">
        <v>16</v>
      </c>
      <c r="J470" t="s">
        <v>21</v>
      </c>
      <c r="K470" t="s">
        <v>22</v>
      </c>
      <c r="L470">
        <v>1555218000</v>
      </c>
      <c r="M470" s="8">
        <f t="shared" si="44"/>
        <v>43569.208333333328</v>
      </c>
      <c r="N470">
        <v>1556600400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3"/>
        <v>184.42857142857144</v>
      </c>
      <c r="G471" t="s">
        <v>20</v>
      </c>
      <c r="H471" s="5">
        <f t="shared" si="42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8">
        <f t="shared" si="44"/>
        <v>42142.208333333328</v>
      </c>
      <c r="N471">
        <v>1432098000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3"/>
        <v>285.80555555555554</v>
      </c>
      <c r="G472" t="s">
        <v>20</v>
      </c>
      <c r="H472" s="5">
        <f t="shared" si="42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8">
        <f t="shared" si="44"/>
        <v>42716.25</v>
      </c>
      <c r="N472">
        <v>1482127200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3"/>
        <v>319</v>
      </c>
      <c r="G473" t="s">
        <v>20</v>
      </c>
      <c r="H473" s="5">
        <f t="shared" si="42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8">
        <f t="shared" si="44"/>
        <v>41031.208333333336</v>
      </c>
      <c r="N473">
        <v>1335934800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3"/>
        <v>39.234070221066318</v>
      </c>
      <c r="G474" t="s">
        <v>14</v>
      </c>
      <c r="H474" s="5">
        <f t="shared" si="42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8">
        <f t="shared" si="44"/>
        <v>43535.208333333328</v>
      </c>
      <c r="N474">
        <v>1556946000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3"/>
        <v>178.14000000000001</v>
      </c>
      <c r="G475" t="s">
        <v>20</v>
      </c>
      <c r="H475" s="5">
        <f t="shared" si="42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8">
        <f t="shared" si="44"/>
        <v>43277.208333333328</v>
      </c>
      <c r="N475">
        <v>1530075600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3"/>
        <v>365.15</v>
      </c>
      <c r="G476" t="s">
        <v>20</v>
      </c>
      <c r="H476" s="5">
        <f t="shared" si="42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8">
        <f t="shared" si="44"/>
        <v>41989.25</v>
      </c>
      <c r="N476">
        <v>1418796000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3"/>
        <v>113.94594594594594</v>
      </c>
      <c r="G477" t="s">
        <v>20</v>
      </c>
      <c r="H477" s="5">
        <f t="shared" si="42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8">
        <f t="shared" si="44"/>
        <v>41450.208333333336</v>
      </c>
      <c r="N477">
        <v>1372482000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3"/>
        <v>29.828720626631856</v>
      </c>
      <c r="G478" t="s">
        <v>14</v>
      </c>
      <c r="H478" s="5">
        <f t="shared" si="42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8">
        <f t="shared" si="44"/>
        <v>43322.208333333328</v>
      </c>
      <c r="N478">
        <v>1534395600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3"/>
        <v>54.270588235294113</v>
      </c>
      <c r="G479" t="s">
        <v>14</v>
      </c>
      <c r="H479" s="5">
        <f t="shared" si="42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8">
        <f t="shared" si="44"/>
        <v>40720.208333333336</v>
      </c>
      <c r="N479">
        <v>1311397200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3"/>
        <v>236.34156976744185</v>
      </c>
      <c r="G480" t="s">
        <v>20</v>
      </c>
      <c r="H480" s="5">
        <f t="shared" si="42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8">
        <f t="shared" si="44"/>
        <v>42072.208333333328</v>
      </c>
      <c r="N480">
        <v>1426914000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3"/>
        <v>512.91666666666663</v>
      </c>
      <c r="G481" t="s">
        <v>20</v>
      </c>
      <c r="H481" s="5">
        <f t="shared" si="42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8">
        <f t="shared" si="44"/>
        <v>42945.208333333328</v>
      </c>
      <c r="N481">
        <v>1501477200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3"/>
        <v>100.65116279069768</v>
      </c>
      <c r="G482" t="s">
        <v>20</v>
      </c>
      <c r="H482" s="5">
        <f t="shared" si="42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8">
        <f t="shared" si="44"/>
        <v>40248.25</v>
      </c>
      <c r="N482">
        <v>1269061200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3"/>
        <v>81.348423194303152</v>
      </c>
      <c r="G483" t="s">
        <v>14</v>
      </c>
      <c r="H483" s="5">
        <f t="shared" si="42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8">
        <f t="shared" si="44"/>
        <v>41913.208333333336</v>
      </c>
      <c r="N483">
        <v>1415772000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3"/>
        <v>16.404761904761905</v>
      </c>
      <c r="G484" t="s">
        <v>14</v>
      </c>
      <c r="H484" s="5">
        <f t="shared" si="42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8">
        <f t="shared" si="44"/>
        <v>40963.25</v>
      </c>
      <c r="N484">
        <v>1331013600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3"/>
        <v>52.774617067833695</v>
      </c>
      <c r="G485" t="s">
        <v>14</v>
      </c>
      <c r="H485" s="5">
        <f t="shared" si="42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8">
        <f t="shared" si="44"/>
        <v>43811.25</v>
      </c>
      <c r="N485">
        <v>1576735200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3"/>
        <v>260.20608108108109</v>
      </c>
      <c r="G486" t="s">
        <v>20</v>
      </c>
      <c r="H486" s="5">
        <f t="shared" si="42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8">
        <f t="shared" si="44"/>
        <v>41855.208333333336</v>
      </c>
      <c r="N486">
        <v>1411362000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3"/>
        <v>30.73289183222958</v>
      </c>
      <c r="G487" t="s">
        <v>14</v>
      </c>
      <c r="H487" s="5">
        <f t="shared" si="42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8">
        <f t="shared" si="44"/>
        <v>43626.208333333328</v>
      </c>
      <c r="N487">
        <v>1563685200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3"/>
        <v>13.5</v>
      </c>
      <c r="G488" t="s">
        <v>14</v>
      </c>
      <c r="H488" s="5">
        <f t="shared" si="42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8">
        <f t="shared" si="44"/>
        <v>43168.25</v>
      </c>
      <c r="N488">
        <v>1521867600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3"/>
        <v>178.62556663644605</v>
      </c>
      <c r="G489" t="s">
        <v>20</v>
      </c>
      <c r="H489" s="5">
        <f t="shared" si="42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8">
        <f t="shared" si="44"/>
        <v>42845.208333333328</v>
      </c>
      <c r="N489">
        <v>1495515600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3"/>
        <v>220.0566037735849</v>
      </c>
      <c r="G490" t="s">
        <v>20</v>
      </c>
      <c r="H490" s="5">
        <f t="shared" si="42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8">
        <f t="shared" si="44"/>
        <v>42403.25</v>
      </c>
      <c r="N490">
        <v>1455948000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3"/>
        <v>101.5108695652174</v>
      </c>
      <c r="G491" t="s">
        <v>20</v>
      </c>
      <c r="H491" s="5">
        <f t="shared" si="42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8">
        <f t="shared" si="44"/>
        <v>40406.208333333336</v>
      </c>
      <c r="N491">
        <v>1282366800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3"/>
        <v>191.5</v>
      </c>
      <c r="G492" t="s">
        <v>20</v>
      </c>
      <c r="H492" s="5">
        <f t="shared" si="42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8">
        <f t="shared" si="44"/>
        <v>43786.25</v>
      </c>
      <c r="N492">
        <v>1574575200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3"/>
        <v>305.34683098591546</v>
      </c>
      <c r="G493" t="s">
        <v>20</v>
      </c>
      <c r="H493" s="5">
        <f t="shared" si="42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8">
        <f t="shared" si="44"/>
        <v>41456.208333333336</v>
      </c>
      <c r="N493">
        <v>1374901200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3"/>
        <v>23.995287958115181</v>
      </c>
      <c r="G494" t="s">
        <v>74</v>
      </c>
      <c r="H494" s="5">
        <f t="shared" si="42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8">
        <f t="shared" si="44"/>
        <v>40336.208333333336</v>
      </c>
      <c r="N494">
        <v>1278910800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3"/>
        <v>723.77777777777771</v>
      </c>
      <c r="G495" t="s">
        <v>20</v>
      </c>
      <c r="H495" s="5">
        <f t="shared" si="42"/>
        <v>101.78125</v>
      </c>
      <c r="I495">
        <v>64</v>
      </c>
      <c r="J495" t="s">
        <v>21</v>
      </c>
      <c r="K495" t="s">
        <v>22</v>
      </c>
      <c r="L495">
        <v>1561784400</v>
      </c>
      <c r="M495" s="8">
        <f t="shared" si="44"/>
        <v>43645.208333333328</v>
      </c>
      <c r="N495">
        <v>1562907600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3"/>
        <v>547.36</v>
      </c>
      <c r="G496" t="s">
        <v>20</v>
      </c>
      <c r="H496" s="5">
        <f t="shared" si="42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8">
        <f t="shared" si="44"/>
        <v>40990.208333333336</v>
      </c>
      <c r="N496">
        <v>1332478800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3"/>
        <v>414.49999999999994</v>
      </c>
      <c r="G497" t="s">
        <v>20</v>
      </c>
      <c r="H497" s="5">
        <f t="shared" si="42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8">
        <f t="shared" si="44"/>
        <v>41800.208333333336</v>
      </c>
      <c r="N497">
        <v>1402722000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3"/>
        <v>0.90696409140369971</v>
      </c>
      <c r="G498" t="s">
        <v>14</v>
      </c>
      <c r="H498" s="5">
        <f t="shared" si="42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8">
        <f t="shared" si="44"/>
        <v>42876.208333333328</v>
      </c>
      <c r="N498">
        <v>1496811600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3"/>
        <v>34.173469387755098</v>
      </c>
      <c r="G499" t="s">
        <v>14</v>
      </c>
      <c r="H499" s="5">
        <f t="shared" si="42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8">
        <f t="shared" si="44"/>
        <v>42724.25</v>
      </c>
      <c r="N499">
        <v>1482213600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3"/>
        <v>23.948810754912099</v>
      </c>
      <c r="G500" t="s">
        <v>14</v>
      </c>
      <c r="H500" s="5">
        <f t="shared" si="42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8">
        <f t="shared" si="44"/>
        <v>42005.25</v>
      </c>
      <c r="N500">
        <v>1420264800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3"/>
        <v>48.072649572649574</v>
      </c>
      <c r="G501" t="s">
        <v>14</v>
      </c>
      <c r="H501" s="5">
        <f t="shared" si="42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8">
        <f t="shared" si="44"/>
        <v>42444.208333333328</v>
      </c>
      <c r="N501">
        <v>1458450000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3"/>
        <v>0</v>
      </c>
      <c r="G502" t="s">
        <v>14</v>
      </c>
      <c r="H502" s="5">
        <f t="shared" si="42"/>
        <v>0</v>
      </c>
      <c r="I502">
        <v>0</v>
      </c>
      <c r="J502" t="s">
        <v>21</v>
      </c>
      <c r="K502" t="s">
        <v>22</v>
      </c>
      <c r="L502">
        <v>1367384400</v>
      </c>
      <c r="M502" s="8">
        <f t="shared" si="44"/>
        <v>41395.208333333336</v>
      </c>
      <c r="N502">
        <v>1369803600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3"/>
        <v>70.145182291666657</v>
      </c>
      <c r="G503" t="s">
        <v>14</v>
      </c>
      <c r="H503" s="5">
        <f t="shared" si="42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8">
        <f t="shared" si="44"/>
        <v>41345.208333333336</v>
      </c>
      <c r="N503">
        <v>1363237200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3"/>
        <v>529.92307692307691</v>
      </c>
      <c r="G504" t="s">
        <v>20</v>
      </c>
      <c r="H504" s="5">
        <f t="shared" si="42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8">
        <f t="shared" si="44"/>
        <v>41117.208333333336</v>
      </c>
      <c r="N504">
        <v>1345870800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3"/>
        <v>180.32549019607845</v>
      </c>
      <c r="G505" t="s">
        <v>20</v>
      </c>
      <c r="H505" s="5">
        <f t="shared" si="42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8">
        <f t="shared" si="44"/>
        <v>42186.208333333328</v>
      </c>
      <c r="N505">
        <v>1437454800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3"/>
        <v>92.320000000000007</v>
      </c>
      <c r="G506" t="s">
        <v>14</v>
      </c>
      <c r="H506" s="5">
        <f t="shared" si="42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8">
        <f t="shared" si="44"/>
        <v>42142.208333333328</v>
      </c>
      <c r="N506">
        <v>1432011600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3"/>
        <v>13.901001112347053</v>
      </c>
      <c r="G507" t="s">
        <v>14</v>
      </c>
      <c r="H507" s="5">
        <f t="shared" si="42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8">
        <f t="shared" si="44"/>
        <v>41341.25</v>
      </c>
      <c r="N507">
        <v>1366347600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3"/>
        <v>927.07777777777767</v>
      </c>
      <c r="G508" t="s">
        <v>20</v>
      </c>
      <c r="H508" s="5">
        <f t="shared" si="42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8">
        <f t="shared" si="44"/>
        <v>43062.25</v>
      </c>
      <c r="N508">
        <v>1512885600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3"/>
        <v>39.857142857142861</v>
      </c>
      <c r="G509" t="s">
        <v>14</v>
      </c>
      <c r="H509" s="5">
        <f t="shared" si="42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8">
        <f t="shared" si="44"/>
        <v>41373.208333333336</v>
      </c>
      <c r="N509">
        <v>1369717200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3"/>
        <v>112.22929936305732</v>
      </c>
      <c r="G510" t="s">
        <v>20</v>
      </c>
      <c r="H510" s="5">
        <f t="shared" si="42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8">
        <f t="shared" si="44"/>
        <v>43310.208333333328</v>
      </c>
      <c r="N510">
        <v>1534654800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3"/>
        <v>70.925816023738875</v>
      </c>
      <c r="G511" t="s">
        <v>14</v>
      </c>
      <c r="H511" s="5">
        <f t="shared" si="42"/>
        <v>95</v>
      </c>
      <c r="I511">
        <v>1258</v>
      </c>
      <c r="J511" t="s">
        <v>21</v>
      </c>
      <c r="K511" t="s">
        <v>22</v>
      </c>
      <c r="L511">
        <v>1336194000</v>
      </c>
      <c r="M511" s="8">
        <f t="shared" si="44"/>
        <v>41034.208333333336</v>
      </c>
      <c r="N511">
        <v>1337058000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3"/>
        <v>119.08974358974358</v>
      </c>
      <c r="G512" t="s">
        <v>20</v>
      </c>
      <c r="H512" s="5">
        <f t="shared" si="42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8">
        <f t="shared" si="44"/>
        <v>43251.208333333328</v>
      </c>
      <c r="N512">
        <v>1529816400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3"/>
        <v>24.017591339648174</v>
      </c>
      <c r="G513" t="s">
        <v>14</v>
      </c>
      <c r="H513" s="5">
        <f t="shared" si="42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8">
        <f t="shared" si="44"/>
        <v>43671.208333333328</v>
      </c>
      <c r="N513">
        <v>1564894800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3"/>
        <v>139.31868131868131</v>
      </c>
      <c r="G514" t="s">
        <v>20</v>
      </c>
      <c r="H514" s="5">
        <f t="shared" ref="H514:H577" si="48">IFERROR(E514/I514,0)</f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8">
        <f t="shared" si="44"/>
        <v>41825.208333333336</v>
      </c>
      <c r="N514">
        <v>1404622800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9">E515/D515*100</f>
        <v>39.277108433734945</v>
      </c>
      <c r="G515" t="s">
        <v>74</v>
      </c>
      <c r="H515" s="5">
        <f t="shared" si="48"/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8">
        <f t="shared" ref="M515:M578" si="50">(((L515/60)/60)/24)+DATE(1970,1,1)</f>
        <v>40430.208333333336</v>
      </c>
      <c r="N515">
        <v>1284181200</v>
      </c>
      <c r="O515" s="8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9"/>
        <v>22.439077144917089</v>
      </c>
      <c r="G516" t="s">
        <v>74</v>
      </c>
      <c r="H516" s="5">
        <f t="shared" si="48"/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8">
        <f t="shared" si="50"/>
        <v>41614.25</v>
      </c>
      <c r="N516">
        <v>1386741600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9"/>
        <v>55.779069767441861</v>
      </c>
      <c r="G517" t="s">
        <v>14</v>
      </c>
      <c r="H517" s="5">
        <f t="shared" si="48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8">
        <f t="shared" si="50"/>
        <v>40900.25</v>
      </c>
      <c r="N517">
        <v>1324792800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9"/>
        <v>42.523125996810208</v>
      </c>
      <c r="G518" t="s">
        <v>14</v>
      </c>
      <c r="H518" s="5">
        <f t="shared" si="48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8">
        <f t="shared" si="50"/>
        <v>40396.208333333336</v>
      </c>
      <c r="N518">
        <v>1284354000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9"/>
        <v>112.00000000000001</v>
      </c>
      <c r="G519" t="s">
        <v>20</v>
      </c>
      <c r="H519" s="5">
        <f t="shared" si="48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8">
        <f t="shared" si="50"/>
        <v>42860.208333333328</v>
      </c>
      <c r="N519">
        <v>1494392400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9"/>
        <v>7.0681818181818183</v>
      </c>
      <c r="G520" t="s">
        <v>14</v>
      </c>
      <c r="H520" s="5">
        <f t="shared" si="48"/>
        <v>62.2</v>
      </c>
      <c r="I520">
        <v>10</v>
      </c>
      <c r="J520" t="s">
        <v>21</v>
      </c>
      <c r="K520" t="s">
        <v>22</v>
      </c>
      <c r="L520">
        <v>1519365600</v>
      </c>
      <c r="M520" s="8">
        <f t="shared" si="50"/>
        <v>43154.25</v>
      </c>
      <c r="N520">
        <v>1519538400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9"/>
        <v>101.74563871693867</v>
      </c>
      <c r="G521" t="s">
        <v>20</v>
      </c>
      <c r="H521" s="5">
        <f t="shared" si="48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8">
        <f t="shared" si="50"/>
        <v>42012.25</v>
      </c>
      <c r="N521">
        <v>1421906400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9"/>
        <v>425.75</v>
      </c>
      <c r="G522" t="s">
        <v>20</v>
      </c>
      <c r="H522" s="5">
        <f t="shared" si="48"/>
        <v>106.4375</v>
      </c>
      <c r="I522">
        <v>32</v>
      </c>
      <c r="J522" t="s">
        <v>21</v>
      </c>
      <c r="K522" t="s">
        <v>22</v>
      </c>
      <c r="L522">
        <v>1555650000</v>
      </c>
      <c r="M522" s="8">
        <f t="shared" si="50"/>
        <v>43574.208333333328</v>
      </c>
      <c r="N522">
        <v>1555909200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9"/>
        <v>145.53947368421052</v>
      </c>
      <c r="G523" t="s">
        <v>20</v>
      </c>
      <c r="H523" s="5">
        <f t="shared" si="48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8">
        <f t="shared" si="50"/>
        <v>42605.208333333328</v>
      </c>
      <c r="N523">
        <v>1472446800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9"/>
        <v>32.453465346534657</v>
      </c>
      <c r="G524" t="s">
        <v>14</v>
      </c>
      <c r="H524" s="5">
        <f t="shared" si="48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8">
        <f t="shared" si="50"/>
        <v>41093.208333333336</v>
      </c>
      <c r="N524">
        <v>1342328400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9"/>
        <v>700.33333333333326</v>
      </c>
      <c r="G525" t="s">
        <v>20</v>
      </c>
      <c r="H525" s="5">
        <f t="shared" si="48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8">
        <f t="shared" si="50"/>
        <v>40241.25</v>
      </c>
      <c r="N525">
        <v>1268114400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9"/>
        <v>83.904860392967933</v>
      </c>
      <c r="G526" t="s">
        <v>14</v>
      </c>
      <c r="H526" s="5">
        <f t="shared" si="48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8">
        <f t="shared" si="50"/>
        <v>40294.208333333336</v>
      </c>
      <c r="N526">
        <v>1273381200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9"/>
        <v>84.19047619047619</v>
      </c>
      <c r="G527" t="s">
        <v>14</v>
      </c>
      <c r="H527" s="5">
        <f t="shared" si="48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8">
        <f t="shared" si="50"/>
        <v>40505.25</v>
      </c>
      <c r="N527">
        <v>1290837600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9"/>
        <v>155.95180722891567</v>
      </c>
      <c r="G528" t="s">
        <v>20</v>
      </c>
      <c r="H528" s="5">
        <f t="shared" si="48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8">
        <f t="shared" si="50"/>
        <v>42364.25</v>
      </c>
      <c r="N528">
        <v>1454306400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9"/>
        <v>99.619450317124731</v>
      </c>
      <c r="G529" t="s">
        <v>14</v>
      </c>
      <c r="H529" s="5">
        <f t="shared" si="48"/>
        <v>31</v>
      </c>
      <c r="I529">
        <v>6080</v>
      </c>
      <c r="J529" t="s">
        <v>15</v>
      </c>
      <c r="K529" t="s">
        <v>16</v>
      </c>
      <c r="L529">
        <v>1454652000</v>
      </c>
      <c r="M529" s="8">
        <f t="shared" si="50"/>
        <v>42405.25</v>
      </c>
      <c r="N529">
        <v>1457762400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9"/>
        <v>80.300000000000011</v>
      </c>
      <c r="G530" t="s">
        <v>14</v>
      </c>
      <c r="H530" s="5">
        <f t="shared" si="48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8">
        <f t="shared" si="50"/>
        <v>41601.25</v>
      </c>
      <c r="N530">
        <v>1389074400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9"/>
        <v>11.254901960784313</v>
      </c>
      <c r="G531" t="s">
        <v>14</v>
      </c>
      <c r="H531" s="5">
        <f t="shared" si="48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8">
        <f t="shared" si="50"/>
        <v>41769.208333333336</v>
      </c>
      <c r="N531">
        <v>1402117200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9"/>
        <v>91.740952380952379</v>
      </c>
      <c r="G532" t="s">
        <v>14</v>
      </c>
      <c r="H532" s="5">
        <f t="shared" si="48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8">
        <f t="shared" si="50"/>
        <v>40421.208333333336</v>
      </c>
      <c r="N532">
        <v>1284440400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9"/>
        <v>95.521156936261391</v>
      </c>
      <c r="G533" t="s">
        <v>47</v>
      </c>
      <c r="H533" s="5">
        <f t="shared" si="48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8">
        <f t="shared" si="50"/>
        <v>41589.25</v>
      </c>
      <c r="N533">
        <v>1388988000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9"/>
        <v>502.87499999999994</v>
      </c>
      <c r="G534" t="s">
        <v>20</v>
      </c>
      <c r="H534" s="5">
        <f t="shared" si="48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8">
        <f t="shared" si="50"/>
        <v>43125.25</v>
      </c>
      <c r="N534">
        <v>1516946400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9"/>
        <v>159.24394463667818</v>
      </c>
      <c r="G535" t="s">
        <v>20</v>
      </c>
      <c r="H535" s="5">
        <f t="shared" si="48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8">
        <f t="shared" si="50"/>
        <v>41479.208333333336</v>
      </c>
      <c r="N535">
        <v>1377752400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9"/>
        <v>15.022446689113355</v>
      </c>
      <c r="G536" t="s">
        <v>14</v>
      </c>
      <c r="H536" s="5">
        <f t="shared" si="48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8">
        <f t="shared" si="50"/>
        <v>43329.208333333328</v>
      </c>
      <c r="N536">
        <v>1534568400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9"/>
        <v>482.03846153846149</v>
      </c>
      <c r="G537" t="s">
        <v>20</v>
      </c>
      <c r="H537" s="5">
        <f t="shared" si="48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8">
        <f t="shared" si="50"/>
        <v>43259.208333333328</v>
      </c>
      <c r="N537">
        <v>1528606800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9"/>
        <v>149.96938775510205</v>
      </c>
      <c r="G538" t="s">
        <v>20</v>
      </c>
      <c r="H538" s="5">
        <f t="shared" si="48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8">
        <f t="shared" si="50"/>
        <v>40414.208333333336</v>
      </c>
      <c r="N538">
        <v>1284872400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9"/>
        <v>117.22156398104266</v>
      </c>
      <c r="G539" t="s">
        <v>20</v>
      </c>
      <c r="H539" s="5">
        <f t="shared" si="48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8">
        <f t="shared" si="50"/>
        <v>43342.208333333328</v>
      </c>
      <c r="N539">
        <v>1537592400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9"/>
        <v>37.695968274950431</v>
      </c>
      <c r="G540" t="s">
        <v>14</v>
      </c>
      <c r="H540" s="5">
        <f t="shared" si="48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8">
        <f t="shared" si="50"/>
        <v>41539.208333333336</v>
      </c>
      <c r="N540">
        <v>1381208400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9"/>
        <v>72.653061224489804</v>
      </c>
      <c r="G541" t="s">
        <v>14</v>
      </c>
      <c r="H541" s="5">
        <f t="shared" si="48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8">
        <f t="shared" si="50"/>
        <v>43647.208333333328</v>
      </c>
      <c r="N541">
        <v>1562475600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9"/>
        <v>265.98113207547169</v>
      </c>
      <c r="G542" t="s">
        <v>20</v>
      </c>
      <c r="H542" s="5">
        <f t="shared" si="48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8">
        <f t="shared" si="50"/>
        <v>43225.208333333328</v>
      </c>
      <c r="N542">
        <v>1527397200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9"/>
        <v>24.205617977528089</v>
      </c>
      <c r="G543" t="s">
        <v>14</v>
      </c>
      <c r="H543" s="5">
        <f t="shared" si="48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8">
        <f t="shared" si="50"/>
        <v>42165.208333333328</v>
      </c>
      <c r="N543">
        <v>1436158800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9"/>
        <v>2.5064935064935066</v>
      </c>
      <c r="G544" t="s">
        <v>14</v>
      </c>
      <c r="H544" s="5">
        <f t="shared" si="48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8">
        <f t="shared" si="50"/>
        <v>42391.25</v>
      </c>
      <c r="N544">
        <v>1456034400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9"/>
        <v>16.329799764428738</v>
      </c>
      <c r="G545" t="s">
        <v>14</v>
      </c>
      <c r="H545" s="5">
        <f t="shared" si="48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8">
        <f t="shared" si="50"/>
        <v>41528.208333333336</v>
      </c>
      <c r="N545">
        <v>1380171600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9"/>
        <v>276.5</v>
      </c>
      <c r="G546" t="s">
        <v>20</v>
      </c>
      <c r="H546" s="5">
        <f t="shared" si="48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8">
        <f t="shared" si="50"/>
        <v>42377.25</v>
      </c>
      <c r="N546">
        <v>1453356000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9"/>
        <v>88.803571428571431</v>
      </c>
      <c r="G547" t="s">
        <v>14</v>
      </c>
      <c r="H547" s="5">
        <f t="shared" si="48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8">
        <f t="shared" si="50"/>
        <v>43824.25</v>
      </c>
      <c r="N547">
        <v>1578981600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9"/>
        <v>163.57142857142856</v>
      </c>
      <c r="G548" t="s">
        <v>20</v>
      </c>
      <c r="H548" s="5">
        <f t="shared" si="48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8">
        <f t="shared" si="50"/>
        <v>43360.208333333328</v>
      </c>
      <c r="N548">
        <v>1537419600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9"/>
        <v>969</v>
      </c>
      <c r="G549" t="s">
        <v>20</v>
      </c>
      <c r="H549" s="5">
        <f t="shared" si="48"/>
        <v>80.75</v>
      </c>
      <c r="I549">
        <v>156</v>
      </c>
      <c r="J549" t="s">
        <v>21</v>
      </c>
      <c r="K549" t="s">
        <v>22</v>
      </c>
      <c r="L549">
        <v>1422165600</v>
      </c>
      <c r="M549" s="8">
        <f t="shared" si="50"/>
        <v>42029.25</v>
      </c>
      <c r="N549">
        <v>1423202400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9"/>
        <v>270.91376701966715</v>
      </c>
      <c r="G550" t="s">
        <v>20</v>
      </c>
      <c r="H550" s="5">
        <f t="shared" si="48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8">
        <f t="shared" si="50"/>
        <v>42461.208333333328</v>
      </c>
      <c r="N550">
        <v>1460610000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9"/>
        <v>284.21355932203392</v>
      </c>
      <c r="G551" t="s">
        <v>20</v>
      </c>
      <c r="H551" s="5">
        <f t="shared" si="48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8">
        <f t="shared" si="50"/>
        <v>41422.208333333336</v>
      </c>
      <c r="N551">
        <v>1370494800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9"/>
        <v>4</v>
      </c>
      <c r="G552" t="s">
        <v>74</v>
      </c>
      <c r="H552" s="5">
        <f t="shared" si="48"/>
        <v>4</v>
      </c>
      <c r="I552">
        <v>1</v>
      </c>
      <c r="J552" t="s">
        <v>98</v>
      </c>
      <c r="K552" t="s">
        <v>99</v>
      </c>
      <c r="L552">
        <v>1330495200</v>
      </c>
      <c r="M552" s="8">
        <f t="shared" si="50"/>
        <v>40968.25</v>
      </c>
      <c r="N552">
        <v>1332306000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9"/>
        <v>58.6329816768462</v>
      </c>
      <c r="G553" t="s">
        <v>14</v>
      </c>
      <c r="H553" s="5">
        <f t="shared" si="48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8">
        <f t="shared" si="50"/>
        <v>41993.25</v>
      </c>
      <c r="N553">
        <v>1422511200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9"/>
        <v>98.51111111111112</v>
      </c>
      <c r="G554" t="s">
        <v>14</v>
      </c>
      <c r="H554" s="5">
        <f t="shared" si="48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8">
        <f t="shared" si="50"/>
        <v>42700.25</v>
      </c>
      <c r="N554">
        <v>1480312800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9"/>
        <v>43.975381008206334</v>
      </c>
      <c r="G555" t="s">
        <v>14</v>
      </c>
      <c r="H555" s="5">
        <f t="shared" si="48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8">
        <f t="shared" si="50"/>
        <v>40545.25</v>
      </c>
      <c r="N555">
        <v>1294034400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9"/>
        <v>151.66315789473683</v>
      </c>
      <c r="G556" t="s">
        <v>20</v>
      </c>
      <c r="H556" s="5">
        <f t="shared" si="48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8">
        <f t="shared" si="50"/>
        <v>42723.25</v>
      </c>
      <c r="N556">
        <v>1482645600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9"/>
        <v>223.63492063492063</v>
      </c>
      <c r="G557" t="s">
        <v>20</v>
      </c>
      <c r="H557" s="5">
        <f t="shared" si="48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8">
        <f t="shared" si="50"/>
        <v>41731.208333333336</v>
      </c>
      <c r="N557">
        <v>1399093200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9"/>
        <v>239.75</v>
      </c>
      <c r="G558" t="s">
        <v>20</v>
      </c>
      <c r="H558" s="5">
        <f t="shared" si="48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8">
        <f t="shared" si="50"/>
        <v>40792.208333333336</v>
      </c>
      <c r="N558">
        <v>1315890000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9"/>
        <v>199.33333333333334</v>
      </c>
      <c r="G559" t="s">
        <v>20</v>
      </c>
      <c r="H559" s="5">
        <f t="shared" si="48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8">
        <f t="shared" si="50"/>
        <v>42279.208333333328</v>
      </c>
      <c r="N559">
        <v>1444021200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9"/>
        <v>137.34482758620689</v>
      </c>
      <c r="G560" t="s">
        <v>20</v>
      </c>
      <c r="H560" s="5">
        <f t="shared" si="48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8">
        <f t="shared" si="50"/>
        <v>42424.25</v>
      </c>
      <c r="N560">
        <v>1460005200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9"/>
        <v>100.9696106362773</v>
      </c>
      <c r="G561" t="s">
        <v>20</v>
      </c>
      <c r="H561" s="5">
        <f t="shared" si="48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8">
        <f t="shared" si="50"/>
        <v>42584.208333333328</v>
      </c>
      <c r="N561">
        <v>1470718800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9"/>
        <v>794.16</v>
      </c>
      <c r="G562" t="s">
        <v>20</v>
      </c>
      <c r="H562" s="5">
        <f t="shared" si="48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8">
        <f t="shared" si="50"/>
        <v>40865.25</v>
      </c>
      <c r="N562">
        <v>1325052000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9"/>
        <v>369.7</v>
      </c>
      <c r="G563" t="s">
        <v>20</v>
      </c>
      <c r="H563" s="5">
        <f t="shared" si="48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8">
        <f t="shared" si="50"/>
        <v>40833.208333333336</v>
      </c>
      <c r="N563">
        <v>1319000400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9"/>
        <v>12.818181818181817</v>
      </c>
      <c r="G564" t="s">
        <v>14</v>
      </c>
      <c r="H564" s="5">
        <f t="shared" si="48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8">
        <f t="shared" si="50"/>
        <v>43536.208333333328</v>
      </c>
      <c r="N564">
        <v>1552539600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9"/>
        <v>138.02702702702703</v>
      </c>
      <c r="G565" t="s">
        <v>20</v>
      </c>
      <c r="H565" s="5">
        <f t="shared" si="48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8">
        <f t="shared" si="50"/>
        <v>43417.25</v>
      </c>
      <c r="N565">
        <v>1543816800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9"/>
        <v>83.813278008298752</v>
      </c>
      <c r="G566" t="s">
        <v>14</v>
      </c>
      <c r="H566" s="5">
        <f t="shared" si="48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8">
        <f t="shared" si="50"/>
        <v>42078.208333333328</v>
      </c>
      <c r="N566">
        <v>1427086800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9"/>
        <v>204.60063224446787</v>
      </c>
      <c r="G567" t="s">
        <v>20</v>
      </c>
      <c r="H567" s="5">
        <f t="shared" si="48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8">
        <f t="shared" si="50"/>
        <v>40862.25</v>
      </c>
      <c r="N567">
        <v>1323064800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9"/>
        <v>44.344086021505376</v>
      </c>
      <c r="G568" t="s">
        <v>14</v>
      </c>
      <c r="H568" s="5">
        <f t="shared" si="48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8">
        <f t="shared" si="50"/>
        <v>42424.25</v>
      </c>
      <c r="N568">
        <v>1458277200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9"/>
        <v>218.60294117647058</v>
      </c>
      <c r="G569" t="s">
        <v>20</v>
      </c>
      <c r="H569" s="5">
        <f t="shared" si="48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8">
        <f t="shared" si="50"/>
        <v>41830.208333333336</v>
      </c>
      <c r="N569">
        <v>1405141200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9"/>
        <v>186.03314917127071</v>
      </c>
      <c r="G570" t="s">
        <v>20</v>
      </c>
      <c r="H570" s="5">
        <f t="shared" si="48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8">
        <f t="shared" si="50"/>
        <v>40374.208333333336</v>
      </c>
      <c r="N570">
        <v>1283058000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9"/>
        <v>237.33830845771143</v>
      </c>
      <c r="G571" t="s">
        <v>20</v>
      </c>
      <c r="H571" s="5">
        <f t="shared" si="48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8">
        <f t="shared" si="50"/>
        <v>40554.25</v>
      </c>
      <c r="N571">
        <v>1295762400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9"/>
        <v>305.65384615384613</v>
      </c>
      <c r="G572" t="s">
        <v>20</v>
      </c>
      <c r="H572" s="5">
        <f t="shared" si="48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8">
        <f t="shared" si="50"/>
        <v>41993.25</v>
      </c>
      <c r="N572">
        <v>1419573600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9"/>
        <v>94.142857142857139</v>
      </c>
      <c r="G573" t="s">
        <v>14</v>
      </c>
      <c r="H573" s="5">
        <f t="shared" si="48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8">
        <f t="shared" si="50"/>
        <v>42174.208333333328</v>
      </c>
      <c r="N573">
        <v>1438750800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9"/>
        <v>54.400000000000006</v>
      </c>
      <c r="G574" t="s">
        <v>74</v>
      </c>
      <c r="H574" s="5">
        <f t="shared" si="48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8">
        <f t="shared" si="50"/>
        <v>42275.208333333328</v>
      </c>
      <c r="N574">
        <v>1444798800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9"/>
        <v>111.88059701492537</v>
      </c>
      <c r="G575" t="s">
        <v>20</v>
      </c>
      <c r="H575" s="5">
        <f t="shared" si="48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8">
        <f t="shared" si="50"/>
        <v>41761.208333333336</v>
      </c>
      <c r="N575">
        <v>1399179600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9"/>
        <v>369.14814814814815</v>
      </c>
      <c r="G576" t="s">
        <v>20</v>
      </c>
      <c r="H576" s="5">
        <f t="shared" si="48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8">
        <f t="shared" si="50"/>
        <v>43806.25</v>
      </c>
      <c r="N576">
        <v>1576562400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9"/>
        <v>62.930372148859547</v>
      </c>
      <c r="G577" t="s">
        <v>14</v>
      </c>
      <c r="H577" s="5">
        <f t="shared" si="48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8">
        <f t="shared" si="50"/>
        <v>41779.208333333336</v>
      </c>
      <c r="N577">
        <v>1400821200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9"/>
        <v>64.927835051546396</v>
      </c>
      <c r="G578" t="s">
        <v>14</v>
      </c>
      <c r="H578" s="5">
        <f t="shared" ref="H578:H641" si="54">IFERROR(E578/I578,0)</f>
        <v>98.40625</v>
      </c>
      <c r="I578">
        <v>64</v>
      </c>
      <c r="J578" t="s">
        <v>21</v>
      </c>
      <c r="K578" t="s">
        <v>22</v>
      </c>
      <c r="L578">
        <v>1509512400</v>
      </c>
      <c r="M578" s="8">
        <f t="shared" si="50"/>
        <v>43040.208333333328</v>
      </c>
      <c r="N578">
        <v>1510984800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5">E579/D579*100</f>
        <v>18.853658536585368</v>
      </c>
      <c r="G579" t="s">
        <v>74</v>
      </c>
      <c r="H579" s="5">
        <f t="shared" si="54"/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8">
        <f t="shared" ref="M579:M642" si="56">(((L579/60)/60)/24)+DATE(1970,1,1)</f>
        <v>40613.25</v>
      </c>
      <c r="N579">
        <v>1302066000</v>
      </c>
      <c r="O579" s="8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5"/>
        <v>16.754404145077721</v>
      </c>
      <c r="G580" t="s">
        <v>14</v>
      </c>
      <c r="H580" s="5">
        <f t="shared" si="54"/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8">
        <f t="shared" si="56"/>
        <v>40878.25</v>
      </c>
      <c r="N580">
        <v>1322978400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5"/>
        <v>101.11290322580646</v>
      </c>
      <c r="G581" t="s">
        <v>20</v>
      </c>
      <c r="H581" s="5">
        <f t="shared" si="54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8">
        <f t="shared" si="56"/>
        <v>40762.208333333336</v>
      </c>
      <c r="N581">
        <v>1313730000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5"/>
        <v>341.5022831050228</v>
      </c>
      <c r="G582" t="s">
        <v>20</v>
      </c>
      <c r="H582" s="5">
        <f t="shared" si="54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8">
        <f t="shared" si="56"/>
        <v>41696.25</v>
      </c>
      <c r="N582">
        <v>1394085600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5"/>
        <v>64.016666666666666</v>
      </c>
      <c r="G583" t="s">
        <v>14</v>
      </c>
      <c r="H583" s="5">
        <f t="shared" si="54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8">
        <f t="shared" si="56"/>
        <v>40662.208333333336</v>
      </c>
      <c r="N583">
        <v>1305349200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5"/>
        <v>52.080459770114942</v>
      </c>
      <c r="G584" t="s">
        <v>14</v>
      </c>
      <c r="H584" s="5">
        <f t="shared" si="54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8">
        <f t="shared" si="56"/>
        <v>42165.208333333328</v>
      </c>
      <c r="N584">
        <v>1434344400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5"/>
        <v>322.40211640211641</v>
      </c>
      <c r="G585" t="s">
        <v>20</v>
      </c>
      <c r="H585" s="5">
        <f t="shared" si="54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8">
        <f t="shared" si="56"/>
        <v>40959.25</v>
      </c>
      <c r="N585">
        <v>1331186400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5"/>
        <v>119.50810185185186</v>
      </c>
      <c r="G586" t="s">
        <v>20</v>
      </c>
      <c r="H586" s="5">
        <f t="shared" si="54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8">
        <f t="shared" si="56"/>
        <v>41024.208333333336</v>
      </c>
      <c r="N586">
        <v>1336539600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5"/>
        <v>146.79775280898878</v>
      </c>
      <c r="G587" t="s">
        <v>20</v>
      </c>
      <c r="H587" s="5">
        <f t="shared" si="54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8">
        <f t="shared" si="56"/>
        <v>40255.208333333336</v>
      </c>
      <c r="N587">
        <v>1269752400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5"/>
        <v>950.57142857142856</v>
      </c>
      <c r="G588" t="s">
        <v>20</v>
      </c>
      <c r="H588" s="5">
        <f t="shared" si="54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8">
        <f t="shared" si="56"/>
        <v>40499.25</v>
      </c>
      <c r="N588">
        <v>1291615200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5"/>
        <v>72.893617021276597</v>
      </c>
      <c r="G589" t="s">
        <v>14</v>
      </c>
      <c r="H589" s="5">
        <f t="shared" si="54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8">
        <f t="shared" si="56"/>
        <v>43484.25</v>
      </c>
      <c r="N589">
        <v>1552366800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5"/>
        <v>79.008248730964468</v>
      </c>
      <c r="G590" t="s">
        <v>14</v>
      </c>
      <c r="H590" s="5">
        <f t="shared" si="54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8">
        <f t="shared" si="56"/>
        <v>40262.208333333336</v>
      </c>
      <c r="N590">
        <v>1272171600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5"/>
        <v>64.721518987341781</v>
      </c>
      <c r="G591" t="s">
        <v>14</v>
      </c>
      <c r="H591" s="5">
        <f t="shared" si="54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8">
        <f t="shared" si="56"/>
        <v>42190.208333333328</v>
      </c>
      <c r="N591">
        <v>1436677200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5"/>
        <v>82.028169014084511</v>
      </c>
      <c r="G592" t="s">
        <v>14</v>
      </c>
      <c r="H592" s="5">
        <f t="shared" si="54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8">
        <f t="shared" si="56"/>
        <v>41994.25</v>
      </c>
      <c r="N592">
        <v>1420092000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5"/>
        <v>1037.6666666666667</v>
      </c>
      <c r="G593" t="s">
        <v>20</v>
      </c>
      <c r="H593" s="5">
        <f t="shared" si="54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8">
        <f t="shared" si="56"/>
        <v>40373.208333333336</v>
      </c>
      <c r="N593">
        <v>1279947600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5"/>
        <v>12.910076530612244</v>
      </c>
      <c r="G594" t="s">
        <v>14</v>
      </c>
      <c r="H594" s="5">
        <f t="shared" si="54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8">
        <f t="shared" si="56"/>
        <v>41789.208333333336</v>
      </c>
      <c r="N594">
        <v>1402203600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5"/>
        <v>154.84210526315789</v>
      </c>
      <c r="G595" t="s">
        <v>20</v>
      </c>
      <c r="H595" s="5">
        <f t="shared" si="54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8">
        <f t="shared" si="56"/>
        <v>41724.208333333336</v>
      </c>
      <c r="N595">
        <v>1396933200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5"/>
        <v>7.0991735537190088</v>
      </c>
      <c r="G596" t="s">
        <v>14</v>
      </c>
      <c r="H596" s="5">
        <f t="shared" si="54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8">
        <f t="shared" si="56"/>
        <v>42548.208333333328</v>
      </c>
      <c r="N596">
        <v>1467262800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5"/>
        <v>208.52773826458036</v>
      </c>
      <c r="G597" t="s">
        <v>20</v>
      </c>
      <c r="H597" s="5">
        <f t="shared" si="54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8">
        <f t="shared" si="56"/>
        <v>40253.208333333336</v>
      </c>
      <c r="N597">
        <v>1270530000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5"/>
        <v>99.683544303797461</v>
      </c>
      <c r="G598" t="s">
        <v>14</v>
      </c>
      <c r="H598" s="5">
        <f t="shared" si="54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8">
        <f t="shared" si="56"/>
        <v>42434.25</v>
      </c>
      <c r="N598">
        <v>1457762400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5"/>
        <v>201.59756097560978</v>
      </c>
      <c r="G599" t="s">
        <v>20</v>
      </c>
      <c r="H599" s="5">
        <f t="shared" si="54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8">
        <f t="shared" si="56"/>
        <v>43786.25</v>
      </c>
      <c r="N599">
        <v>1575525600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5"/>
        <v>162.09032258064516</v>
      </c>
      <c r="G600" t="s">
        <v>20</v>
      </c>
      <c r="H600" s="5">
        <f t="shared" si="54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8">
        <f t="shared" si="56"/>
        <v>40344.208333333336</v>
      </c>
      <c r="N600">
        <v>1279083600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5"/>
        <v>3.6436208125445471</v>
      </c>
      <c r="G601" t="s">
        <v>14</v>
      </c>
      <c r="H601" s="5">
        <f t="shared" si="54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8">
        <f t="shared" si="56"/>
        <v>42047.25</v>
      </c>
      <c r="N601">
        <v>1424412000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5"/>
        <v>5</v>
      </c>
      <c r="G602" t="s">
        <v>14</v>
      </c>
      <c r="H602" s="5">
        <f t="shared" si="54"/>
        <v>5</v>
      </c>
      <c r="I602">
        <v>1</v>
      </c>
      <c r="J602" t="s">
        <v>40</v>
      </c>
      <c r="K602" t="s">
        <v>41</v>
      </c>
      <c r="L602">
        <v>1375160400</v>
      </c>
      <c r="M602" s="8">
        <f t="shared" si="56"/>
        <v>41485.208333333336</v>
      </c>
      <c r="N602">
        <v>1376197200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5"/>
        <v>206.63492063492063</v>
      </c>
      <c r="G603" t="s">
        <v>20</v>
      </c>
      <c r="H603" s="5">
        <f t="shared" si="54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8">
        <f t="shared" si="56"/>
        <v>41789.208333333336</v>
      </c>
      <c r="N603">
        <v>1402894800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5"/>
        <v>128.23628691983123</v>
      </c>
      <c r="G604" t="s">
        <v>20</v>
      </c>
      <c r="H604" s="5">
        <f t="shared" si="54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8">
        <f t="shared" si="56"/>
        <v>42160.208333333328</v>
      </c>
      <c r="N604">
        <v>1434430800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5"/>
        <v>119.66037735849055</v>
      </c>
      <c r="G605" t="s">
        <v>20</v>
      </c>
      <c r="H605" s="5">
        <f t="shared" si="54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8">
        <f t="shared" si="56"/>
        <v>43573.208333333328</v>
      </c>
      <c r="N605">
        <v>1557896400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5"/>
        <v>170.73055242390078</v>
      </c>
      <c r="G606" t="s">
        <v>20</v>
      </c>
      <c r="H606" s="5">
        <f t="shared" si="54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8">
        <f t="shared" si="56"/>
        <v>40565.25</v>
      </c>
      <c r="N606">
        <v>1297490400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5"/>
        <v>187.21212121212122</v>
      </c>
      <c r="G607" t="s">
        <v>20</v>
      </c>
      <c r="H607" s="5">
        <f t="shared" si="54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8">
        <f t="shared" si="56"/>
        <v>42280.208333333328</v>
      </c>
      <c r="N607">
        <v>1447394400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5"/>
        <v>188.38235294117646</v>
      </c>
      <c r="G608" t="s">
        <v>20</v>
      </c>
      <c r="H608" s="5">
        <f t="shared" si="54"/>
        <v>40.03125</v>
      </c>
      <c r="I608">
        <v>160</v>
      </c>
      <c r="J608" t="s">
        <v>40</v>
      </c>
      <c r="K608" t="s">
        <v>41</v>
      </c>
      <c r="L608">
        <v>1457330400</v>
      </c>
      <c r="M608" s="8">
        <f t="shared" si="56"/>
        <v>42436.25</v>
      </c>
      <c r="N608">
        <v>1458277200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5"/>
        <v>131.29869186046511</v>
      </c>
      <c r="G609" t="s">
        <v>20</v>
      </c>
      <c r="H609" s="5">
        <f t="shared" si="54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8">
        <f t="shared" si="56"/>
        <v>41721.208333333336</v>
      </c>
      <c r="N609">
        <v>1395723600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5"/>
        <v>283.97435897435901</v>
      </c>
      <c r="G610" t="s">
        <v>20</v>
      </c>
      <c r="H610" s="5">
        <f t="shared" si="54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8">
        <f t="shared" si="56"/>
        <v>43530.25</v>
      </c>
      <c r="N610">
        <v>1552197600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5"/>
        <v>120.41999999999999</v>
      </c>
      <c r="G611" t="s">
        <v>20</v>
      </c>
      <c r="H611" s="5">
        <f t="shared" si="54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8">
        <f t="shared" si="56"/>
        <v>43481.25</v>
      </c>
      <c r="N611">
        <v>1549087200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5"/>
        <v>419.0560747663551</v>
      </c>
      <c r="G612" t="s">
        <v>20</v>
      </c>
      <c r="H612" s="5">
        <f t="shared" si="54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8">
        <f t="shared" si="56"/>
        <v>41259.25</v>
      </c>
      <c r="N612">
        <v>1356847200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5"/>
        <v>13.853658536585368</v>
      </c>
      <c r="G613" t="s">
        <v>74</v>
      </c>
      <c r="H613" s="5">
        <f t="shared" si="54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8">
        <f t="shared" si="56"/>
        <v>41480.208333333336</v>
      </c>
      <c r="N613">
        <v>1375765200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5"/>
        <v>139.43548387096774</v>
      </c>
      <c r="G614" t="s">
        <v>20</v>
      </c>
      <c r="H614" s="5">
        <f t="shared" si="54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8">
        <f t="shared" si="56"/>
        <v>40474.208333333336</v>
      </c>
      <c r="N614">
        <v>1289800800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5"/>
        <v>174</v>
      </c>
      <c r="G615" t="s">
        <v>20</v>
      </c>
      <c r="H615" s="5">
        <f t="shared" si="54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8">
        <f t="shared" si="56"/>
        <v>42973.208333333328</v>
      </c>
      <c r="N615">
        <v>1504501200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5"/>
        <v>155.49056603773585</v>
      </c>
      <c r="G616" t="s">
        <v>20</v>
      </c>
      <c r="H616" s="5">
        <f t="shared" si="54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8">
        <f t="shared" si="56"/>
        <v>42746.25</v>
      </c>
      <c r="N616">
        <v>1485669600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5"/>
        <v>170.44705882352943</v>
      </c>
      <c r="G617" t="s">
        <v>20</v>
      </c>
      <c r="H617" s="5">
        <f t="shared" si="54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8">
        <f t="shared" si="56"/>
        <v>42489.208333333328</v>
      </c>
      <c r="N617">
        <v>1462770000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5"/>
        <v>189.515625</v>
      </c>
      <c r="G618" t="s">
        <v>20</v>
      </c>
      <c r="H618" s="5">
        <f t="shared" si="54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8">
        <f t="shared" si="56"/>
        <v>41537.208333333336</v>
      </c>
      <c r="N618">
        <v>1379739600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5"/>
        <v>249.71428571428572</v>
      </c>
      <c r="G619" t="s">
        <v>20</v>
      </c>
      <c r="H619" s="5">
        <f t="shared" si="54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8">
        <f t="shared" si="56"/>
        <v>41794.208333333336</v>
      </c>
      <c r="N619">
        <v>1402722000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5"/>
        <v>48.860523665659613</v>
      </c>
      <c r="G620" t="s">
        <v>14</v>
      </c>
      <c r="H620" s="5">
        <f t="shared" si="54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8">
        <f t="shared" si="56"/>
        <v>41396.208333333336</v>
      </c>
      <c r="N620">
        <v>1369285200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5"/>
        <v>28.461970393057683</v>
      </c>
      <c r="G621" t="s">
        <v>14</v>
      </c>
      <c r="H621" s="5">
        <f t="shared" si="54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8">
        <f t="shared" si="56"/>
        <v>40669.208333333336</v>
      </c>
      <c r="N621">
        <v>1304744400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5"/>
        <v>268.02325581395348</v>
      </c>
      <c r="G622" t="s">
        <v>20</v>
      </c>
      <c r="H622" s="5">
        <f t="shared" si="54"/>
        <v>90.0390625</v>
      </c>
      <c r="I622">
        <v>128</v>
      </c>
      <c r="J622" t="s">
        <v>26</v>
      </c>
      <c r="K622" t="s">
        <v>27</v>
      </c>
      <c r="L622">
        <v>1467954000</v>
      </c>
      <c r="M622" s="8">
        <f t="shared" si="56"/>
        <v>42559.208333333328</v>
      </c>
      <c r="N622">
        <v>1468299600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5"/>
        <v>619.80078125</v>
      </c>
      <c r="G623" t="s">
        <v>20</v>
      </c>
      <c r="H623" s="5">
        <f t="shared" si="54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8">
        <f t="shared" si="56"/>
        <v>42626.208333333328</v>
      </c>
      <c r="N623">
        <v>1474174800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5"/>
        <v>3.1301587301587301</v>
      </c>
      <c r="G624" t="s">
        <v>14</v>
      </c>
      <c r="H624" s="5">
        <f t="shared" si="54"/>
        <v>92.4375</v>
      </c>
      <c r="I624">
        <v>64</v>
      </c>
      <c r="J624" t="s">
        <v>21</v>
      </c>
      <c r="K624" t="s">
        <v>22</v>
      </c>
      <c r="L624">
        <v>1523768400</v>
      </c>
      <c r="M624" s="8">
        <f t="shared" si="56"/>
        <v>43205.208333333328</v>
      </c>
      <c r="N624">
        <v>1526014800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5"/>
        <v>159.92152704135739</v>
      </c>
      <c r="G625" t="s">
        <v>20</v>
      </c>
      <c r="H625" s="5">
        <f t="shared" si="54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8">
        <f t="shared" si="56"/>
        <v>42201.208333333328</v>
      </c>
      <c r="N625">
        <v>1437454800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5"/>
        <v>279.39215686274508</v>
      </c>
      <c r="G626" t="s">
        <v>20</v>
      </c>
      <c r="H626" s="5">
        <f t="shared" si="54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8">
        <f t="shared" si="56"/>
        <v>42029.25</v>
      </c>
      <c r="N626">
        <v>1422684000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5"/>
        <v>77.373333333333335</v>
      </c>
      <c r="G627" t="s">
        <v>14</v>
      </c>
      <c r="H627" s="5">
        <f t="shared" si="54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8">
        <f t="shared" si="56"/>
        <v>43857.25</v>
      </c>
      <c r="N627">
        <v>1581314400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5"/>
        <v>206.32812500000003</v>
      </c>
      <c r="G628" t="s">
        <v>20</v>
      </c>
      <c r="H628" s="5">
        <f t="shared" si="54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8">
        <f t="shared" si="56"/>
        <v>40449.208333333336</v>
      </c>
      <c r="N628">
        <v>1286427600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5"/>
        <v>694.25</v>
      </c>
      <c r="G629" t="s">
        <v>20</v>
      </c>
      <c r="H629" s="5">
        <f t="shared" si="54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8">
        <f t="shared" si="56"/>
        <v>40345.208333333336</v>
      </c>
      <c r="N629">
        <v>1278738000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5"/>
        <v>151.78947368421052</v>
      </c>
      <c r="G630" t="s">
        <v>20</v>
      </c>
      <c r="H630" s="5">
        <f t="shared" si="54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8">
        <f t="shared" si="56"/>
        <v>40455.208333333336</v>
      </c>
      <c r="N630">
        <v>1286427600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5"/>
        <v>64.58207217694995</v>
      </c>
      <c r="G631" t="s">
        <v>14</v>
      </c>
      <c r="H631" s="5">
        <f t="shared" si="54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8">
        <f t="shared" si="56"/>
        <v>42557.208333333328</v>
      </c>
      <c r="N631">
        <v>1467954000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5"/>
        <v>62.873684210526314</v>
      </c>
      <c r="G632" t="s">
        <v>74</v>
      </c>
      <c r="H632" s="5">
        <f t="shared" si="54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8">
        <f t="shared" si="56"/>
        <v>43586.208333333328</v>
      </c>
      <c r="N632">
        <v>1557637200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5"/>
        <v>310.39864864864865</v>
      </c>
      <c r="G633" t="s">
        <v>20</v>
      </c>
      <c r="H633" s="5">
        <f t="shared" si="54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8">
        <f t="shared" si="56"/>
        <v>43550.208333333328</v>
      </c>
      <c r="N633">
        <v>1553922000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5"/>
        <v>42.859916782246884</v>
      </c>
      <c r="G634" t="s">
        <v>47</v>
      </c>
      <c r="H634" s="5">
        <f t="shared" si="54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8">
        <f t="shared" si="56"/>
        <v>41945.208333333336</v>
      </c>
      <c r="N634">
        <v>1416463200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5"/>
        <v>83.119402985074629</v>
      </c>
      <c r="G635" t="s">
        <v>14</v>
      </c>
      <c r="H635" s="5">
        <f t="shared" si="54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8">
        <f t="shared" si="56"/>
        <v>42315.25</v>
      </c>
      <c r="N635">
        <v>1447221600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5"/>
        <v>78.531302876480552</v>
      </c>
      <c r="G636" t="s">
        <v>74</v>
      </c>
      <c r="H636" s="5">
        <f t="shared" si="54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8">
        <f t="shared" si="56"/>
        <v>42819.208333333328</v>
      </c>
      <c r="N636">
        <v>1491627600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5"/>
        <v>114.09352517985612</v>
      </c>
      <c r="G637" t="s">
        <v>20</v>
      </c>
      <c r="H637" s="5">
        <f t="shared" si="54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8">
        <f t="shared" si="56"/>
        <v>41314.25</v>
      </c>
      <c r="N637">
        <v>1363150800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5"/>
        <v>64.537683358624179</v>
      </c>
      <c r="G638" t="s">
        <v>14</v>
      </c>
      <c r="H638" s="5">
        <f t="shared" si="54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8">
        <f t="shared" si="56"/>
        <v>40926.25</v>
      </c>
      <c r="N638">
        <v>1330754400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5"/>
        <v>79.411764705882348</v>
      </c>
      <c r="G639" t="s">
        <v>14</v>
      </c>
      <c r="H639" s="5">
        <f t="shared" si="54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8">
        <f t="shared" si="56"/>
        <v>42688.25</v>
      </c>
      <c r="N639">
        <v>1479794400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5"/>
        <v>11.419117647058824</v>
      </c>
      <c r="G640" t="s">
        <v>14</v>
      </c>
      <c r="H640" s="5">
        <f t="shared" si="54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8">
        <f t="shared" si="56"/>
        <v>40386.208333333336</v>
      </c>
      <c r="N640">
        <v>1281243600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5"/>
        <v>56.186046511627907</v>
      </c>
      <c r="G641" t="s">
        <v>47</v>
      </c>
      <c r="H641" s="5">
        <f t="shared" si="54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8">
        <f t="shared" si="56"/>
        <v>43309.208333333328</v>
      </c>
      <c r="N641">
        <v>1532754000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5"/>
        <v>16.501669449081803</v>
      </c>
      <c r="G642" t="s">
        <v>14</v>
      </c>
      <c r="H642" s="5">
        <f t="shared" ref="H642:H705" si="60">IFERROR(E642/I642,0)</f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8">
        <f t="shared" si="56"/>
        <v>42387.25</v>
      </c>
      <c r="N642">
        <v>1453356000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1">E643/D643*100</f>
        <v>119.96808510638297</v>
      </c>
      <c r="G643" t="s">
        <v>20</v>
      </c>
      <c r="H643" s="5">
        <f t="shared" si="60"/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8">
        <f t="shared" ref="M643:M706" si="62">(((L643/60)/60)/24)+DATE(1970,1,1)</f>
        <v>42786.25</v>
      </c>
      <c r="N643">
        <v>1489986000</v>
      </c>
      <c r="O643" s="8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1"/>
        <v>145.45652173913044</v>
      </c>
      <c r="G644" t="s">
        <v>20</v>
      </c>
      <c r="H644" s="5">
        <f t="shared" si="60"/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8">
        <f t="shared" si="62"/>
        <v>43451.25</v>
      </c>
      <c r="N644">
        <v>1545804000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1"/>
        <v>221.38255033557047</v>
      </c>
      <c r="G645" t="s">
        <v>20</v>
      </c>
      <c r="H645" s="5">
        <f t="shared" si="60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8">
        <f t="shared" si="62"/>
        <v>42795.25</v>
      </c>
      <c r="N645">
        <v>1489899600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1"/>
        <v>48.396694214876035</v>
      </c>
      <c r="G646" t="s">
        <v>14</v>
      </c>
      <c r="H646" s="5">
        <f t="shared" si="60"/>
        <v>28</v>
      </c>
      <c r="I646">
        <v>2928</v>
      </c>
      <c r="J646" t="s">
        <v>15</v>
      </c>
      <c r="K646" t="s">
        <v>16</v>
      </c>
      <c r="L646">
        <v>1545112800</v>
      </c>
      <c r="M646" s="8">
        <f t="shared" si="62"/>
        <v>43452.25</v>
      </c>
      <c r="N646">
        <v>1546495200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1"/>
        <v>92.911504424778755</v>
      </c>
      <c r="G647" t="s">
        <v>14</v>
      </c>
      <c r="H647" s="5">
        <f t="shared" si="60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8">
        <f t="shared" si="62"/>
        <v>43369.208333333328</v>
      </c>
      <c r="N647">
        <v>1539752400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1"/>
        <v>88.599797365754824</v>
      </c>
      <c r="G648" t="s">
        <v>14</v>
      </c>
      <c r="H648" s="5">
        <f t="shared" si="60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8">
        <f t="shared" si="62"/>
        <v>41346.208333333336</v>
      </c>
      <c r="N648">
        <v>1364101200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1"/>
        <v>41.4</v>
      </c>
      <c r="G649" t="s">
        <v>14</v>
      </c>
      <c r="H649" s="5">
        <f t="shared" si="60"/>
        <v>103.5</v>
      </c>
      <c r="I649">
        <v>18</v>
      </c>
      <c r="J649" t="s">
        <v>21</v>
      </c>
      <c r="K649" t="s">
        <v>22</v>
      </c>
      <c r="L649">
        <v>1523250000</v>
      </c>
      <c r="M649" s="8">
        <f t="shared" si="62"/>
        <v>43199.208333333328</v>
      </c>
      <c r="N649">
        <v>1525323600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1"/>
        <v>63.056795131845846</v>
      </c>
      <c r="G650" t="s">
        <v>74</v>
      </c>
      <c r="H650" s="5">
        <f t="shared" si="60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8">
        <f t="shared" si="62"/>
        <v>42922.208333333328</v>
      </c>
      <c r="N650">
        <v>1500872400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1"/>
        <v>48.482333607230892</v>
      </c>
      <c r="G651" t="s">
        <v>14</v>
      </c>
      <c r="H651" s="5">
        <f t="shared" si="60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8">
        <f t="shared" si="62"/>
        <v>40471.208333333336</v>
      </c>
      <c r="N651">
        <v>1288501200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1"/>
        <v>2</v>
      </c>
      <c r="G652" t="s">
        <v>14</v>
      </c>
      <c r="H652" s="5">
        <f t="shared" si="60"/>
        <v>2</v>
      </c>
      <c r="I652">
        <v>1</v>
      </c>
      <c r="J652" t="s">
        <v>21</v>
      </c>
      <c r="K652" t="s">
        <v>22</v>
      </c>
      <c r="L652">
        <v>1404795600</v>
      </c>
      <c r="M652" s="8">
        <f t="shared" si="62"/>
        <v>41828.208333333336</v>
      </c>
      <c r="N652">
        <v>1407128400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1"/>
        <v>88.47941026944585</v>
      </c>
      <c r="G653" t="s">
        <v>14</v>
      </c>
      <c r="H653" s="5">
        <f t="shared" si="60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8">
        <f t="shared" si="62"/>
        <v>41692.25</v>
      </c>
      <c r="N653">
        <v>1394344800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1"/>
        <v>126.84</v>
      </c>
      <c r="G654" t="s">
        <v>20</v>
      </c>
      <c r="H654" s="5">
        <f t="shared" si="60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8">
        <f t="shared" si="62"/>
        <v>42587.208333333328</v>
      </c>
      <c r="N654">
        <v>1474088400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1"/>
        <v>2338.833333333333</v>
      </c>
      <c r="G655" t="s">
        <v>20</v>
      </c>
      <c r="H655" s="5">
        <f t="shared" si="60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8">
        <f t="shared" si="62"/>
        <v>42468.208333333328</v>
      </c>
      <c r="N655">
        <v>1460264400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1"/>
        <v>508.38857142857148</v>
      </c>
      <c r="G656" t="s">
        <v>20</v>
      </c>
      <c r="H656" s="5">
        <f t="shared" si="60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8">
        <f t="shared" si="62"/>
        <v>42240.208333333328</v>
      </c>
      <c r="N656">
        <v>1440824400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1"/>
        <v>191.47826086956522</v>
      </c>
      <c r="G657" t="s">
        <v>20</v>
      </c>
      <c r="H657" s="5">
        <f t="shared" si="60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8">
        <f t="shared" si="62"/>
        <v>42796.25</v>
      </c>
      <c r="N657">
        <v>1489554000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1"/>
        <v>42.127533783783782</v>
      </c>
      <c r="G658" t="s">
        <v>14</v>
      </c>
      <c r="H658" s="5">
        <f t="shared" si="60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8">
        <f t="shared" si="62"/>
        <v>43097.25</v>
      </c>
      <c r="N658">
        <v>1514872800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1"/>
        <v>8.24</v>
      </c>
      <c r="G659" t="s">
        <v>14</v>
      </c>
      <c r="H659" s="5">
        <f t="shared" si="60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8">
        <f t="shared" si="62"/>
        <v>43096.25</v>
      </c>
      <c r="N659">
        <v>1515736800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1"/>
        <v>60.064638783269963</v>
      </c>
      <c r="G660" t="s">
        <v>74</v>
      </c>
      <c r="H660" s="5">
        <f t="shared" si="60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8">
        <f t="shared" si="62"/>
        <v>42246.208333333328</v>
      </c>
      <c r="N660">
        <v>1442898000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1"/>
        <v>47.232808616404313</v>
      </c>
      <c r="G661" t="s">
        <v>14</v>
      </c>
      <c r="H661" s="5">
        <f t="shared" si="60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8">
        <f t="shared" si="62"/>
        <v>40570.25</v>
      </c>
      <c r="N661">
        <v>1296194400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1"/>
        <v>81.736263736263737</v>
      </c>
      <c r="G662" t="s">
        <v>14</v>
      </c>
      <c r="H662" s="5">
        <f t="shared" si="60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8">
        <f t="shared" si="62"/>
        <v>42237.208333333328</v>
      </c>
      <c r="N662">
        <v>1440910800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1"/>
        <v>54.187265917603</v>
      </c>
      <c r="G663" t="s">
        <v>14</v>
      </c>
      <c r="H663" s="5">
        <f t="shared" si="60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8">
        <f t="shared" si="62"/>
        <v>40996.208333333336</v>
      </c>
      <c r="N663">
        <v>1335502800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1"/>
        <v>97.868131868131869</v>
      </c>
      <c r="G664" t="s">
        <v>14</v>
      </c>
      <c r="H664" s="5">
        <f t="shared" si="60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8">
        <f t="shared" si="62"/>
        <v>43443.25</v>
      </c>
      <c r="N664">
        <v>1544680800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1"/>
        <v>77.239999999999995</v>
      </c>
      <c r="G665" t="s">
        <v>14</v>
      </c>
      <c r="H665" s="5">
        <f t="shared" si="60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8">
        <f t="shared" si="62"/>
        <v>40458.208333333336</v>
      </c>
      <c r="N665">
        <v>1288414800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1"/>
        <v>33.464735516372798</v>
      </c>
      <c r="G666" t="s">
        <v>14</v>
      </c>
      <c r="H666" s="5">
        <f t="shared" si="60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8">
        <f t="shared" si="62"/>
        <v>40959.25</v>
      </c>
      <c r="N666">
        <v>1330581600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1"/>
        <v>239.58823529411765</v>
      </c>
      <c r="G667" t="s">
        <v>20</v>
      </c>
      <c r="H667" s="5">
        <f t="shared" si="60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8">
        <f t="shared" si="62"/>
        <v>40733.208333333336</v>
      </c>
      <c r="N667">
        <v>1311397200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1"/>
        <v>64.032258064516128</v>
      </c>
      <c r="G668" t="s">
        <v>74</v>
      </c>
      <c r="H668" s="5">
        <f t="shared" si="60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8">
        <f t="shared" si="62"/>
        <v>41516.208333333336</v>
      </c>
      <c r="N668">
        <v>1378357200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1"/>
        <v>176.15942028985506</v>
      </c>
      <c r="G669" t="s">
        <v>20</v>
      </c>
      <c r="H669" s="5">
        <f t="shared" si="60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8">
        <f t="shared" si="62"/>
        <v>41892.208333333336</v>
      </c>
      <c r="N669">
        <v>1411102800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1"/>
        <v>20.33818181818182</v>
      </c>
      <c r="G670" t="s">
        <v>14</v>
      </c>
      <c r="H670" s="5">
        <f t="shared" si="60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8">
        <f t="shared" si="62"/>
        <v>41122.208333333336</v>
      </c>
      <c r="N670">
        <v>1344834000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1"/>
        <v>358.64754098360658</v>
      </c>
      <c r="G671" t="s">
        <v>20</v>
      </c>
      <c r="H671" s="5">
        <f t="shared" si="60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8">
        <f t="shared" si="62"/>
        <v>42912.208333333328</v>
      </c>
      <c r="N671">
        <v>1499230800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1"/>
        <v>468.85802469135803</v>
      </c>
      <c r="G672" t="s">
        <v>20</v>
      </c>
      <c r="H672" s="5">
        <f t="shared" si="60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8">
        <f t="shared" si="62"/>
        <v>42425.25</v>
      </c>
      <c r="N672">
        <v>1457416800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1"/>
        <v>122.05635245901641</v>
      </c>
      <c r="G673" t="s">
        <v>20</v>
      </c>
      <c r="H673" s="5">
        <f t="shared" si="60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8">
        <f t="shared" si="62"/>
        <v>40390.208333333336</v>
      </c>
      <c r="N673">
        <v>1280898000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1"/>
        <v>55.931783729156137</v>
      </c>
      <c r="G674" t="s">
        <v>14</v>
      </c>
      <c r="H674" s="5">
        <f t="shared" si="60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8">
        <f t="shared" si="62"/>
        <v>43180.208333333328</v>
      </c>
      <c r="N674">
        <v>1522472400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1"/>
        <v>43.660714285714285</v>
      </c>
      <c r="G675" t="s">
        <v>14</v>
      </c>
      <c r="H675" s="5">
        <f t="shared" si="60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8">
        <f t="shared" si="62"/>
        <v>42475.208333333328</v>
      </c>
      <c r="N675">
        <v>1462510800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1"/>
        <v>33.53837141183363</v>
      </c>
      <c r="G676" t="s">
        <v>74</v>
      </c>
      <c r="H676" s="5">
        <f t="shared" si="60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8">
        <f t="shared" si="62"/>
        <v>40774.208333333336</v>
      </c>
      <c r="N676">
        <v>1317790800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1"/>
        <v>122.97938144329896</v>
      </c>
      <c r="G677" t="s">
        <v>20</v>
      </c>
      <c r="H677" s="5">
        <f t="shared" si="60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8">
        <f t="shared" si="62"/>
        <v>43719.208333333328</v>
      </c>
      <c r="N677">
        <v>1568782800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1"/>
        <v>189.74959871589084</v>
      </c>
      <c r="G678" t="s">
        <v>20</v>
      </c>
      <c r="H678" s="5">
        <f t="shared" si="60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8">
        <f t="shared" si="62"/>
        <v>41178.208333333336</v>
      </c>
      <c r="N678">
        <v>1349413200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1"/>
        <v>83.622641509433961</v>
      </c>
      <c r="G679" t="s">
        <v>14</v>
      </c>
      <c r="H679" s="5">
        <f t="shared" si="60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8">
        <f t="shared" si="62"/>
        <v>42561.208333333328</v>
      </c>
      <c r="N679">
        <v>1472446800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1"/>
        <v>17.968844221105527</v>
      </c>
      <c r="G680" t="s">
        <v>74</v>
      </c>
      <c r="H680" s="5">
        <f t="shared" si="60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8">
        <f t="shared" si="62"/>
        <v>43484.25</v>
      </c>
      <c r="N680">
        <v>1548050400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1"/>
        <v>1036.5</v>
      </c>
      <c r="G681" t="s">
        <v>20</v>
      </c>
      <c r="H681" s="5">
        <f t="shared" si="60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8">
        <f t="shared" si="62"/>
        <v>43756.208333333328</v>
      </c>
      <c r="N681">
        <v>1571806800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1"/>
        <v>97.405219780219781</v>
      </c>
      <c r="G682" t="s">
        <v>14</v>
      </c>
      <c r="H682" s="5">
        <f t="shared" si="60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8">
        <f t="shared" si="62"/>
        <v>43813.25</v>
      </c>
      <c r="N682">
        <v>1576476000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1"/>
        <v>86.386203150461711</v>
      </c>
      <c r="G683" t="s">
        <v>14</v>
      </c>
      <c r="H683" s="5">
        <f t="shared" si="60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8">
        <f t="shared" si="62"/>
        <v>40898.25</v>
      </c>
      <c r="N683">
        <v>1324965600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1"/>
        <v>150.16666666666666</v>
      </c>
      <c r="G684" t="s">
        <v>20</v>
      </c>
      <c r="H684" s="5">
        <f t="shared" si="60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8">
        <f t="shared" si="62"/>
        <v>41619.25</v>
      </c>
      <c r="N684">
        <v>1387519200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1"/>
        <v>358.43478260869563</v>
      </c>
      <c r="G685" t="s">
        <v>20</v>
      </c>
      <c r="H685" s="5">
        <f t="shared" si="60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8">
        <f t="shared" si="62"/>
        <v>43359.208333333328</v>
      </c>
      <c r="N685">
        <v>1537246800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1"/>
        <v>542.85714285714289</v>
      </c>
      <c r="G686" t="s">
        <v>20</v>
      </c>
      <c r="H686" s="5">
        <f t="shared" si="60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8">
        <f t="shared" si="62"/>
        <v>40358.208333333336</v>
      </c>
      <c r="N686">
        <v>1279515600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1"/>
        <v>67.500714285714281</v>
      </c>
      <c r="G687" t="s">
        <v>14</v>
      </c>
      <c r="H687" s="5">
        <f t="shared" si="60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8">
        <f t="shared" si="62"/>
        <v>42239.208333333328</v>
      </c>
      <c r="N687">
        <v>1442379600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1"/>
        <v>191.74666666666667</v>
      </c>
      <c r="G688" t="s">
        <v>20</v>
      </c>
      <c r="H688" s="5">
        <f t="shared" si="60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8">
        <f t="shared" si="62"/>
        <v>43186.208333333328</v>
      </c>
      <c r="N688">
        <v>1523077200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1"/>
        <v>932</v>
      </c>
      <c r="G689" t="s">
        <v>20</v>
      </c>
      <c r="H689" s="5">
        <f t="shared" si="60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8">
        <f t="shared" si="62"/>
        <v>42806.25</v>
      </c>
      <c r="N689">
        <v>1489554000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1"/>
        <v>429.27586206896552</v>
      </c>
      <c r="G690" t="s">
        <v>20</v>
      </c>
      <c r="H690" s="5">
        <f t="shared" si="60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8">
        <f t="shared" si="62"/>
        <v>43475.25</v>
      </c>
      <c r="N690">
        <v>1548482400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1"/>
        <v>100.65753424657535</v>
      </c>
      <c r="G691" t="s">
        <v>20</v>
      </c>
      <c r="H691" s="5">
        <f t="shared" si="60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8">
        <f t="shared" si="62"/>
        <v>41576.208333333336</v>
      </c>
      <c r="N691">
        <v>1384063200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1"/>
        <v>226.61111111111109</v>
      </c>
      <c r="G692" t="s">
        <v>20</v>
      </c>
      <c r="H692" s="5">
        <f t="shared" si="60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8">
        <f t="shared" si="62"/>
        <v>40874.25</v>
      </c>
      <c r="N692">
        <v>1322892000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1"/>
        <v>142.38</v>
      </c>
      <c r="G693" t="s">
        <v>20</v>
      </c>
      <c r="H693" s="5">
        <f t="shared" si="60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8">
        <f t="shared" si="62"/>
        <v>41185.208333333336</v>
      </c>
      <c r="N693">
        <v>1350709200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1"/>
        <v>90.633333333333326</v>
      </c>
      <c r="G694" t="s">
        <v>14</v>
      </c>
      <c r="H694" s="5">
        <f t="shared" si="60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8">
        <f t="shared" si="62"/>
        <v>43655.208333333328</v>
      </c>
      <c r="N694">
        <v>1564203600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1"/>
        <v>63.966740576496676</v>
      </c>
      <c r="G695" t="s">
        <v>14</v>
      </c>
      <c r="H695" s="5">
        <f t="shared" si="60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8">
        <f t="shared" si="62"/>
        <v>43025.208333333328</v>
      </c>
      <c r="N695">
        <v>1509685200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1"/>
        <v>84.131868131868131</v>
      </c>
      <c r="G696" t="s">
        <v>14</v>
      </c>
      <c r="H696" s="5">
        <f t="shared" si="60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8">
        <f t="shared" si="62"/>
        <v>43066.25</v>
      </c>
      <c r="N696">
        <v>1514959200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1"/>
        <v>133.93478260869566</v>
      </c>
      <c r="G697" t="s">
        <v>20</v>
      </c>
      <c r="H697" s="5">
        <f t="shared" si="60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8">
        <f t="shared" si="62"/>
        <v>42322.25</v>
      </c>
      <c r="N697">
        <v>1448863200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1"/>
        <v>59.042047531992694</v>
      </c>
      <c r="G698" t="s">
        <v>14</v>
      </c>
      <c r="H698" s="5">
        <f t="shared" si="60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8">
        <f t="shared" si="62"/>
        <v>42114.208333333328</v>
      </c>
      <c r="N698">
        <v>1429592400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1"/>
        <v>152.80062063615205</v>
      </c>
      <c r="G699" t="s">
        <v>20</v>
      </c>
      <c r="H699" s="5">
        <f t="shared" si="60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8">
        <f t="shared" si="62"/>
        <v>43190.208333333328</v>
      </c>
      <c r="N699">
        <v>1522645200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1"/>
        <v>446.69121140142522</v>
      </c>
      <c r="G700" t="s">
        <v>20</v>
      </c>
      <c r="H700" s="5">
        <f t="shared" si="60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8">
        <f t="shared" si="62"/>
        <v>40871.25</v>
      </c>
      <c r="N700">
        <v>1323324000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1"/>
        <v>84.391891891891888</v>
      </c>
      <c r="G701" t="s">
        <v>14</v>
      </c>
      <c r="H701" s="5">
        <f t="shared" si="60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8">
        <f t="shared" si="62"/>
        <v>43641.208333333328</v>
      </c>
      <c r="N701">
        <v>1561525200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1"/>
        <v>3</v>
      </c>
      <c r="G702" t="s">
        <v>14</v>
      </c>
      <c r="H702" s="5">
        <f t="shared" si="60"/>
        <v>3</v>
      </c>
      <c r="I702">
        <v>1</v>
      </c>
      <c r="J702" t="s">
        <v>21</v>
      </c>
      <c r="K702" t="s">
        <v>22</v>
      </c>
      <c r="L702">
        <v>1264399200</v>
      </c>
      <c r="M702" s="8">
        <f t="shared" si="62"/>
        <v>40203.25</v>
      </c>
      <c r="N702">
        <v>1265695200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1"/>
        <v>175.02692307692308</v>
      </c>
      <c r="G703" t="s">
        <v>20</v>
      </c>
      <c r="H703" s="5">
        <f t="shared" si="60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8">
        <f t="shared" si="62"/>
        <v>40629.208333333336</v>
      </c>
      <c r="N703">
        <v>1301806800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1"/>
        <v>54.137931034482754</v>
      </c>
      <c r="G704" t="s">
        <v>14</v>
      </c>
      <c r="H704" s="5">
        <f t="shared" si="60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8">
        <f t="shared" si="62"/>
        <v>41477.208333333336</v>
      </c>
      <c r="N704">
        <v>1374901200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1"/>
        <v>311.87381703470032</v>
      </c>
      <c r="G705" t="s">
        <v>20</v>
      </c>
      <c r="H705" s="5">
        <f t="shared" si="60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8">
        <f t="shared" si="62"/>
        <v>41020.208333333336</v>
      </c>
      <c r="N705">
        <v>1336453200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1"/>
        <v>122.78160919540231</v>
      </c>
      <c r="G706" t="s">
        <v>20</v>
      </c>
      <c r="H706" s="5">
        <f t="shared" ref="H706:H769" si="66">IFERROR(E706/I706,0)</f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8">
        <f t="shared" si="62"/>
        <v>42555.208333333328</v>
      </c>
      <c r="N706">
        <v>1468904400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7">E707/D707*100</f>
        <v>99.026517383618156</v>
      </c>
      <c r="G707" t="s">
        <v>14</v>
      </c>
      <c r="H707" s="5">
        <f t="shared" si="66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8">
        <f t="shared" ref="M707:M770" si="68">(((L707/60)/60)/24)+DATE(1970,1,1)</f>
        <v>41619.25</v>
      </c>
      <c r="N707">
        <v>1387087200</v>
      </c>
      <c r="O707" s="8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7"/>
        <v>127.84686346863469</v>
      </c>
      <c r="G708" t="s">
        <v>20</v>
      </c>
      <c r="H708" s="5">
        <f t="shared" si="66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8">
        <f t="shared" si="68"/>
        <v>43471.25</v>
      </c>
      <c r="N708">
        <v>1547445600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7"/>
        <v>158.61643835616439</v>
      </c>
      <c r="G709" t="s">
        <v>20</v>
      </c>
      <c r="H709" s="5">
        <f t="shared" si="66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8">
        <f t="shared" si="68"/>
        <v>43442.25</v>
      </c>
      <c r="N709">
        <v>1547359200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7"/>
        <v>707.05882352941171</v>
      </c>
      <c r="G710" t="s">
        <v>20</v>
      </c>
      <c r="H710" s="5">
        <f t="shared" si="66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8">
        <f t="shared" si="68"/>
        <v>42877.208333333328</v>
      </c>
      <c r="N710">
        <v>1496293200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7"/>
        <v>142.38775510204081</v>
      </c>
      <c r="G711" t="s">
        <v>20</v>
      </c>
      <c r="H711" s="5">
        <f t="shared" si="66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8">
        <f t="shared" si="68"/>
        <v>41018.208333333336</v>
      </c>
      <c r="N711">
        <v>1335416400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7"/>
        <v>147.86046511627907</v>
      </c>
      <c r="G712" t="s">
        <v>20</v>
      </c>
      <c r="H712" s="5">
        <f t="shared" si="66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8">
        <f t="shared" si="68"/>
        <v>43295.208333333328</v>
      </c>
      <c r="N712">
        <v>1532149200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7"/>
        <v>20.322580645161288</v>
      </c>
      <c r="G713" t="s">
        <v>14</v>
      </c>
      <c r="H713" s="5">
        <f t="shared" si="66"/>
        <v>90</v>
      </c>
      <c r="I713">
        <v>14</v>
      </c>
      <c r="J713" t="s">
        <v>107</v>
      </c>
      <c r="K713" t="s">
        <v>108</v>
      </c>
      <c r="L713">
        <v>1453615200</v>
      </c>
      <c r="M713" s="8">
        <f t="shared" si="68"/>
        <v>42393.25</v>
      </c>
      <c r="N713">
        <v>1453788000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7"/>
        <v>1840.625</v>
      </c>
      <c r="G714" t="s">
        <v>20</v>
      </c>
      <c r="H714" s="5">
        <f t="shared" si="66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8">
        <f t="shared" si="68"/>
        <v>42559.208333333328</v>
      </c>
      <c r="N714">
        <v>1471496400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7"/>
        <v>161.94202898550725</v>
      </c>
      <c r="G715" t="s">
        <v>20</v>
      </c>
      <c r="H715" s="5">
        <f t="shared" si="66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8">
        <f t="shared" si="68"/>
        <v>42604.208333333328</v>
      </c>
      <c r="N715">
        <v>1472878800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7"/>
        <v>472.82077922077923</v>
      </c>
      <c r="G716" t="s">
        <v>20</v>
      </c>
      <c r="H716" s="5">
        <f t="shared" si="66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8">
        <f t="shared" si="68"/>
        <v>41870.208333333336</v>
      </c>
      <c r="N716">
        <v>1408510800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7"/>
        <v>24.466101694915253</v>
      </c>
      <c r="G717" t="s">
        <v>14</v>
      </c>
      <c r="H717" s="5">
        <f t="shared" si="66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8">
        <f t="shared" si="68"/>
        <v>40397.208333333336</v>
      </c>
      <c r="N717">
        <v>1281589200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7"/>
        <v>517.65</v>
      </c>
      <c r="G718" t="s">
        <v>20</v>
      </c>
      <c r="H718" s="5">
        <f t="shared" si="66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8">
        <f t="shared" si="68"/>
        <v>41465.208333333336</v>
      </c>
      <c r="N718">
        <v>1375851600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7"/>
        <v>247.64285714285714</v>
      </c>
      <c r="G719" t="s">
        <v>20</v>
      </c>
      <c r="H719" s="5">
        <f t="shared" si="66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8">
        <f t="shared" si="68"/>
        <v>40777.208333333336</v>
      </c>
      <c r="N719">
        <v>1315803600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7"/>
        <v>100.20481927710843</v>
      </c>
      <c r="G720" t="s">
        <v>20</v>
      </c>
      <c r="H720" s="5">
        <f t="shared" si="66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8">
        <f t="shared" si="68"/>
        <v>41442.208333333336</v>
      </c>
      <c r="N720">
        <v>1373691600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7"/>
        <v>153</v>
      </c>
      <c r="G721" t="s">
        <v>20</v>
      </c>
      <c r="H721" s="5">
        <f t="shared" si="66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8">
        <f t="shared" si="68"/>
        <v>41058.208333333336</v>
      </c>
      <c r="N721">
        <v>1339218000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7"/>
        <v>37.091954022988503</v>
      </c>
      <c r="G722" t="s">
        <v>74</v>
      </c>
      <c r="H722" s="5">
        <f t="shared" si="66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8">
        <f t="shared" si="68"/>
        <v>43152.25</v>
      </c>
      <c r="N722">
        <v>1520402400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7"/>
        <v>4.392394822006473</v>
      </c>
      <c r="G723" t="s">
        <v>74</v>
      </c>
      <c r="H723" s="5">
        <f t="shared" si="66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8">
        <f t="shared" si="68"/>
        <v>43194.208333333328</v>
      </c>
      <c r="N723">
        <v>1523336400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7"/>
        <v>156.50721649484535</v>
      </c>
      <c r="G724" t="s">
        <v>20</v>
      </c>
      <c r="H724" s="5">
        <f t="shared" si="66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8">
        <f t="shared" si="68"/>
        <v>43045.25</v>
      </c>
      <c r="N724">
        <v>1512280800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7"/>
        <v>270.40816326530609</v>
      </c>
      <c r="G725" t="s">
        <v>20</v>
      </c>
      <c r="H725" s="5">
        <f t="shared" si="66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8">
        <f t="shared" si="68"/>
        <v>42431.25</v>
      </c>
      <c r="N725">
        <v>1458709200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7"/>
        <v>134.05952380952382</v>
      </c>
      <c r="G726" t="s">
        <v>20</v>
      </c>
      <c r="H726" s="5">
        <f t="shared" si="66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8">
        <f t="shared" si="68"/>
        <v>41934.208333333336</v>
      </c>
      <c r="N726">
        <v>1414126800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7"/>
        <v>50.398033126293996</v>
      </c>
      <c r="G727" t="s">
        <v>14</v>
      </c>
      <c r="H727" s="5">
        <f t="shared" si="66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8">
        <f t="shared" si="68"/>
        <v>41958.25</v>
      </c>
      <c r="N727">
        <v>1416204000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7"/>
        <v>88.815837937384899</v>
      </c>
      <c r="G728" t="s">
        <v>74</v>
      </c>
      <c r="H728" s="5">
        <f t="shared" si="66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8">
        <f t="shared" si="68"/>
        <v>40476.208333333336</v>
      </c>
      <c r="N728">
        <v>1288501200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7"/>
        <v>165</v>
      </c>
      <c r="G729" t="s">
        <v>20</v>
      </c>
      <c r="H729" s="5">
        <f t="shared" si="66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8">
        <f t="shared" si="68"/>
        <v>43485.25</v>
      </c>
      <c r="N729">
        <v>1552971600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7"/>
        <v>17.5</v>
      </c>
      <c r="G730" t="s">
        <v>14</v>
      </c>
      <c r="H730" s="5">
        <f t="shared" si="66"/>
        <v>73.5</v>
      </c>
      <c r="I730">
        <v>10</v>
      </c>
      <c r="J730" t="s">
        <v>21</v>
      </c>
      <c r="K730" t="s">
        <v>22</v>
      </c>
      <c r="L730">
        <v>1464152400</v>
      </c>
      <c r="M730" s="8">
        <f t="shared" si="68"/>
        <v>42515.208333333328</v>
      </c>
      <c r="N730">
        <v>1465102800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7"/>
        <v>185.66071428571428</v>
      </c>
      <c r="G731" t="s">
        <v>20</v>
      </c>
      <c r="H731" s="5">
        <f t="shared" si="66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8">
        <f t="shared" si="68"/>
        <v>41309.25</v>
      </c>
      <c r="N731">
        <v>1360130400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7"/>
        <v>412.6631944444444</v>
      </c>
      <c r="G732" t="s">
        <v>20</v>
      </c>
      <c r="H732" s="5">
        <f t="shared" si="66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8">
        <f t="shared" si="68"/>
        <v>42147.208333333328</v>
      </c>
      <c r="N732">
        <v>1432875600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7"/>
        <v>90.25</v>
      </c>
      <c r="G733" t="s">
        <v>74</v>
      </c>
      <c r="H733" s="5">
        <f t="shared" si="66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8">
        <f t="shared" si="68"/>
        <v>42939.208333333328</v>
      </c>
      <c r="N733">
        <v>1500872400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7"/>
        <v>91.984615384615381</v>
      </c>
      <c r="G734" t="s">
        <v>14</v>
      </c>
      <c r="H734" s="5">
        <f t="shared" si="66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8">
        <f t="shared" si="68"/>
        <v>42816.208333333328</v>
      </c>
      <c r="N734">
        <v>1492146000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7"/>
        <v>527.00632911392404</v>
      </c>
      <c r="G735" t="s">
        <v>20</v>
      </c>
      <c r="H735" s="5">
        <f t="shared" si="66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8">
        <f t="shared" si="68"/>
        <v>41844.208333333336</v>
      </c>
      <c r="N735">
        <v>1407301200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7"/>
        <v>319.14285714285711</v>
      </c>
      <c r="G736" t="s">
        <v>20</v>
      </c>
      <c r="H736" s="5">
        <f t="shared" si="66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8">
        <f t="shared" si="68"/>
        <v>42763.25</v>
      </c>
      <c r="N736">
        <v>1486620000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7"/>
        <v>354.18867924528303</v>
      </c>
      <c r="G737" t="s">
        <v>20</v>
      </c>
      <c r="H737" s="5">
        <f t="shared" si="66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8">
        <f t="shared" si="68"/>
        <v>42459.208333333328</v>
      </c>
      <c r="N737">
        <v>1459918800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7"/>
        <v>32.896103896103895</v>
      </c>
      <c r="G738" t="s">
        <v>74</v>
      </c>
      <c r="H738" s="5">
        <f t="shared" si="66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8">
        <f t="shared" si="68"/>
        <v>42055.25</v>
      </c>
      <c r="N738">
        <v>1424757600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7"/>
        <v>135.8918918918919</v>
      </c>
      <c r="G739" t="s">
        <v>20</v>
      </c>
      <c r="H739" s="5">
        <f t="shared" si="66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8">
        <f t="shared" si="68"/>
        <v>42685.25</v>
      </c>
      <c r="N739">
        <v>1479880800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7"/>
        <v>2.0843373493975905</v>
      </c>
      <c r="G740" t="s">
        <v>14</v>
      </c>
      <c r="H740" s="5">
        <f t="shared" si="66"/>
        <v>103.8</v>
      </c>
      <c r="I740">
        <v>15</v>
      </c>
      <c r="J740" t="s">
        <v>21</v>
      </c>
      <c r="K740" t="s">
        <v>22</v>
      </c>
      <c r="L740">
        <v>1416117600</v>
      </c>
      <c r="M740" s="8">
        <f t="shared" si="68"/>
        <v>41959.25</v>
      </c>
      <c r="N740">
        <v>1418018400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7"/>
        <v>61</v>
      </c>
      <c r="G741" t="s">
        <v>14</v>
      </c>
      <c r="H741" s="5">
        <f t="shared" si="66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8">
        <f t="shared" si="68"/>
        <v>41089.208333333336</v>
      </c>
      <c r="N741">
        <v>1341032400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7"/>
        <v>30.037735849056602</v>
      </c>
      <c r="G742" t="s">
        <v>14</v>
      </c>
      <c r="H742" s="5">
        <f t="shared" si="66"/>
        <v>99.5</v>
      </c>
      <c r="I742">
        <v>16</v>
      </c>
      <c r="J742" t="s">
        <v>21</v>
      </c>
      <c r="K742" t="s">
        <v>22</v>
      </c>
      <c r="L742">
        <v>1486101600</v>
      </c>
      <c r="M742" s="8">
        <f t="shared" si="68"/>
        <v>42769.25</v>
      </c>
      <c r="N742">
        <v>1486360800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7"/>
        <v>1179.1666666666665</v>
      </c>
      <c r="G743" t="s">
        <v>20</v>
      </c>
      <c r="H743" s="5">
        <f t="shared" si="66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8">
        <f t="shared" si="68"/>
        <v>40321.208333333336</v>
      </c>
      <c r="N743">
        <v>1274677200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7"/>
        <v>1126.0833333333335</v>
      </c>
      <c r="G744" t="s">
        <v>20</v>
      </c>
      <c r="H744" s="5">
        <f t="shared" si="66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8">
        <f t="shared" si="68"/>
        <v>40197.25</v>
      </c>
      <c r="N744">
        <v>1267509600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7"/>
        <v>12.923076923076923</v>
      </c>
      <c r="G745" t="s">
        <v>14</v>
      </c>
      <c r="H745" s="5">
        <f t="shared" si="66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8">
        <f t="shared" si="68"/>
        <v>42298.208333333328</v>
      </c>
      <c r="N745">
        <v>1445922000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7"/>
        <v>712</v>
      </c>
      <c r="G746" t="s">
        <v>20</v>
      </c>
      <c r="H746" s="5">
        <f t="shared" si="66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8">
        <f t="shared" si="68"/>
        <v>43322.208333333328</v>
      </c>
      <c r="N746">
        <v>1534050000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7"/>
        <v>30.304347826086957</v>
      </c>
      <c r="G747" t="s">
        <v>14</v>
      </c>
      <c r="H747" s="5">
        <f t="shared" si="66"/>
        <v>61.5</v>
      </c>
      <c r="I747">
        <v>34</v>
      </c>
      <c r="J747" t="s">
        <v>21</v>
      </c>
      <c r="K747" t="s">
        <v>22</v>
      </c>
      <c r="L747">
        <v>1275195600</v>
      </c>
      <c r="M747" s="8">
        <f t="shared" si="68"/>
        <v>40328.208333333336</v>
      </c>
      <c r="N747">
        <v>1277528400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7"/>
        <v>212.50896057347671</v>
      </c>
      <c r="G748" t="s">
        <v>20</v>
      </c>
      <c r="H748" s="5">
        <f t="shared" si="66"/>
        <v>35</v>
      </c>
      <c r="I748">
        <v>3388</v>
      </c>
      <c r="J748" t="s">
        <v>21</v>
      </c>
      <c r="K748" t="s">
        <v>22</v>
      </c>
      <c r="L748">
        <v>1318136400</v>
      </c>
      <c r="M748" s="8">
        <f t="shared" si="68"/>
        <v>40825.208333333336</v>
      </c>
      <c r="N748">
        <v>1318568400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7"/>
        <v>228.85714285714286</v>
      </c>
      <c r="G749" t="s">
        <v>20</v>
      </c>
      <c r="H749" s="5">
        <f t="shared" si="66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8">
        <f t="shared" si="68"/>
        <v>40423.208333333336</v>
      </c>
      <c r="N749">
        <v>1284354000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7"/>
        <v>34.959979476654695</v>
      </c>
      <c r="G750" t="s">
        <v>74</v>
      </c>
      <c r="H750" s="5">
        <f t="shared" si="66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8">
        <f t="shared" si="68"/>
        <v>40238.25</v>
      </c>
      <c r="N750">
        <v>1269579600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7"/>
        <v>157.29069767441862</v>
      </c>
      <c r="G751" t="s">
        <v>20</v>
      </c>
      <c r="H751" s="5">
        <f t="shared" si="66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8">
        <f t="shared" si="68"/>
        <v>41920.208333333336</v>
      </c>
      <c r="N751">
        <v>1413781200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7"/>
        <v>1</v>
      </c>
      <c r="G752" t="s">
        <v>14</v>
      </c>
      <c r="H752" s="5">
        <f t="shared" si="66"/>
        <v>1</v>
      </c>
      <c r="I752">
        <v>1</v>
      </c>
      <c r="J752" t="s">
        <v>40</v>
      </c>
      <c r="K752" t="s">
        <v>41</v>
      </c>
      <c r="L752">
        <v>1277960400</v>
      </c>
      <c r="M752" s="8">
        <f t="shared" si="68"/>
        <v>40360.208333333336</v>
      </c>
      <c r="N752">
        <v>1280120400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7"/>
        <v>232.30555555555554</v>
      </c>
      <c r="G753" t="s">
        <v>20</v>
      </c>
      <c r="H753" s="5">
        <f t="shared" si="66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8">
        <f t="shared" si="68"/>
        <v>42446.208333333328</v>
      </c>
      <c r="N753">
        <v>1459486800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7"/>
        <v>92.448275862068968</v>
      </c>
      <c r="G754" t="s">
        <v>74</v>
      </c>
      <c r="H754" s="5">
        <f t="shared" si="66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8">
        <f t="shared" si="68"/>
        <v>40395.208333333336</v>
      </c>
      <c r="N754">
        <v>1282539600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7"/>
        <v>256.70212765957444</v>
      </c>
      <c r="G755" t="s">
        <v>20</v>
      </c>
      <c r="H755" s="5">
        <f t="shared" si="66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8">
        <f t="shared" si="68"/>
        <v>40321.208333333336</v>
      </c>
      <c r="N755">
        <v>1275886800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7"/>
        <v>168.47017045454547</v>
      </c>
      <c r="G756" t="s">
        <v>20</v>
      </c>
      <c r="H756" s="5">
        <f t="shared" si="66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8">
        <f t="shared" si="68"/>
        <v>41210.208333333336</v>
      </c>
      <c r="N756">
        <v>1355983200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7"/>
        <v>166.57777777777778</v>
      </c>
      <c r="G757" t="s">
        <v>20</v>
      </c>
      <c r="H757" s="5">
        <f t="shared" si="66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8">
        <f t="shared" si="68"/>
        <v>43096.25</v>
      </c>
      <c r="N757">
        <v>1515391200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7"/>
        <v>772.07692307692309</v>
      </c>
      <c r="G758" t="s">
        <v>20</v>
      </c>
      <c r="H758" s="5">
        <f t="shared" si="66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8">
        <f t="shared" si="68"/>
        <v>42024.25</v>
      </c>
      <c r="N758">
        <v>1422252000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7"/>
        <v>406.85714285714283</v>
      </c>
      <c r="G759" t="s">
        <v>20</v>
      </c>
      <c r="H759" s="5">
        <f t="shared" si="66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8">
        <f t="shared" si="68"/>
        <v>40675.208333333336</v>
      </c>
      <c r="N759">
        <v>1305522000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7"/>
        <v>564.20608108108115</v>
      </c>
      <c r="G760" t="s">
        <v>20</v>
      </c>
      <c r="H760" s="5">
        <f t="shared" si="66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8">
        <f t="shared" si="68"/>
        <v>41936.208333333336</v>
      </c>
      <c r="N760">
        <v>1414904400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7"/>
        <v>68.426865671641792</v>
      </c>
      <c r="G761" t="s">
        <v>14</v>
      </c>
      <c r="H761" s="5">
        <f t="shared" si="66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8">
        <f t="shared" si="68"/>
        <v>43136.25</v>
      </c>
      <c r="N761">
        <v>1520402400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7"/>
        <v>34.351966873706004</v>
      </c>
      <c r="G762" t="s">
        <v>14</v>
      </c>
      <c r="H762" s="5">
        <f t="shared" si="66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8">
        <f t="shared" si="68"/>
        <v>43678.208333333328</v>
      </c>
      <c r="N762">
        <v>1567141200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7"/>
        <v>655.4545454545455</v>
      </c>
      <c r="G763" t="s">
        <v>20</v>
      </c>
      <c r="H763" s="5">
        <f t="shared" si="66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8">
        <f t="shared" si="68"/>
        <v>42938.208333333328</v>
      </c>
      <c r="N763">
        <v>1501131600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7"/>
        <v>177.25714285714284</v>
      </c>
      <c r="G764" t="s">
        <v>20</v>
      </c>
      <c r="H764" s="5">
        <f t="shared" si="66"/>
        <v>62.04</v>
      </c>
      <c r="I764">
        <v>100</v>
      </c>
      <c r="J764" t="s">
        <v>26</v>
      </c>
      <c r="K764" t="s">
        <v>27</v>
      </c>
      <c r="L764">
        <v>1354082400</v>
      </c>
      <c r="M764" s="8">
        <f t="shared" si="68"/>
        <v>41241.25</v>
      </c>
      <c r="N764">
        <v>1355032800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7"/>
        <v>113.17857142857144</v>
      </c>
      <c r="G765" t="s">
        <v>20</v>
      </c>
      <c r="H765" s="5">
        <f t="shared" si="66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8">
        <f t="shared" si="68"/>
        <v>41037.208333333336</v>
      </c>
      <c r="N765">
        <v>1339477200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7"/>
        <v>728.18181818181824</v>
      </c>
      <c r="G766" t="s">
        <v>20</v>
      </c>
      <c r="H766" s="5">
        <f t="shared" si="66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8">
        <f t="shared" si="68"/>
        <v>40676.208333333336</v>
      </c>
      <c r="N766">
        <v>1305954000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7"/>
        <v>208.33333333333334</v>
      </c>
      <c r="G767" t="s">
        <v>20</v>
      </c>
      <c r="H767" s="5">
        <f t="shared" si="66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8">
        <f t="shared" si="68"/>
        <v>42840.208333333328</v>
      </c>
      <c r="N767">
        <v>1494392400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7"/>
        <v>31.171232876712331</v>
      </c>
      <c r="G768" t="s">
        <v>14</v>
      </c>
      <c r="H768" s="5">
        <f t="shared" si="66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8">
        <f t="shared" si="68"/>
        <v>43362.208333333328</v>
      </c>
      <c r="N768">
        <v>1537419600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7"/>
        <v>56.967078189300416</v>
      </c>
      <c r="G769" t="s">
        <v>14</v>
      </c>
      <c r="H769" s="5">
        <f t="shared" si="66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8">
        <f t="shared" si="68"/>
        <v>42283.208333333328</v>
      </c>
      <c r="N769">
        <v>1447999200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7"/>
        <v>231</v>
      </c>
      <c r="G770" t="s">
        <v>20</v>
      </c>
      <c r="H770" s="5">
        <f t="shared" ref="H770:H833" si="72">IFERROR(E770/I770,0)</f>
        <v>73.92</v>
      </c>
      <c r="I770">
        <v>150</v>
      </c>
      <c r="J770" t="s">
        <v>21</v>
      </c>
      <c r="K770" t="s">
        <v>22</v>
      </c>
      <c r="L770">
        <v>1386741600</v>
      </c>
      <c r="M770" s="8">
        <f t="shared" si="68"/>
        <v>41619.25</v>
      </c>
      <c r="N770">
        <v>1388037600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3">E771/D771*100</f>
        <v>86.867834394904463</v>
      </c>
      <c r="G771" t="s">
        <v>14</v>
      </c>
      <c r="H771" s="5">
        <f t="shared" si="72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8">
        <f t="shared" ref="M771:M834" si="74">(((L771/60)/60)/24)+DATE(1970,1,1)</f>
        <v>41501.208333333336</v>
      </c>
      <c r="N771">
        <v>1378789200</v>
      </c>
      <c r="O771" s="8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3"/>
        <v>270.74418604651163</v>
      </c>
      <c r="G772" t="s">
        <v>20</v>
      </c>
      <c r="H772" s="5">
        <f t="shared" si="72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8">
        <f t="shared" si="74"/>
        <v>41743.208333333336</v>
      </c>
      <c r="N772">
        <v>1398056400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3"/>
        <v>49.446428571428569</v>
      </c>
      <c r="G773" t="s">
        <v>74</v>
      </c>
      <c r="H773" s="5">
        <f t="shared" si="72"/>
        <v>106.5</v>
      </c>
      <c r="I773">
        <v>26</v>
      </c>
      <c r="J773" t="s">
        <v>21</v>
      </c>
      <c r="K773" t="s">
        <v>22</v>
      </c>
      <c r="L773">
        <v>1548482400</v>
      </c>
      <c r="M773" s="8">
        <f t="shared" si="74"/>
        <v>43491.25</v>
      </c>
      <c r="N773">
        <v>1550815200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3"/>
        <v>113.3596256684492</v>
      </c>
      <c r="G774" t="s">
        <v>20</v>
      </c>
      <c r="H774" s="5">
        <f t="shared" si="72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8">
        <f t="shared" si="74"/>
        <v>43505.25</v>
      </c>
      <c r="N774">
        <v>1550037600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3"/>
        <v>190.55555555555554</v>
      </c>
      <c r="G775" t="s">
        <v>20</v>
      </c>
      <c r="H775" s="5">
        <f t="shared" si="72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8">
        <f t="shared" si="74"/>
        <v>42838.208333333328</v>
      </c>
      <c r="N775">
        <v>1492923600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3"/>
        <v>135.5</v>
      </c>
      <c r="G776" t="s">
        <v>20</v>
      </c>
      <c r="H776" s="5">
        <f t="shared" si="72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8">
        <f t="shared" si="74"/>
        <v>42513.208333333328</v>
      </c>
      <c r="N776">
        <v>1467522000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3"/>
        <v>10.297872340425531</v>
      </c>
      <c r="G777" t="s">
        <v>14</v>
      </c>
      <c r="H777" s="5">
        <f t="shared" si="72"/>
        <v>96.8</v>
      </c>
      <c r="I777">
        <v>10</v>
      </c>
      <c r="J777" t="s">
        <v>21</v>
      </c>
      <c r="K777" t="s">
        <v>22</v>
      </c>
      <c r="L777">
        <v>1415253600</v>
      </c>
      <c r="M777" s="8">
        <f t="shared" si="74"/>
        <v>41949.25</v>
      </c>
      <c r="N777">
        <v>1416117600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3"/>
        <v>65.544223826714799</v>
      </c>
      <c r="G778" t="s">
        <v>14</v>
      </c>
      <c r="H778" s="5">
        <f t="shared" si="72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8">
        <f t="shared" si="74"/>
        <v>43650.208333333328</v>
      </c>
      <c r="N778">
        <v>1563771600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3"/>
        <v>49.026652452025587</v>
      </c>
      <c r="G779" t="s">
        <v>14</v>
      </c>
      <c r="H779" s="5">
        <f t="shared" si="72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8">
        <f t="shared" si="74"/>
        <v>40809.208333333336</v>
      </c>
      <c r="N779">
        <v>1319259600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3"/>
        <v>787.92307692307691</v>
      </c>
      <c r="G780" t="s">
        <v>20</v>
      </c>
      <c r="H780" s="5">
        <f t="shared" si="72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8">
        <f t="shared" si="74"/>
        <v>40768.208333333336</v>
      </c>
      <c r="N780">
        <v>1313643600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3"/>
        <v>80.306347746090154</v>
      </c>
      <c r="G781" t="s">
        <v>14</v>
      </c>
      <c r="H781" s="5">
        <f t="shared" si="72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8">
        <f t="shared" si="74"/>
        <v>42230.208333333328</v>
      </c>
      <c r="N781">
        <v>1440306000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3"/>
        <v>106.29411764705883</v>
      </c>
      <c r="G782" t="s">
        <v>20</v>
      </c>
      <c r="H782" s="5">
        <f t="shared" si="72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8">
        <f t="shared" si="74"/>
        <v>42573.208333333328</v>
      </c>
      <c r="N782">
        <v>1470805200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3"/>
        <v>50.735632183908038</v>
      </c>
      <c r="G783" t="s">
        <v>74</v>
      </c>
      <c r="H783" s="5">
        <f t="shared" si="72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8">
        <f t="shared" si="74"/>
        <v>40482.208333333336</v>
      </c>
      <c r="N783">
        <v>1292911200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3"/>
        <v>215.31372549019611</v>
      </c>
      <c r="G784" t="s">
        <v>20</v>
      </c>
      <c r="H784" s="5">
        <f t="shared" si="72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8">
        <f t="shared" si="74"/>
        <v>40603.25</v>
      </c>
      <c r="N784">
        <v>1301374800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3"/>
        <v>141.22972972972974</v>
      </c>
      <c r="G785" t="s">
        <v>20</v>
      </c>
      <c r="H785" s="5">
        <f t="shared" si="72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8">
        <f t="shared" si="74"/>
        <v>41625.25</v>
      </c>
      <c r="N785">
        <v>1387864800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3"/>
        <v>115.33745781777279</v>
      </c>
      <c r="G786" t="s">
        <v>20</v>
      </c>
      <c r="H786" s="5">
        <f t="shared" si="72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8">
        <f t="shared" si="74"/>
        <v>42435.25</v>
      </c>
      <c r="N786">
        <v>1458190800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3"/>
        <v>193.11940298507463</v>
      </c>
      <c r="G787" t="s">
        <v>20</v>
      </c>
      <c r="H787" s="5">
        <f t="shared" si="72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8">
        <f t="shared" si="74"/>
        <v>43582.208333333328</v>
      </c>
      <c r="N787">
        <v>1559278800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3"/>
        <v>729.73333333333335</v>
      </c>
      <c r="G788" t="s">
        <v>20</v>
      </c>
      <c r="H788" s="5">
        <f t="shared" si="72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8">
        <f t="shared" si="74"/>
        <v>43186.208333333328</v>
      </c>
      <c r="N788">
        <v>1522731600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3"/>
        <v>99.66339869281046</v>
      </c>
      <c r="G789" t="s">
        <v>14</v>
      </c>
      <c r="H789" s="5">
        <f t="shared" si="72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8">
        <f t="shared" si="74"/>
        <v>40684.208333333336</v>
      </c>
      <c r="N789">
        <v>1306731600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3"/>
        <v>88.166666666666671</v>
      </c>
      <c r="G790" t="s">
        <v>47</v>
      </c>
      <c r="H790" s="5">
        <f t="shared" si="72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8">
        <f t="shared" si="74"/>
        <v>41202.208333333336</v>
      </c>
      <c r="N790">
        <v>1352527200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3"/>
        <v>37.233333333333334</v>
      </c>
      <c r="G791" t="s">
        <v>14</v>
      </c>
      <c r="H791" s="5">
        <f t="shared" si="72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8">
        <f t="shared" si="74"/>
        <v>41786.208333333336</v>
      </c>
      <c r="N791">
        <v>1404363600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3"/>
        <v>30.540075309306079</v>
      </c>
      <c r="G792" t="s">
        <v>74</v>
      </c>
      <c r="H792" s="5">
        <f t="shared" si="72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8">
        <f t="shared" si="74"/>
        <v>40223.25</v>
      </c>
      <c r="N792">
        <v>1266645600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3"/>
        <v>25.714285714285712</v>
      </c>
      <c r="G793" t="s">
        <v>14</v>
      </c>
      <c r="H793" s="5">
        <f t="shared" si="72"/>
        <v>90</v>
      </c>
      <c r="I793">
        <v>6</v>
      </c>
      <c r="J793" t="s">
        <v>21</v>
      </c>
      <c r="K793" t="s">
        <v>22</v>
      </c>
      <c r="L793">
        <v>1481436000</v>
      </c>
      <c r="M793" s="8">
        <f t="shared" si="74"/>
        <v>42715.25</v>
      </c>
      <c r="N793">
        <v>1482818400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3"/>
        <v>34</v>
      </c>
      <c r="G794" t="s">
        <v>14</v>
      </c>
      <c r="H794" s="5">
        <f t="shared" si="72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8">
        <f t="shared" si="74"/>
        <v>41451.208333333336</v>
      </c>
      <c r="N794">
        <v>1374642000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3"/>
        <v>1185.909090909091</v>
      </c>
      <c r="G795" t="s">
        <v>20</v>
      </c>
      <c r="H795" s="5">
        <f t="shared" si="72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8">
        <f t="shared" si="74"/>
        <v>41450.208333333336</v>
      </c>
      <c r="N795">
        <v>1372482000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3"/>
        <v>125.39393939393939</v>
      </c>
      <c r="G796" t="s">
        <v>20</v>
      </c>
      <c r="H796" s="5">
        <f t="shared" si="72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8">
        <f t="shared" si="74"/>
        <v>43091.25</v>
      </c>
      <c r="N796">
        <v>1514959200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3"/>
        <v>14.394366197183098</v>
      </c>
      <c r="G797" t="s">
        <v>14</v>
      </c>
      <c r="H797" s="5">
        <f t="shared" si="72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8">
        <f t="shared" si="74"/>
        <v>42675.208333333328</v>
      </c>
      <c r="N797">
        <v>1478235600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3"/>
        <v>54.807692307692314</v>
      </c>
      <c r="G798" t="s">
        <v>14</v>
      </c>
      <c r="H798" s="5">
        <f t="shared" si="72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8">
        <f t="shared" si="74"/>
        <v>41859.208333333336</v>
      </c>
      <c r="N798">
        <v>1408078800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3"/>
        <v>109.63157894736841</v>
      </c>
      <c r="G799" t="s">
        <v>20</v>
      </c>
      <c r="H799" s="5">
        <f t="shared" si="72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8">
        <f t="shared" si="74"/>
        <v>43464.25</v>
      </c>
      <c r="N799">
        <v>1548136800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3"/>
        <v>188.47058823529412</v>
      </c>
      <c r="G800" t="s">
        <v>20</v>
      </c>
      <c r="H800" s="5">
        <f t="shared" si="72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8">
        <f t="shared" si="74"/>
        <v>41060.208333333336</v>
      </c>
      <c r="N800">
        <v>1340859600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3"/>
        <v>87.008284023668637</v>
      </c>
      <c r="G801" t="s">
        <v>14</v>
      </c>
      <c r="H801" s="5">
        <f t="shared" si="72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8">
        <f t="shared" si="74"/>
        <v>42399.25</v>
      </c>
      <c r="N801">
        <v>1454479200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3"/>
        <v>1</v>
      </c>
      <c r="G802" t="s">
        <v>14</v>
      </c>
      <c r="H802" s="5">
        <f t="shared" si="72"/>
        <v>1</v>
      </c>
      <c r="I802">
        <v>1</v>
      </c>
      <c r="J802" t="s">
        <v>98</v>
      </c>
      <c r="K802" t="s">
        <v>99</v>
      </c>
      <c r="L802">
        <v>1434085200</v>
      </c>
      <c r="M802" s="8">
        <f t="shared" si="74"/>
        <v>42167.208333333328</v>
      </c>
      <c r="N802">
        <v>1434430800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3"/>
        <v>202.9130434782609</v>
      </c>
      <c r="G803" t="s">
        <v>20</v>
      </c>
      <c r="H803" s="5">
        <f t="shared" si="72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8">
        <f t="shared" si="74"/>
        <v>43830.25</v>
      </c>
      <c r="N803">
        <v>1579672800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3"/>
        <v>197.03225806451613</v>
      </c>
      <c r="G804" t="s">
        <v>20</v>
      </c>
      <c r="H804" s="5">
        <f t="shared" si="72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8">
        <f t="shared" si="74"/>
        <v>43650.208333333328</v>
      </c>
      <c r="N804">
        <v>1562389200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3"/>
        <v>107</v>
      </c>
      <c r="G805" t="s">
        <v>20</v>
      </c>
      <c r="H805" s="5">
        <f t="shared" si="72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8">
        <f t="shared" si="74"/>
        <v>43492.25</v>
      </c>
      <c r="N805">
        <v>1551506400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3"/>
        <v>268.73076923076923</v>
      </c>
      <c r="G806" t="s">
        <v>20</v>
      </c>
      <c r="H806" s="5">
        <f t="shared" si="72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8">
        <f t="shared" si="74"/>
        <v>43102.25</v>
      </c>
      <c r="N806">
        <v>1516600800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3"/>
        <v>50.845360824742272</v>
      </c>
      <c r="G807" t="s">
        <v>14</v>
      </c>
      <c r="H807" s="5">
        <f t="shared" si="72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8">
        <f t="shared" si="74"/>
        <v>41958.25</v>
      </c>
      <c r="N807">
        <v>1420437600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3"/>
        <v>1180.2857142857142</v>
      </c>
      <c r="G808" t="s">
        <v>20</v>
      </c>
      <c r="H808" s="5">
        <f t="shared" si="72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8">
        <f t="shared" si="74"/>
        <v>40973.25</v>
      </c>
      <c r="N808">
        <v>1332997200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3"/>
        <v>264</v>
      </c>
      <c r="G809" t="s">
        <v>20</v>
      </c>
      <c r="H809" s="5">
        <f t="shared" si="72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8">
        <f t="shared" si="74"/>
        <v>43753.208333333328</v>
      </c>
      <c r="N809">
        <v>1574920800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3"/>
        <v>30.44230769230769</v>
      </c>
      <c r="G810" t="s">
        <v>14</v>
      </c>
      <c r="H810" s="5">
        <f t="shared" si="72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8">
        <f t="shared" si="74"/>
        <v>42507.208333333328</v>
      </c>
      <c r="N810">
        <v>1464930000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3"/>
        <v>62.880681818181813</v>
      </c>
      <c r="G811" t="s">
        <v>14</v>
      </c>
      <c r="H811" s="5">
        <f t="shared" si="72"/>
        <v>42</v>
      </c>
      <c r="I811">
        <v>2108</v>
      </c>
      <c r="J811" t="s">
        <v>98</v>
      </c>
      <c r="K811" t="s">
        <v>99</v>
      </c>
      <c r="L811">
        <v>1344920400</v>
      </c>
      <c r="M811" s="8">
        <f t="shared" si="74"/>
        <v>41135.208333333336</v>
      </c>
      <c r="N811">
        <v>1345006800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3"/>
        <v>193.125</v>
      </c>
      <c r="G812" t="s">
        <v>20</v>
      </c>
      <c r="H812" s="5">
        <f t="shared" si="72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8">
        <f t="shared" si="74"/>
        <v>43067.25</v>
      </c>
      <c r="N812">
        <v>1512712800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3"/>
        <v>77.102702702702715</v>
      </c>
      <c r="G813" t="s">
        <v>14</v>
      </c>
      <c r="H813" s="5">
        <f t="shared" si="72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8">
        <f t="shared" si="74"/>
        <v>42378.25</v>
      </c>
      <c r="N813">
        <v>1452492000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3"/>
        <v>225.52763819095478</v>
      </c>
      <c r="G814" t="s">
        <v>20</v>
      </c>
      <c r="H814" s="5">
        <f t="shared" si="72"/>
        <v>48</v>
      </c>
      <c r="I814">
        <v>2805</v>
      </c>
      <c r="J814" t="s">
        <v>15</v>
      </c>
      <c r="K814" t="s">
        <v>16</v>
      </c>
      <c r="L814">
        <v>1523854800</v>
      </c>
      <c r="M814" s="8">
        <f t="shared" si="74"/>
        <v>43206.208333333328</v>
      </c>
      <c r="N814">
        <v>1524286800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3"/>
        <v>239.40625</v>
      </c>
      <c r="G815" t="s">
        <v>20</v>
      </c>
      <c r="H815" s="5">
        <f t="shared" si="72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8">
        <f t="shared" si="74"/>
        <v>41148.208333333336</v>
      </c>
      <c r="N815">
        <v>1346907600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3"/>
        <v>92.1875</v>
      </c>
      <c r="G816" t="s">
        <v>14</v>
      </c>
      <c r="H816" s="5">
        <f t="shared" si="72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8">
        <f t="shared" si="74"/>
        <v>42517.208333333328</v>
      </c>
      <c r="N816">
        <v>1464498000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3"/>
        <v>130.23333333333335</v>
      </c>
      <c r="G817" t="s">
        <v>20</v>
      </c>
      <c r="H817" s="5">
        <f t="shared" si="72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8">
        <f t="shared" si="74"/>
        <v>43068.25</v>
      </c>
      <c r="N817">
        <v>1514181600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3"/>
        <v>615.21739130434787</v>
      </c>
      <c r="G818" t="s">
        <v>20</v>
      </c>
      <c r="H818" s="5">
        <f t="shared" si="72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8">
        <f t="shared" si="74"/>
        <v>41680.25</v>
      </c>
      <c r="N818">
        <v>1392184800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3"/>
        <v>368.79532163742692</v>
      </c>
      <c r="G819" t="s">
        <v>20</v>
      </c>
      <c r="H819" s="5">
        <f t="shared" si="72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8">
        <f t="shared" si="74"/>
        <v>43589.208333333328</v>
      </c>
      <c r="N819">
        <v>1559365200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3"/>
        <v>1094.8571428571429</v>
      </c>
      <c r="G820" t="s">
        <v>20</v>
      </c>
      <c r="H820" s="5">
        <f t="shared" si="72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8">
        <f t="shared" si="74"/>
        <v>43486.25</v>
      </c>
      <c r="N820">
        <v>1549173600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3"/>
        <v>50.662921348314605</v>
      </c>
      <c r="G821" t="s">
        <v>14</v>
      </c>
      <c r="H821" s="5">
        <f t="shared" si="72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8">
        <f t="shared" si="74"/>
        <v>41237.25</v>
      </c>
      <c r="N821">
        <v>1355032800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3"/>
        <v>800.6</v>
      </c>
      <c r="G822" t="s">
        <v>20</v>
      </c>
      <c r="H822" s="5">
        <f t="shared" si="72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8">
        <f t="shared" si="74"/>
        <v>43310.208333333328</v>
      </c>
      <c r="N822">
        <v>1533963600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3"/>
        <v>291.28571428571428</v>
      </c>
      <c r="G823" t="s">
        <v>20</v>
      </c>
      <c r="H823" s="5">
        <f t="shared" si="72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8">
        <f t="shared" si="74"/>
        <v>42794.25</v>
      </c>
      <c r="N823">
        <v>1489381200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3"/>
        <v>349.9666666666667</v>
      </c>
      <c r="G824" t="s">
        <v>20</v>
      </c>
      <c r="H824" s="5">
        <f t="shared" si="72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8">
        <f t="shared" si="74"/>
        <v>41698.25</v>
      </c>
      <c r="N824">
        <v>1395032400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3"/>
        <v>357.07317073170731</v>
      </c>
      <c r="G825" t="s">
        <v>20</v>
      </c>
      <c r="H825" s="5">
        <f t="shared" si="72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8">
        <f t="shared" si="74"/>
        <v>41892.208333333336</v>
      </c>
      <c r="N825">
        <v>1412485200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3"/>
        <v>126.48941176470588</v>
      </c>
      <c r="G826" t="s">
        <v>20</v>
      </c>
      <c r="H826" s="5">
        <f t="shared" si="72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8">
        <f t="shared" si="74"/>
        <v>40348.208333333336</v>
      </c>
      <c r="N826">
        <v>1279688400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3"/>
        <v>387.5</v>
      </c>
      <c r="G827" t="s">
        <v>20</v>
      </c>
      <c r="H827" s="5">
        <f t="shared" si="72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8">
        <f t="shared" si="74"/>
        <v>42941.208333333328</v>
      </c>
      <c r="N827">
        <v>1501995600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3"/>
        <v>457.03571428571428</v>
      </c>
      <c r="G828" t="s">
        <v>20</v>
      </c>
      <c r="H828" s="5">
        <f t="shared" si="72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8">
        <f t="shared" si="74"/>
        <v>40525.25</v>
      </c>
      <c r="N828">
        <v>1294639200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3"/>
        <v>266.69565217391306</v>
      </c>
      <c r="G829" t="s">
        <v>20</v>
      </c>
      <c r="H829" s="5">
        <f t="shared" si="72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8">
        <f t="shared" si="74"/>
        <v>40666.208333333336</v>
      </c>
      <c r="N829">
        <v>1305435600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3"/>
        <v>69</v>
      </c>
      <c r="G830" t="s">
        <v>14</v>
      </c>
      <c r="H830" s="5">
        <f t="shared" si="72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8">
        <f t="shared" si="74"/>
        <v>43340.208333333328</v>
      </c>
      <c r="N830">
        <v>1537592400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3"/>
        <v>51.34375</v>
      </c>
      <c r="G831" t="s">
        <v>14</v>
      </c>
      <c r="H831" s="5">
        <f t="shared" si="72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8">
        <f t="shared" si="74"/>
        <v>42164.208333333328</v>
      </c>
      <c r="N831">
        <v>1435122000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3"/>
        <v>1.1710526315789473</v>
      </c>
      <c r="G832" t="s">
        <v>14</v>
      </c>
      <c r="H832" s="5">
        <f t="shared" si="72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8">
        <f t="shared" si="74"/>
        <v>43103.25</v>
      </c>
      <c r="N832">
        <v>1520056800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3"/>
        <v>108.97734294541709</v>
      </c>
      <c r="G833" t="s">
        <v>20</v>
      </c>
      <c r="H833" s="5">
        <f t="shared" si="72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8">
        <f t="shared" si="74"/>
        <v>40994.208333333336</v>
      </c>
      <c r="N833">
        <v>1335675600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3"/>
        <v>315.17592592592592</v>
      </c>
      <c r="G834" t="s">
        <v>20</v>
      </c>
      <c r="H834" s="5">
        <f t="shared" ref="H834:H897" si="78">IFERROR(E834/I834,0)</f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8">
        <f t="shared" si="74"/>
        <v>42299.208333333328</v>
      </c>
      <c r="N834">
        <v>1448431200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9">E835/D835*100</f>
        <v>157.69117647058823</v>
      </c>
      <c r="G835" t="s">
        <v>20</v>
      </c>
      <c r="H835" s="5">
        <f t="shared" si="78"/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8">
        <f t="shared" ref="M835:M898" si="80">(((L835/60)/60)/24)+DATE(1970,1,1)</f>
        <v>40588.25</v>
      </c>
      <c r="N835">
        <v>1298613600</v>
      </c>
      <c r="O835" s="8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9"/>
        <v>153.8082191780822</v>
      </c>
      <c r="G836" t="s">
        <v>20</v>
      </c>
      <c r="H836" s="5">
        <f t="shared" si="78"/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8">
        <f t="shared" si="80"/>
        <v>41448.208333333336</v>
      </c>
      <c r="N836">
        <v>1372482000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9"/>
        <v>89.738979118329468</v>
      </c>
      <c r="G837" t="s">
        <v>14</v>
      </c>
      <c r="H837" s="5">
        <f t="shared" si="78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8">
        <f t="shared" si="80"/>
        <v>42063.25</v>
      </c>
      <c r="N837">
        <v>1425621600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9"/>
        <v>75.135802469135797</v>
      </c>
      <c r="G838" t="s">
        <v>14</v>
      </c>
      <c r="H838" s="5">
        <f t="shared" si="78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8">
        <f t="shared" si="80"/>
        <v>40214.25</v>
      </c>
      <c r="N838">
        <v>1266300000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9"/>
        <v>852.88135593220341</v>
      </c>
      <c r="G839" t="s">
        <v>20</v>
      </c>
      <c r="H839" s="5">
        <f t="shared" si="78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8">
        <f t="shared" si="80"/>
        <v>40629.208333333336</v>
      </c>
      <c r="N839">
        <v>1305867600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9"/>
        <v>138.90625</v>
      </c>
      <c r="G840" t="s">
        <v>20</v>
      </c>
      <c r="H840" s="5">
        <f t="shared" si="78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8">
        <f t="shared" si="80"/>
        <v>43370.208333333328</v>
      </c>
      <c r="N840">
        <v>1538802000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9"/>
        <v>190.18181818181819</v>
      </c>
      <c r="G841" t="s">
        <v>20</v>
      </c>
      <c r="H841" s="5">
        <f t="shared" si="78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8">
        <f t="shared" si="80"/>
        <v>41715.208333333336</v>
      </c>
      <c r="N841">
        <v>1398920400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9"/>
        <v>100.24333619948409</v>
      </c>
      <c r="G842" t="s">
        <v>20</v>
      </c>
      <c r="H842" s="5">
        <f t="shared" si="78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8">
        <f t="shared" si="80"/>
        <v>41836.208333333336</v>
      </c>
      <c r="N842">
        <v>1405659600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9"/>
        <v>142.75824175824175</v>
      </c>
      <c r="G843" t="s">
        <v>20</v>
      </c>
      <c r="H843" s="5">
        <f t="shared" si="78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8">
        <f t="shared" si="80"/>
        <v>42419.25</v>
      </c>
      <c r="N843">
        <v>1457244000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9"/>
        <v>563.13333333333333</v>
      </c>
      <c r="G844" t="s">
        <v>20</v>
      </c>
      <c r="H844" s="5">
        <f t="shared" si="78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8">
        <f t="shared" si="80"/>
        <v>43266.208333333328</v>
      </c>
      <c r="N844">
        <v>1529298000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9"/>
        <v>30.715909090909086</v>
      </c>
      <c r="G845" t="s">
        <v>14</v>
      </c>
      <c r="H845" s="5">
        <f t="shared" si="78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8">
        <f t="shared" si="80"/>
        <v>43338.208333333328</v>
      </c>
      <c r="N845">
        <v>1535778000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9"/>
        <v>99.39772727272728</v>
      </c>
      <c r="G846" t="s">
        <v>74</v>
      </c>
      <c r="H846" s="5">
        <f t="shared" si="78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8">
        <f t="shared" si="80"/>
        <v>40930.25</v>
      </c>
      <c r="N846">
        <v>1327471200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9"/>
        <v>197.54935622317598</v>
      </c>
      <c r="G847" t="s">
        <v>20</v>
      </c>
      <c r="H847" s="5">
        <f t="shared" si="78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8">
        <f t="shared" si="80"/>
        <v>43235.208333333328</v>
      </c>
      <c r="N847">
        <v>1529557200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9"/>
        <v>508.5</v>
      </c>
      <c r="G848" t="s">
        <v>20</v>
      </c>
      <c r="H848" s="5">
        <f t="shared" si="78"/>
        <v>105.9375</v>
      </c>
      <c r="I848">
        <v>48</v>
      </c>
      <c r="J848" t="s">
        <v>21</v>
      </c>
      <c r="K848" t="s">
        <v>22</v>
      </c>
      <c r="L848">
        <v>1532149200</v>
      </c>
      <c r="M848" s="8">
        <f t="shared" si="80"/>
        <v>43302.208333333328</v>
      </c>
      <c r="N848">
        <v>1535259600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9"/>
        <v>237.74468085106383</v>
      </c>
      <c r="G849" t="s">
        <v>20</v>
      </c>
      <c r="H849" s="5">
        <f t="shared" si="78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8">
        <f t="shared" si="80"/>
        <v>43107.25</v>
      </c>
      <c r="N849">
        <v>1515564000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9"/>
        <v>338.46875</v>
      </c>
      <c r="G850" t="s">
        <v>20</v>
      </c>
      <c r="H850" s="5">
        <f t="shared" si="78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8">
        <f t="shared" si="80"/>
        <v>40341.208333333336</v>
      </c>
      <c r="N850">
        <v>1277096400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9"/>
        <v>133.08955223880596</v>
      </c>
      <c r="G851" t="s">
        <v>20</v>
      </c>
      <c r="H851" s="5">
        <f t="shared" si="78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8">
        <f t="shared" si="80"/>
        <v>40948.25</v>
      </c>
      <c r="N851">
        <v>1329026400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9"/>
        <v>1</v>
      </c>
      <c r="G852" t="s">
        <v>14</v>
      </c>
      <c r="H852" s="5">
        <f t="shared" si="78"/>
        <v>1</v>
      </c>
      <c r="I852">
        <v>1</v>
      </c>
      <c r="J852" t="s">
        <v>21</v>
      </c>
      <c r="K852" t="s">
        <v>22</v>
      </c>
      <c r="L852">
        <v>1321682400</v>
      </c>
      <c r="M852" s="8">
        <f t="shared" si="80"/>
        <v>40866.25</v>
      </c>
      <c r="N852">
        <v>1322978400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9"/>
        <v>207.79999999999998</v>
      </c>
      <c r="G853" t="s">
        <v>20</v>
      </c>
      <c r="H853" s="5">
        <f t="shared" si="78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8">
        <f t="shared" si="80"/>
        <v>41031.208333333336</v>
      </c>
      <c r="N853">
        <v>1338786000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9"/>
        <v>51.122448979591837</v>
      </c>
      <c r="G854" t="s">
        <v>14</v>
      </c>
      <c r="H854" s="5">
        <f t="shared" si="78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8">
        <f t="shared" si="80"/>
        <v>40740.208333333336</v>
      </c>
      <c r="N854">
        <v>1311656400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9"/>
        <v>652.05847953216369</v>
      </c>
      <c r="G855" t="s">
        <v>20</v>
      </c>
      <c r="H855" s="5">
        <f t="shared" si="78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8">
        <f t="shared" si="80"/>
        <v>40714.208333333336</v>
      </c>
      <c r="N855">
        <v>1308978000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9"/>
        <v>113.63099415204678</v>
      </c>
      <c r="G856" t="s">
        <v>20</v>
      </c>
      <c r="H856" s="5">
        <f t="shared" si="78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8">
        <f t="shared" si="80"/>
        <v>43787.25</v>
      </c>
      <c r="N856">
        <v>1576389600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9"/>
        <v>102.37606837606839</v>
      </c>
      <c r="G857" t="s">
        <v>20</v>
      </c>
      <c r="H857" s="5">
        <f t="shared" si="78"/>
        <v>53</v>
      </c>
      <c r="I857">
        <v>452</v>
      </c>
      <c r="J857" t="s">
        <v>26</v>
      </c>
      <c r="K857" t="s">
        <v>27</v>
      </c>
      <c r="L857">
        <v>1308373200</v>
      </c>
      <c r="M857" s="8">
        <f t="shared" si="80"/>
        <v>40712.208333333336</v>
      </c>
      <c r="N857">
        <v>1311051600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9"/>
        <v>356.58333333333331</v>
      </c>
      <c r="G858" t="s">
        <v>20</v>
      </c>
      <c r="H858" s="5">
        <f t="shared" si="78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8">
        <f t="shared" si="80"/>
        <v>41023.208333333336</v>
      </c>
      <c r="N858">
        <v>1336712400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9"/>
        <v>139.86792452830187</v>
      </c>
      <c r="G859" t="s">
        <v>20</v>
      </c>
      <c r="H859" s="5">
        <f t="shared" si="78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8">
        <f t="shared" si="80"/>
        <v>40944.25</v>
      </c>
      <c r="N859">
        <v>1330408800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9"/>
        <v>69.45</v>
      </c>
      <c r="G860" t="s">
        <v>14</v>
      </c>
      <c r="H860" s="5">
        <f t="shared" si="78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8">
        <f t="shared" si="80"/>
        <v>43211.208333333328</v>
      </c>
      <c r="N860">
        <v>1524891600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9"/>
        <v>35.534246575342465</v>
      </c>
      <c r="G861" t="s">
        <v>14</v>
      </c>
      <c r="H861" s="5">
        <f t="shared" si="78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8">
        <f t="shared" si="80"/>
        <v>41334.25</v>
      </c>
      <c r="N861">
        <v>1363669200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9"/>
        <v>251.65</v>
      </c>
      <c r="G862" t="s">
        <v>20</v>
      </c>
      <c r="H862" s="5">
        <f t="shared" si="78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8">
        <f t="shared" si="80"/>
        <v>43515.25</v>
      </c>
      <c r="N862">
        <v>1551420000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9"/>
        <v>105.87500000000001</v>
      </c>
      <c r="G863" t="s">
        <v>20</v>
      </c>
      <c r="H863" s="5">
        <f t="shared" si="78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8">
        <f t="shared" si="80"/>
        <v>40258.208333333336</v>
      </c>
      <c r="N863">
        <v>1269838800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9"/>
        <v>187.42857142857144</v>
      </c>
      <c r="G864" t="s">
        <v>20</v>
      </c>
      <c r="H864" s="5">
        <f t="shared" si="78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8">
        <f t="shared" si="80"/>
        <v>40756.208333333336</v>
      </c>
      <c r="N864">
        <v>1312520400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9"/>
        <v>386.78571428571428</v>
      </c>
      <c r="G865" t="s">
        <v>20</v>
      </c>
      <c r="H865" s="5">
        <f t="shared" si="78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8">
        <f t="shared" si="80"/>
        <v>42172.208333333328</v>
      </c>
      <c r="N865">
        <v>1436504400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9"/>
        <v>347.07142857142856</v>
      </c>
      <c r="G866" t="s">
        <v>20</v>
      </c>
      <c r="H866" s="5">
        <f t="shared" si="78"/>
        <v>97.18</v>
      </c>
      <c r="I866">
        <v>150</v>
      </c>
      <c r="J866" t="s">
        <v>21</v>
      </c>
      <c r="K866" t="s">
        <v>22</v>
      </c>
      <c r="L866">
        <v>1471582800</v>
      </c>
      <c r="M866" s="8">
        <f t="shared" si="80"/>
        <v>42601.208333333328</v>
      </c>
      <c r="N866">
        <v>1472014800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9"/>
        <v>185.82098765432099</v>
      </c>
      <c r="G867" t="s">
        <v>20</v>
      </c>
      <c r="H867" s="5">
        <f t="shared" si="78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8">
        <f t="shared" si="80"/>
        <v>41897.208333333336</v>
      </c>
      <c r="N867">
        <v>1411534800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9"/>
        <v>43.241247264770237</v>
      </c>
      <c r="G868" t="s">
        <v>74</v>
      </c>
      <c r="H868" s="5">
        <f t="shared" si="78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8">
        <f t="shared" si="80"/>
        <v>40671.208333333336</v>
      </c>
      <c r="N868">
        <v>1304917200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9"/>
        <v>162.4375</v>
      </c>
      <c r="G869" t="s">
        <v>20</v>
      </c>
      <c r="H869" s="5">
        <f t="shared" si="78"/>
        <v>25.99</v>
      </c>
      <c r="I869">
        <v>300</v>
      </c>
      <c r="J869" t="s">
        <v>21</v>
      </c>
      <c r="K869" t="s">
        <v>22</v>
      </c>
      <c r="L869">
        <v>1539061200</v>
      </c>
      <c r="M869" s="8">
        <f t="shared" si="80"/>
        <v>43382.208333333328</v>
      </c>
      <c r="N869">
        <v>1539579600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9"/>
        <v>184.84285714285716</v>
      </c>
      <c r="G870" t="s">
        <v>20</v>
      </c>
      <c r="H870" s="5">
        <f t="shared" si="78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8">
        <f t="shared" si="80"/>
        <v>41559.208333333336</v>
      </c>
      <c r="N870">
        <v>1382504400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9"/>
        <v>23.703520691785052</v>
      </c>
      <c r="G871" t="s">
        <v>14</v>
      </c>
      <c r="H871" s="5">
        <f t="shared" si="78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8">
        <f t="shared" si="80"/>
        <v>40350.208333333336</v>
      </c>
      <c r="N871">
        <v>1278306000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9"/>
        <v>89.870129870129873</v>
      </c>
      <c r="G872" t="s">
        <v>14</v>
      </c>
      <c r="H872" s="5">
        <f t="shared" si="78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8">
        <f t="shared" si="80"/>
        <v>42240.208333333328</v>
      </c>
      <c r="N872">
        <v>1442552400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9"/>
        <v>272.6041958041958</v>
      </c>
      <c r="G873" t="s">
        <v>20</v>
      </c>
      <c r="H873" s="5">
        <f t="shared" si="78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8">
        <f t="shared" si="80"/>
        <v>43040.208333333328</v>
      </c>
      <c r="N873">
        <v>1511071200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9"/>
        <v>170.04255319148936</v>
      </c>
      <c r="G874" t="s">
        <v>20</v>
      </c>
      <c r="H874" s="5">
        <f t="shared" si="78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8">
        <f t="shared" si="80"/>
        <v>43346.208333333328</v>
      </c>
      <c r="N874">
        <v>1536382800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9"/>
        <v>188.28503562945369</v>
      </c>
      <c r="G875" t="s">
        <v>20</v>
      </c>
      <c r="H875" s="5">
        <f t="shared" si="78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8">
        <f t="shared" si="80"/>
        <v>41647.25</v>
      </c>
      <c r="N875">
        <v>1389592800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9"/>
        <v>346.93532338308455</v>
      </c>
      <c r="G876" t="s">
        <v>20</v>
      </c>
      <c r="H876" s="5">
        <f t="shared" si="78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8">
        <f t="shared" si="80"/>
        <v>40291.208333333336</v>
      </c>
      <c r="N876">
        <v>1275282000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9"/>
        <v>69.177215189873422</v>
      </c>
      <c r="G877" t="s">
        <v>14</v>
      </c>
      <c r="H877" s="5">
        <f t="shared" si="78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8">
        <f t="shared" si="80"/>
        <v>40556.25</v>
      </c>
      <c r="N877">
        <v>1294984800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9"/>
        <v>25.433734939759034</v>
      </c>
      <c r="G878" t="s">
        <v>14</v>
      </c>
      <c r="H878" s="5">
        <f t="shared" si="78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8">
        <f t="shared" si="80"/>
        <v>43624.208333333328</v>
      </c>
      <c r="N878">
        <v>1562043600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9"/>
        <v>77.400977995110026</v>
      </c>
      <c r="G879" t="s">
        <v>14</v>
      </c>
      <c r="H879" s="5">
        <f t="shared" si="78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8">
        <f t="shared" si="80"/>
        <v>42577.208333333328</v>
      </c>
      <c r="N879">
        <v>1469595600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9"/>
        <v>37.481481481481481</v>
      </c>
      <c r="G880" t="s">
        <v>14</v>
      </c>
      <c r="H880" s="5">
        <f t="shared" si="78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8">
        <f t="shared" si="80"/>
        <v>43845.25</v>
      </c>
      <c r="N880">
        <v>1581141600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9"/>
        <v>543.79999999999995</v>
      </c>
      <c r="G881" t="s">
        <v>20</v>
      </c>
      <c r="H881" s="5">
        <f t="shared" si="78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8">
        <f t="shared" si="80"/>
        <v>42788.25</v>
      </c>
      <c r="N881">
        <v>1488520800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9"/>
        <v>228.52189349112427</v>
      </c>
      <c r="G882" t="s">
        <v>20</v>
      </c>
      <c r="H882" s="5">
        <f t="shared" si="78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8">
        <f t="shared" si="80"/>
        <v>43667.208333333328</v>
      </c>
      <c r="N882">
        <v>1563858000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9"/>
        <v>38.948339483394832</v>
      </c>
      <c r="G883" t="s">
        <v>14</v>
      </c>
      <c r="H883" s="5">
        <f t="shared" si="78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8">
        <f t="shared" si="80"/>
        <v>42194.208333333328</v>
      </c>
      <c r="N883">
        <v>1438923600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9"/>
        <v>370</v>
      </c>
      <c r="G884" t="s">
        <v>20</v>
      </c>
      <c r="H884" s="5">
        <f t="shared" si="78"/>
        <v>37</v>
      </c>
      <c r="I884">
        <v>80</v>
      </c>
      <c r="J884" t="s">
        <v>21</v>
      </c>
      <c r="K884" t="s">
        <v>22</v>
      </c>
      <c r="L884">
        <v>1421820000</v>
      </c>
      <c r="M884" s="8">
        <f t="shared" si="80"/>
        <v>42025.25</v>
      </c>
      <c r="N884">
        <v>1422165600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9"/>
        <v>237.91176470588232</v>
      </c>
      <c r="G885" t="s">
        <v>20</v>
      </c>
      <c r="H885" s="5">
        <f t="shared" si="78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8">
        <f t="shared" si="80"/>
        <v>40323.208333333336</v>
      </c>
      <c r="N885">
        <v>1277874000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9"/>
        <v>64.036299765807954</v>
      </c>
      <c r="G886" t="s">
        <v>14</v>
      </c>
      <c r="H886" s="5">
        <f t="shared" si="78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8">
        <f t="shared" si="80"/>
        <v>41763.208333333336</v>
      </c>
      <c r="N886">
        <v>1399352400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9"/>
        <v>118.27777777777777</v>
      </c>
      <c r="G887" t="s">
        <v>20</v>
      </c>
      <c r="H887" s="5">
        <f t="shared" si="78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8">
        <f t="shared" si="80"/>
        <v>40335.208333333336</v>
      </c>
      <c r="N887">
        <v>1279083600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9"/>
        <v>84.824037184594957</v>
      </c>
      <c r="G888" t="s">
        <v>14</v>
      </c>
      <c r="H888" s="5">
        <f t="shared" si="78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8">
        <f t="shared" si="80"/>
        <v>40416.208333333336</v>
      </c>
      <c r="N888">
        <v>1284354000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9"/>
        <v>29.346153846153843</v>
      </c>
      <c r="G889" t="s">
        <v>14</v>
      </c>
      <c r="H889" s="5">
        <f t="shared" si="78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8">
        <f t="shared" si="80"/>
        <v>42202.208333333328</v>
      </c>
      <c r="N889">
        <v>1441170000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9"/>
        <v>209.89655172413794</v>
      </c>
      <c r="G890" t="s">
        <v>20</v>
      </c>
      <c r="H890" s="5">
        <f t="shared" si="78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8">
        <f t="shared" si="80"/>
        <v>42836.208333333328</v>
      </c>
      <c r="N890">
        <v>1493528400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9"/>
        <v>169.78571428571431</v>
      </c>
      <c r="G891" t="s">
        <v>20</v>
      </c>
      <c r="H891" s="5">
        <f t="shared" si="78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8">
        <f t="shared" si="80"/>
        <v>41710.208333333336</v>
      </c>
      <c r="N891">
        <v>1395205200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9"/>
        <v>115.95907738095239</v>
      </c>
      <c r="G892" t="s">
        <v>20</v>
      </c>
      <c r="H892" s="5">
        <f t="shared" si="78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8">
        <f t="shared" si="80"/>
        <v>43640.208333333328</v>
      </c>
      <c r="N892">
        <v>1561438800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9"/>
        <v>258.59999999999997</v>
      </c>
      <c r="G893" t="s">
        <v>20</v>
      </c>
      <c r="H893" s="5">
        <f t="shared" si="78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8">
        <f t="shared" si="80"/>
        <v>40880.25</v>
      </c>
      <c r="N893">
        <v>1326693600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9"/>
        <v>230.58333333333331</v>
      </c>
      <c r="G894" t="s">
        <v>20</v>
      </c>
      <c r="H894" s="5">
        <f t="shared" si="78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8">
        <f t="shared" si="80"/>
        <v>40319.208333333336</v>
      </c>
      <c r="N894">
        <v>1277960400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9"/>
        <v>128.21428571428572</v>
      </c>
      <c r="G895" t="s">
        <v>20</v>
      </c>
      <c r="H895" s="5">
        <f t="shared" si="78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8">
        <f t="shared" si="80"/>
        <v>42170.208333333328</v>
      </c>
      <c r="N895">
        <v>1434690000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9"/>
        <v>188.70588235294116</v>
      </c>
      <c r="G896" t="s">
        <v>20</v>
      </c>
      <c r="H896" s="5">
        <f t="shared" si="78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8">
        <f t="shared" si="80"/>
        <v>41466.208333333336</v>
      </c>
      <c r="N896">
        <v>1376110800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9"/>
        <v>6.9511889862327907</v>
      </c>
      <c r="G897" t="s">
        <v>14</v>
      </c>
      <c r="H897" s="5">
        <f t="shared" si="78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8">
        <f t="shared" si="80"/>
        <v>43134.25</v>
      </c>
      <c r="N897">
        <v>1518415200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9"/>
        <v>774.43434343434342</v>
      </c>
      <c r="G898" t="s">
        <v>20</v>
      </c>
      <c r="H898" s="5">
        <f t="shared" ref="H898:H961" si="84">IFERROR(E898/I898,0)</f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8">
        <f t="shared" si="80"/>
        <v>40738.208333333336</v>
      </c>
      <c r="N898">
        <v>1310878800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5">E899/D899*100</f>
        <v>27.693181818181817</v>
      </c>
      <c r="G899" t="s">
        <v>14</v>
      </c>
      <c r="H899" s="5">
        <f t="shared" si="84"/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8">
        <f t="shared" ref="M899:M962" si="86">(((L899/60)/60)/24)+DATE(1970,1,1)</f>
        <v>43583.208333333328</v>
      </c>
      <c r="N899">
        <v>1556600400</v>
      </c>
      <c r="O899" s="8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5"/>
        <v>52.479620323841424</v>
      </c>
      <c r="G900" t="s">
        <v>14</v>
      </c>
      <c r="H900" s="5">
        <f t="shared" si="84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8">
        <f t="shared" si="86"/>
        <v>43815.25</v>
      </c>
      <c r="N900">
        <v>1576994400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5"/>
        <v>407.09677419354841</v>
      </c>
      <c r="G901" t="s">
        <v>20</v>
      </c>
      <c r="H901" s="5">
        <f t="shared" si="84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8">
        <f t="shared" si="86"/>
        <v>41554.208333333336</v>
      </c>
      <c r="N901">
        <v>1382677200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5"/>
        <v>2</v>
      </c>
      <c r="G902" t="s">
        <v>14</v>
      </c>
      <c r="H902" s="5">
        <f t="shared" si="84"/>
        <v>2</v>
      </c>
      <c r="I902">
        <v>1</v>
      </c>
      <c r="J902" t="s">
        <v>21</v>
      </c>
      <c r="K902" t="s">
        <v>22</v>
      </c>
      <c r="L902">
        <v>1411102800</v>
      </c>
      <c r="M902" s="8">
        <f t="shared" si="86"/>
        <v>41901.208333333336</v>
      </c>
      <c r="N902">
        <v>1411189200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5"/>
        <v>156.17857142857144</v>
      </c>
      <c r="G903" t="s">
        <v>20</v>
      </c>
      <c r="H903" s="5">
        <f t="shared" si="84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8">
        <f t="shared" si="86"/>
        <v>43298.208333333328</v>
      </c>
      <c r="N903">
        <v>1534654800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5"/>
        <v>252.42857142857144</v>
      </c>
      <c r="G904" t="s">
        <v>20</v>
      </c>
      <c r="H904" s="5">
        <f t="shared" si="84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8">
        <f t="shared" si="86"/>
        <v>42399.25</v>
      </c>
      <c r="N904">
        <v>1457762400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5"/>
        <v>1.729268292682927</v>
      </c>
      <c r="G905" t="s">
        <v>47</v>
      </c>
      <c r="H905" s="5">
        <f t="shared" si="84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8">
        <f t="shared" si="86"/>
        <v>41034.208333333336</v>
      </c>
      <c r="N905">
        <v>1337490000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5"/>
        <v>12.230769230769232</v>
      </c>
      <c r="G906" t="s">
        <v>14</v>
      </c>
      <c r="H906" s="5">
        <f t="shared" si="84"/>
        <v>49.6875</v>
      </c>
      <c r="I906">
        <v>16</v>
      </c>
      <c r="J906" t="s">
        <v>21</v>
      </c>
      <c r="K906" t="s">
        <v>22</v>
      </c>
      <c r="L906">
        <v>1349326800</v>
      </c>
      <c r="M906" s="8">
        <f t="shared" si="86"/>
        <v>41186.208333333336</v>
      </c>
      <c r="N906">
        <v>1349672400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5"/>
        <v>163.98734177215189</v>
      </c>
      <c r="G907" t="s">
        <v>20</v>
      </c>
      <c r="H907" s="5">
        <f t="shared" si="84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8">
        <f t="shared" si="86"/>
        <v>41536.208333333336</v>
      </c>
      <c r="N907">
        <v>1379826000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5"/>
        <v>162.98181818181817</v>
      </c>
      <c r="G908" t="s">
        <v>20</v>
      </c>
      <c r="H908" s="5">
        <f t="shared" si="84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8">
        <f t="shared" si="86"/>
        <v>42868.208333333328</v>
      </c>
      <c r="N908">
        <v>1497762000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5"/>
        <v>20.252747252747252</v>
      </c>
      <c r="G909" t="s">
        <v>14</v>
      </c>
      <c r="H909" s="5">
        <f t="shared" si="84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8">
        <f t="shared" si="86"/>
        <v>40660.208333333336</v>
      </c>
      <c r="N909">
        <v>1304485200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5"/>
        <v>319.24083769633506</v>
      </c>
      <c r="G910" t="s">
        <v>20</v>
      </c>
      <c r="H910" s="5">
        <f t="shared" si="84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8">
        <f t="shared" si="86"/>
        <v>41031.208333333336</v>
      </c>
      <c r="N910">
        <v>1336885200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5"/>
        <v>478.94444444444446</v>
      </c>
      <c r="G911" t="s">
        <v>20</v>
      </c>
      <c r="H911" s="5">
        <f t="shared" si="84"/>
        <v>107.7625</v>
      </c>
      <c r="I911">
        <v>80</v>
      </c>
      <c r="J911" t="s">
        <v>15</v>
      </c>
      <c r="K911" t="s">
        <v>16</v>
      </c>
      <c r="L911">
        <v>1528088400</v>
      </c>
      <c r="M911" s="8">
        <f t="shared" si="86"/>
        <v>43255.208333333328</v>
      </c>
      <c r="N911">
        <v>1530421200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5"/>
        <v>19.556634304207122</v>
      </c>
      <c r="G912" t="s">
        <v>74</v>
      </c>
      <c r="H912" s="5">
        <f t="shared" si="84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8">
        <f t="shared" si="86"/>
        <v>42026.25</v>
      </c>
      <c r="N912">
        <v>1421992800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5"/>
        <v>198.94827586206895</v>
      </c>
      <c r="G913" t="s">
        <v>20</v>
      </c>
      <c r="H913" s="5">
        <f t="shared" si="84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8">
        <f t="shared" si="86"/>
        <v>43717.208333333328</v>
      </c>
      <c r="N913">
        <v>1568178000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5"/>
        <v>795</v>
      </c>
      <c r="G914" t="s">
        <v>20</v>
      </c>
      <c r="H914" s="5">
        <f t="shared" si="84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8">
        <f t="shared" si="86"/>
        <v>41157.208333333336</v>
      </c>
      <c r="N914">
        <v>1347944400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5"/>
        <v>50.621082621082621</v>
      </c>
      <c r="G915" t="s">
        <v>14</v>
      </c>
      <c r="H915" s="5">
        <f t="shared" si="84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8">
        <f t="shared" si="86"/>
        <v>43597.208333333328</v>
      </c>
      <c r="N915">
        <v>1558760400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5"/>
        <v>57.4375</v>
      </c>
      <c r="G916" t="s">
        <v>14</v>
      </c>
      <c r="H916" s="5">
        <f t="shared" si="84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8">
        <f t="shared" si="86"/>
        <v>41490.208333333336</v>
      </c>
      <c r="N916">
        <v>1376629200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5"/>
        <v>155.62827640984909</v>
      </c>
      <c r="G917" t="s">
        <v>20</v>
      </c>
      <c r="H917" s="5">
        <f t="shared" si="84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8">
        <f t="shared" si="86"/>
        <v>42976.208333333328</v>
      </c>
      <c r="N917">
        <v>1504760400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5"/>
        <v>36.297297297297298</v>
      </c>
      <c r="G918" t="s">
        <v>14</v>
      </c>
      <c r="H918" s="5">
        <f t="shared" si="84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8">
        <f t="shared" si="86"/>
        <v>41991.25</v>
      </c>
      <c r="N918">
        <v>1419660000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5"/>
        <v>58.25</v>
      </c>
      <c r="G919" t="s">
        <v>47</v>
      </c>
      <c r="H919" s="5">
        <f t="shared" si="84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8">
        <f t="shared" si="86"/>
        <v>40722.208333333336</v>
      </c>
      <c r="N919">
        <v>1311310800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5"/>
        <v>237.39473684210526</v>
      </c>
      <c r="G920" t="s">
        <v>20</v>
      </c>
      <c r="H920" s="5">
        <f t="shared" si="84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8">
        <f t="shared" si="86"/>
        <v>41117.208333333336</v>
      </c>
      <c r="N920">
        <v>1344315600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5"/>
        <v>58.75</v>
      </c>
      <c r="G921" t="s">
        <v>14</v>
      </c>
      <c r="H921" s="5">
        <f t="shared" si="84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8">
        <f t="shared" si="86"/>
        <v>43022.208333333328</v>
      </c>
      <c r="N921">
        <v>1510725600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5"/>
        <v>182.56603773584905</v>
      </c>
      <c r="G922" t="s">
        <v>20</v>
      </c>
      <c r="H922" s="5">
        <f t="shared" si="84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8">
        <f t="shared" si="86"/>
        <v>43503.25</v>
      </c>
      <c r="N922">
        <v>1551247200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5"/>
        <v>0.75436408977556113</v>
      </c>
      <c r="G923" t="s">
        <v>14</v>
      </c>
      <c r="H923" s="5">
        <f t="shared" si="84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8">
        <f t="shared" si="86"/>
        <v>40951.25</v>
      </c>
      <c r="N923">
        <v>1330236000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5"/>
        <v>175.95330739299609</v>
      </c>
      <c r="G924" t="s">
        <v>20</v>
      </c>
      <c r="H924" s="5">
        <f t="shared" si="84"/>
        <v>40</v>
      </c>
      <c r="I924">
        <v>2261</v>
      </c>
      <c r="J924" t="s">
        <v>21</v>
      </c>
      <c r="K924" t="s">
        <v>22</v>
      </c>
      <c r="L924">
        <v>1544335200</v>
      </c>
      <c r="M924" s="8">
        <f t="shared" si="86"/>
        <v>43443.25</v>
      </c>
      <c r="N924">
        <v>1545112800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5"/>
        <v>237.88235294117646</v>
      </c>
      <c r="G925" t="s">
        <v>20</v>
      </c>
      <c r="H925" s="5">
        <f t="shared" si="84"/>
        <v>101.1</v>
      </c>
      <c r="I925">
        <v>40</v>
      </c>
      <c r="J925" t="s">
        <v>21</v>
      </c>
      <c r="K925" t="s">
        <v>22</v>
      </c>
      <c r="L925">
        <v>1279083600</v>
      </c>
      <c r="M925" s="8">
        <f t="shared" si="86"/>
        <v>40373.208333333336</v>
      </c>
      <c r="N925">
        <v>1279170000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5"/>
        <v>488.05076142131981</v>
      </c>
      <c r="G926" t="s">
        <v>20</v>
      </c>
      <c r="H926" s="5">
        <f t="shared" si="84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8">
        <f t="shared" si="86"/>
        <v>43769.208333333328</v>
      </c>
      <c r="N926">
        <v>1573452000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5"/>
        <v>224.06666666666669</v>
      </c>
      <c r="G927" t="s">
        <v>20</v>
      </c>
      <c r="H927" s="5">
        <f t="shared" si="84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8">
        <f t="shared" si="86"/>
        <v>43000.208333333328</v>
      </c>
      <c r="N927">
        <v>1507093200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5"/>
        <v>18.126436781609197</v>
      </c>
      <c r="G928" t="s">
        <v>14</v>
      </c>
      <c r="H928" s="5">
        <f t="shared" si="84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8">
        <f t="shared" si="86"/>
        <v>42502.208333333328</v>
      </c>
      <c r="N928">
        <v>1463374800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5"/>
        <v>45.847222222222221</v>
      </c>
      <c r="G929" t="s">
        <v>14</v>
      </c>
      <c r="H929" s="5">
        <f t="shared" si="84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8">
        <f t="shared" si="86"/>
        <v>41102.208333333336</v>
      </c>
      <c r="N929">
        <v>1344574800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5"/>
        <v>117.31541218637993</v>
      </c>
      <c r="G930" t="s">
        <v>20</v>
      </c>
      <c r="H930" s="5">
        <f t="shared" si="84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8">
        <f t="shared" si="86"/>
        <v>41637.25</v>
      </c>
      <c r="N930">
        <v>1389074400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5"/>
        <v>217.30909090909088</v>
      </c>
      <c r="G931" t="s">
        <v>20</v>
      </c>
      <c r="H931" s="5">
        <f t="shared" si="84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8">
        <f t="shared" si="86"/>
        <v>42858.208333333328</v>
      </c>
      <c r="N931">
        <v>1494997200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5"/>
        <v>112.28571428571428</v>
      </c>
      <c r="G932" t="s">
        <v>20</v>
      </c>
      <c r="H932" s="5">
        <f t="shared" si="84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8">
        <f t="shared" si="86"/>
        <v>42060.25</v>
      </c>
      <c r="N932">
        <v>1425448800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5"/>
        <v>72.51898734177216</v>
      </c>
      <c r="G933" t="s">
        <v>14</v>
      </c>
      <c r="H933" s="5">
        <f t="shared" si="84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8">
        <f t="shared" si="86"/>
        <v>41818.208333333336</v>
      </c>
      <c r="N933">
        <v>1404104400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5"/>
        <v>212.30434782608697</v>
      </c>
      <c r="G934" t="s">
        <v>20</v>
      </c>
      <c r="H934" s="5">
        <f t="shared" si="84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8">
        <f t="shared" si="86"/>
        <v>41709.208333333336</v>
      </c>
      <c r="N934">
        <v>1394773200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5"/>
        <v>239.74657534246577</v>
      </c>
      <c r="G935" t="s">
        <v>20</v>
      </c>
      <c r="H935" s="5">
        <f t="shared" si="84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8">
        <f t="shared" si="86"/>
        <v>41372.208333333336</v>
      </c>
      <c r="N935">
        <v>1366520400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5"/>
        <v>181.93548387096774</v>
      </c>
      <c r="G936" t="s">
        <v>20</v>
      </c>
      <c r="H936" s="5">
        <f t="shared" si="84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8">
        <f t="shared" si="86"/>
        <v>42422.25</v>
      </c>
      <c r="N936">
        <v>1456639200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5"/>
        <v>164.13114754098362</v>
      </c>
      <c r="G937" t="s">
        <v>20</v>
      </c>
      <c r="H937" s="5">
        <f t="shared" si="84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8">
        <f t="shared" si="86"/>
        <v>42209.208333333328</v>
      </c>
      <c r="N937">
        <v>1438318800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5"/>
        <v>1.6375968992248062</v>
      </c>
      <c r="G938" t="s">
        <v>14</v>
      </c>
      <c r="H938" s="5">
        <f t="shared" si="84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8">
        <f t="shared" si="86"/>
        <v>43668.208333333328</v>
      </c>
      <c r="N938">
        <v>1564030800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5"/>
        <v>49.64385964912281</v>
      </c>
      <c r="G939" t="s">
        <v>74</v>
      </c>
      <c r="H939" s="5">
        <f t="shared" si="84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8">
        <f t="shared" si="86"/>
        <v>42334.25</v>
      </c>
      <c r="N939">
        <v>1449295200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5"/>
        <v>109.70652173913042</v>
      </c>
      <c r="G940" t="s">
        <v>20</v>
      </c>
      <c r="H940" s="5">
        <f t="shared" si="84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8">
        <f t="shared" si="86"/>
        <v>43263.208333333328</v>
      </c>
      <c r="N940">
        <v>1531890000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5"/>
        <v>49.217948717948715</v>
      </c>
      <c r="G941" t="s">
        <v>14</v>
      </c>
      <c r="H941" s="5">
        <f t="shared" si="84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8">
        <f t="shared" si="86"/>
        <v>40670.208333333336</v>
      </c>
      <c r="N941">
        <v>1306213200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5"/>
        <v>62.232323232323225</v>
      </c>
      <c r="G942" t="s">
        <v>47</v>
      </c>
      <c r="H942" s="5">
        <f t="shared" si="84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8">
        <f t="shared" si="86"/>
        <v>41244.25</v>
      </c>
      <c r="N942">
        <v>1356242400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5"/>
        <v>13.05813953488372</v>
      </c>
      <c r="G943" t="s">
        <v>14</v>
      </c>
      <c r="H943" s="5">
        <f t="shared" si="84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8">
        <f t="shared" si="86"/>
        <v>40552.25</v>
      </c>
      <c r="N943">
        <v>1297576800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5"/>
        <v>64.635416666666671</v>
      </c>
      <c r="G944" t="s">
        <v>14</v>
      </c>
      <c r="H944" s="5">
        <f t="shared" si="84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8">
        <f t="shared" si="86"/>
        <v>40568.25</v>
      </c>
      <c r="N944">
        <v>1296194400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5"/>
        <v>159.58666666666667</v>
      </c>
      <c r="G945" t="s">
        <v>20</v>
      </c>
      <c r="H945" s="5">
        <f t="shared" si="84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8">
        <f t="shared" si="86"/>
        <v>41906.208333333336</v>
      </c>
      <c r="N945">
        <v>1414558800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5"/>
        <v>81.42</v>
      </c>
      <c r="G946" t="s">
        <v>14</v>
      </c>
      <c r="H946" s="5">
        <f t="shared" si="84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8">
        <f t="shared" si="86"/>
        <v>42776.25</v>
      </c>
      <c r="N946">
        <v>1488348000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5"/>
        <v>32.444767441860463</v>
      </c>
      <c r="G947" t="s">
        <v>14</v>
      </c>
      <c r="H947" s="5">
        <f t="shared" si="84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8">
        <f t="shared" si="86"/>
        <v>41004.208333333336</v>
      </c>
      <c r="N947">
        <v>1334898000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5"/>
        <v>9.9141184124918666</v>
      </c>
      <c r="G948" t="s">
        <v>14</v>
      </c>
      <c r="H948" s="5">
        <f t="shared" si="84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8">
        <f t="shared" si="86"/>
        <v>40710.208333333336</v>
      </c>
      <c r="N948">
        <v>1308373200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5"/>
        <v>26.694444444444443</v>
      </c>
      <c r="G949" t="s">
        <v>14</v>
      </c>
      <c r="H949" s="5">
        <f t="shared" si="84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8">
        <f t="shared" si="86"/>
        <v>41908.208333333336</v>
      </c>
      <c r="N949">
        <v>1412312400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5"/>
        <v>62.957446808510639</v>
      </c>
      <c r="G950" t="s">
        <v>74</v>
      </c>
      <c r="H950" s="5">
        <f t="shared" si="84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8">
        <f t="shared" si="86"/>
        <v>41985.25</v>
      </c>
      <c r="N950">
        <v>1419228000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5"/>
        <v>161.35593220338984</v>
      </c>
      <c r="G951" t="s">
        <v>20</v>
      </c>
      <c r="H951" s="5">
        <f t="shared" si="84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8">
        <f t="shared" si="86"/>
        <v>42112.208333333328</v>
      </c>
      <c r="N951">
        <v>1430974800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5"/>
        <v>5</v>
      </c>
      <c r="G952" t="s">
        <v>14</v>
      </c>
      <c r="H952" s="5">
        <f t="shared" si="84"/>
        <v>5</v>
      </c>
      <c r="I952">
        <v>1</v>
      </c>
      <c r="J952" t="s">
        <v>21</v>
      </c>
      <c r="K952" t="s">
        <v>22</v>
      </c>
      <c r="L952">
        <v>1555390800</v>
      </c>
      <c r="M952" s="8">
        <f t="shared" si="86"/>
        <v>43571.208333333328</v>
      </c>
      <c r="N952">
        <v>1555822800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5"/>
        <v>1096.9379310344827</v>
      </c>
      <c r="G953" t="s">
        <v>20</v>
      </c>
      <c r="H953" s="5">
        <f t="shared" si="84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8">
        <f t="shared" si="86"/>
        <v>42730.25</v>
      </c>
      <c r="N953">
        <v>1482818400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5"/>
        <v>70.094158075601371</v>
      </c>
      <c r="G954" t="s">
        <v>74</v>
      </c>
      <c r="H954" s="5">
        <f t="shared" si="84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8">
        <f t="shared" si="86"/>
        <v>42591.208333333328</v>
      </c>
      <c r="N954">
        <v>1471928400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5"/>
        <v>60</v>
      </c>
      <c r="G955" t="s">
        <v>14</v>
      </c>
      <c r="H955" s="5">
        <f t="shared" si="84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8">
        <f t="shared" si="86"/>
        <v>42358.25</v>
      </c>
      <c r="N955">
        <v>1453701600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5"/>
        <v>367.0985915492958</v>
      </c>
      <c r="G956" t="s">
        <v>20</v>
      </c>
      <c r="H956" s="5">
        <f t="shared" si="84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8">
        <f t="shared" si="86"/>
        <v>41174.208333333336</v>
      </c>
      <c r="N956">
        <v>1350363600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5"/>
        <v>1109</v>
      </c>
      <c r="G957" t="s">
        <v>20</v>
      </c>
      <c r="H957" s="5">
        <f t="shared" si="84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8">
        <f t="shared" si="86"/>
        <v>41238.25</v>
      </c>
      <c r="N957">
        <v>1353996000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5"/>
        <v>19.028784648187631</v>
      </c>
      <c r="G958" t="s">
        <v>14</v>
      </c>
      <c r="H958" s="5">
        <f t="shared" si="84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8">
        <f t="shared" si="86"/>
        <v>42360.25</v>
      </c>
      <c r="N958">
        <v>1451109600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5"/>
        <v>126.87755102040816</v>
      </c>
      <c r="G959" t="s">
        <v>20</v>
      </c>
      <c r="H959" s="5">
        <f t="shared" si="84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8">
        <f t="shared" si="86"/>
        <v>40955.25</v>
      </c>
      <c r="N959">
        <v>1329631200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5"/>
        <v>734.63636363636363</v>
      </c>
      <c r="G960" t="s">
        <v>20</v>
      </c>
      <c r="H960" s="5">
        <f t="shared" si="84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8">
        <f t="shared" si="86"/>
        <v>40350.208333333336</v>
      </c>
      <c r="N960">
        <v>1278997200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5"/>
        <v>4.5731034482758623</v>
      </c>
      <c r="G961" t="s">
        <v>14</v>
      </c>
      <c r="H961" s="5">
        <f t="shared" si="84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8">
        <f t="shared" si="86"/>
        <v>40357.208333333336</v>
      </c>
      <c r="N961">
        <v>1280120400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5"/>
        <v>85.054545454545448</v>
      </c>
      <c r="G962" t="s">
        <v>14</v>
      </c>
      <c r="H962" s="5">
        <f t="shared" ref="H962:H1001" si="90">IFERROR(E962/I962,0)</f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8">
        <f t="shared" si="86"/>
        <v>42408.25</v>
      </c>
      <c r="N962">
        <v>1458104400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1">E963/D963*100</f>
        <v>119.29824561403508</v>
      </c>
      <c r="G963" t="s">
        <v>20</v>
      </c>
      <c r="H963" s="5">
        <f t="shared" si="90"/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8">
        <f t="shared" ref="M963:M1001" si="92">(((L963/60)/60)/24)+DATE(1970,1,1)</f>
        <v>40591.25</v>
      </c>
      <c r="N963">
        <v>1298268000</v>
      </c>
      <c r="O963" s="8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1"/>
        <v>296.02777777777777</v>
      </c>
      <c r="G964" t="s">
        <v>20</v>
      </c>
      <c r="H964" s="5">
        <f t="shared" si="90"/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8">
        <f t="shared" si="92"/>
        <v>41592.25</v>
      </c>
      <c r="N964">
        <v>1386223200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1"/>
        <v>84.694915254237287</v>
      </c>
      <c r="G965" t="s">
        <v>14</v>
      </c>
      <c r="H965" s="5">
        <f t="shared" si="90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8">
        <f t="shared" si="92"/>
        <v>40607.25</v>
      </c>
      <c r="N965">
        <v>1299823200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1"/>
        <v>355.7837837837838</v>
      </c>
      <c r="G966" t="s">
        <v>20</v>
      </c>
      <c r="H966" s="5">
        <f t="shared" si="90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8">
        <f t="shared" si="92"/>
        <v>42135.208333333328</v>
      </c>
      <c r="N966">
        <v>1431752400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1"/>
        <v>386.40909090909093</v>
      </c>
      <c r="G967" t="s">
        <v>20</v>
      </c>
      <c r="H967" s="5">
        <f t="shared" si="90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8">
        <f t="shared" si="92"/>
        <v>40203.25</v>
      </c>
      <c r="N967">
        <v>1267855200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1"/>
        <v>792.23529411764707</v>
      </c>
      <c r="G968" t="s">
        <v>20</v>
      </c>
      <c r="H968" s="5">
        <f t="shared" si="90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8">
        <f t="shared" si="92"/>
        <v>42901.208333333328</v>
      </c>
      <c r="N968">
        <v>1497675600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1"/>
        <v>137.03393665158373</v>
      </c>
      <c r="G969" t="s">
        <v>20</v>
      </c>
      <c r="H969" s="5">
        <f t="shared" si="90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8">
        <f t="shared" si="92"/>
        <v>41005.208333333336</v>
      </c>
      <c r="N969">
        <v>1336885200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1"/>
        <v>338.20833333333337</v>
      </c>
      <c r="G970" t="s">
        <v>20</v>
      </c>
      <c r="H970" s="5">
        <f t="shared" si="90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8">
        <f t="shared" si="92"/>
        <v>40544.25</v>
      </c>
      <c r="N970">
        <v>1295157600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1"/>
        <v>108.22784810126582</v>
      </c>
      <c r="G971" t="s">
        <v>20</v>
      </c>
      <c r="H971" s="5">
        <f t="shared" si="90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8">
        <f t="shared" si="92"/>
        <v>43821.25</v>
      </c>
      <c r="N971">
        <v>1577599200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1"/>
        <v>60.757639620653315</v>
      </c>
      <c r="G972" t="s">
        <v>14</v>
      </c>
      <c r="H972" s="5">
        <f t="shared" si="90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8">
        <f t="shared" si="92"/>
        <v>40672.208333333336</v>
      </c>
      <c r="N972">
        <v>1305003600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1"/>
        <v>27.725490196078432</v>
      </c>
      <c r="G973" t="s">
        <v>14</v>
      </c>
      <c r="H973" s="5">
        <f t="shared" si="90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8">
        <f t="shared" si="92"/>
        <v>41555.208333333336</v>
      </c>
      <c r="N973">
        <v>1381726800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1"/>
        <v>228.3934426229508</v>
      </c>
      <c r="G974" t="s">
        <v>20</v>
      </c>
      <c r="H974" s="5">
        <f t="shared" si="90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8">
        <f t="shared" si="92"/>
        <v>41792.208333333336</v>
      </c>
      <c r="N974">
        <v>1402462800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1"/>
        <v>21.615194054500414</v>
      </c>
      <c r="G975" t="s">
        <v>14</v>
      </c>
      <c r="H975" s="5">
        <f t="shared" si="90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8">
        <f t="shared" si="92"/>
        <v>40522.25</v>
      </c>
      <c r="N975">
        <v>1292133600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1"/>
        <v>373.875</v>
      </c>
      <c r="G976" t="s">
        <v>20</v>
      </c>
      <c r="H976" s="5">
        <f t="shared" si="90"/>
        <v>93.46875</v>
      </c>
      <c r="I976">
        <v>32</v>
      </c>
      <c r="J976" t="s">
        <v>21</v>
      </c>
      <c r="K976" t="s">
        <v>22</v>
      </c>
      <c r="L976">
        <v>1368853200</v>
      </c>
      <c r="M976" s="8">
        <f t="shared" si="92"/>
        <v>41412.208333333336</v>
      </c>
      <c r="N976">
        <v>1368939600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1"/>
        <v>154.92592592592592</v>
      </c>
      <c r="G977" t="s">
        <v>20</v>
      </c>
      <c r="H977" s="5">
        <f t="shared" si="90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8">
        <f t="shared" si="92"/>
        <v>42337.25</v>
      </c>
      <c r="N977">
        <v>1452146400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1"/>
        <v>322.14999999999998</v>
      </c>
      <c r="G978" t="s">
        <v>20</v>
      </c>
      <c r="H978" s="5">
        <f t="shared" si="90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8">
        <f t="shared" si="92"/>
        <v>40571.25</v>
      </c>
      <c r="N978">
        <v>1296712800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1"/>
        <v>73.957142857142856</v>
      </c>
      <c r="G979" t="s">
        <v>14</v>
      </c>
      <c r="H979" s="5">
        <f t="shared" si="90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8">
        <f t="shared" si="92"/>
        <v>43138.25</v>
      </c>
      <c r="N979">
        <v>1520748000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1"/>
        <v>864.1</v>
      </c>
      <c r="G980" t="s">
        <v>20</v>
      </c>
      <c r="H980" s="5">
        <f t="shared" si="90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8">
        <f t="shared" si="92"/>
        <v>42686.25</v>
      </c>
      <c r="N980">
        <v>1480831200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1"/>
        <v>143.26245847176079</v>
      </c>
      <c r="G981" t="s">
        <v>20</v>
      </c>
      <c r="H981" s="5">
        <f t="shared" si="90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8">
        <f t="shared" si="92"/>
        <v>42078.208333333328</v>
      </c>
      <c r="N981">
        <v>1426914000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1"/>
        <v>40.281762295081968</v>
      </c>
      <c r="G982" t="s">
        <v>14</v>
      </c>
      <c r="H982" s="5">
        <f t="shared" si="90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8">
        <f t="shared" si="92"/>
        <v>42307.208333333328</v>
      </c>
      <c r="N982">
        <v>1446616800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1"/>
        <v>178.22388059701493</v>
      </c>
      <c r="G983" t="s">
        <v>20</v>
      </c>
      <c r="H983" s="5">
        <f t="shared" si="90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8">
        <f t="shared" si="92"/>
        <v>43094.25</v>
      </c>
      <c r="N983">
        <v>1517032800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1"/>
        <v>84.930555555555557</v>
      </c>
      <c r="G984" t="s">
        <v>14</v>
      </c>
      <c r="H984" s="5">
        <f t="shared" si="90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8">
        <f t="shared" si="92"/>
        <v>40743.208333333336</v>
      </c>
      <c r="N984">
        <v>1311224400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1"/>
        <v>145.93648334624322</v>
      </c>
      <c r="G985" t="s">
        <v>20</v>
      </c>
      <c r="H985" s="5">
        <f t="shared" si="90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8">
        <f t="shared" si="92"/>
        <v>43681.208333333328</v>
      </c>
      <c r="N985">
        <v>1566190800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1"/>
        <v>152.46153846153848</v>
      </c>
      <c r="G986" t="s">
        <v>20</v>
      </c>
      <c r="H986" s="5">
        <f t="shared" si="90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8">
        <f t="shared" si="92"/>
        <v>43716.208333333328</v>
      </c>
      <c r="N986">
        <v>1570165200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1"/>
        <v>67.129542790152414</v>
      </c>
      <c r="G987" t="s">
        <v>14</v>
      </c>
      <c r="H987" s="5">
        <f t="shared" si="90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8">
        <f t="shared" si="92"/>
        <v>41614.25</v>
      </c>
      <c r="N987">
        <v>1388556000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1"/>
        <v>40.307692307692307</v>
      </c>
      <c r="G988" t="s">
        <v>14</v>
      </c>
      <c r="H988" s="5">
        <f t="shared" si="90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8">
        <f t="shared" si="92"/>
        <v>40638.208333333336</v>
      </c>
      <c r="N988">
        <v>1303189200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1"/>
        <v>216.79032258064518</v>
      </c>
      <c r="G989" t="s">
        <v>20</v>
      </c>
      <c r="H989" s="5">
        <f t="shared" si="90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8">
        <f t="shared" si="92"/>
        <v>42852.208333333328</v>
      </c>
      <c r="N989">
        <v>1494478800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1"/>
        <v>52.117021276595743</v>
      </c>
      <c r="G990" t="s">
        <v>14</v>
      </c>
      <c r="H990" s="5">
        <f t="shared" si="90"/>
        <v>76.546875</v>
      </c>
      <c r="I990">
        <v>64</v>
      </c>
      <c r="J990" t="s">
        <v>21</v>
      </c>
      <c r="K990" t="s">
        <v>22</v>
      </c>
      <c r="L990">
        <v>1478930400</v>
      </c>
      <c r="M990" s="8">
        <f t="shared" si="92"/>
        <v>42686.25</v>
      </c>
      <c r="N990">
        <v>1480744800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1"/>
        <v>499.58333333333337</v>
      </c>
      <c r="G991" t="s">
        <v>20</v>
      </c>
      <c r="H991" s="5">
        <f t="shared" si="90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8">
        <f t="shared" si="92"/>
        <v>43571.208333333328</v>
      </c>
      <c r="N991">
        <v>1555822800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1"/>
        <v>87.679487179487182</v>
      </c>
      <c r="G992" t="s">
        <v>14</v>
      </c>
      <c r="H992" s="5">
        <f t="shared" si="90"/>
        <v>106.859375</v>
      </c>
      <c r="I992">
        <v>64</v>
      </c>
      <c r="J992" t="s">
        <v>21</v>
      </c>
      <c r="K992" t="s">
        <v>22</v>
      </c>
      <c r="L992">
        <v>1456984800</v>
      </c>
      <c r="M992" s="8">
        <f t="shared" si="92"/>
        <v>42432.25</v>
      </c>
      <c r="N992">
        <v>1458882000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1"/>
        <v>113.17346938775511</v>
      </c>
      <c r="G993" t="s">
        <v>20</v>
      </c>
      <c r="H993" s="5">
        <f t="shared" si="90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8">
        <f t="shared" si="92"/>
        <v>41907.208333333336</v>
      </c>
      <c r="N993">
        <v>1411966800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1"/>
        <v>426.54838709677421</v>
      </c>
      <c r="G994" t="s">
        <v>20</v>
      </c>
      <c r="H994" s="5">
        <f t="shared" si="90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8">
        <f t="shared" si="92"/>
        <v>43227.208333333328</v>
      </c>
      <c r="N994">
        <v>1526878800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1"/>
        <v>77.632653061224488</v>
      </c>
      <c r="G995" t="s">
        <v>74</v>
      </c>
      <c r="H995" s="5">
        <f t="shared" si="90"/>
        <v>101.44</v>
      </c>
      <c r="I995">
        <v>75</v>
      </c>
      <c r="J995" t="s">
        <v>107</v>
      </c>
      <c r="K995" t="s">
        <v>108</v>
      </c>
      <c r="L995">
        <v>1450936800</v>
      </c>
      <c r="M995" s="8">
        <f t="shared" si="92"/>
        <v>42362.25</v>
      </c>
      <c r="N995">
        <v>1452405600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1"/>
        <v>52.496810772501767</v>
      </c>
      <c r="G996" t="s">
        <v>14</v>
      </c>
      <c r="H996" s="5">
        <f t="shared" si="90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8">
        <f t="shared" si="92"/>
        <v>41929.208333333336</v>
      </c>
      <c r="N996">
        <v>1414040400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1"/>
        <v>157.46762589928059</v>
      </c>
      <c r="G997" t="s">
        <v>20</v>
      </c>
      <c r="H997" s="5">
        <f t="shared" si="90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8">
        <f t="shared" si="92"/>
        <v>43408.208333333328</v>
      </c>
      <c r="N997">
        <v>1543816800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1"/>
        <v>72.939393939393938</v>
      </c>
      <c r="G998" t="s">
        <v>14</v>
      </c>
      <c r="H998" s="5">
        <f t="shared" si="90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8">
        <f t="shared" si="92"/>
        <v>41276.25</v>
      </c>
      <c r="N998">
        <v>1359698400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1"/>
        <v>60.565789473684205</v>
      </c>
      <c r="G999" t="s">
        <v>74</v>
      </c>
      <c r="H999" s="5">
        <f t="shared" si="90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8">
        <f t="shared" si="92"/>
        <v>41659.25</v>
      </c>
      <c r="N999">
        <v>1390629600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1"/>
        <v>56.791291291291287</v>
      </c>
      <c r="G1000" t="s">
        <v>14</v>
      </c>
      <c r="H1000" s="5">
        <f t="shared" si="90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8">
        <f t="shared" si="92"/>
        <v>40220.25</v>
      </c>
      <c r="N1000">
        <v>1267077600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1"/>
        <v>56.542754275427541</v>
      </c>
      <c r="G1001" t="s">
        <v>74</v>
      </c>
      <c r="H1001" s="5">
        <f t="shared" si="90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8">
        <f t="shared" si="92"/>
        <v>42550.208333333328</v>
      </c>
      <c r="N1001">
        <v>1467781200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R1001" xr:uid="{00000000-0001-0000-0000-000000000000}"/>
  <conditionalFormatting sqref="G2:H1001 S2:T1001">
    <cfRule type="containsText" dxfId="19" priority="2" operator="containsText" text="canceled">
      <formula>NOT(ISERROR(SEARCH("canceled",G2)))</formula>
    </cfRule>
    <cfRule type="containsText" dxfId="18" priority="3" operator="containsText" text="live">
      <formula>NOT(ISERROR(SEARCH("live",G2)))</formula>
    </cfRule>
    <cfRule type="containsText" dxfId="17" priority="4" operator="containsText" text="successful">
      <formula>NOT(ISERROR(SEARCH("successful",G2)))</formula>
    </cfRule>
    <cfRule type="containsText" dxfId="16" priority="6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theme="8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4161-E21E-41A0-A5E5-953A76317C6D}">
  <sheetPr codeName="Sheet1"/>
  <dimension ref="A1:G15"/>
  <sheetViews>
    <sheetView showGridLines="0" workbookViewId="0">
      <selection activeCell="G24" sqref="G2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7" x14ac:dyDescent="0.3">
      <c r="A1" s="6" t="s">
        <v>6</v>
      </c>
      <c r="B1" t="s">
        <v>2034</v>
      </c>
    </row>
    <row r="3" spans="1:7" x14ac:dyDescent="0.3">
      <c r="A3" s="6" t="s">
        <v>2033</v>
      </c>
      <c r="B3" s="6" t="s">
        <v>2035</v>
      </c>
    </row>
    <row r="4" spans="1:7" x14ac:dyDescent="0.3">
      <c r="A4" s="6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7" x14ac:dyDescent="0.3">
      <c r="A5" s="7" t="s">
        <v>2038</v>
      </c>
      <c r="B5" s="17">
        <v>11</v>
      </c>
      <c r="C5" s="17">
        <v>60</v>
      </c>
      <c r="D5" s="17">
        <v>5</v>
      </c>
      <c r="E5" s="17">
        <v>102</v>
      </c>
      <c r="F5" s="17">
        <v>178</v>
      </c>
    </row>
    <row r="6" spans="1:7" x14ac:dyDescent="0.3">
      <c r="A6" s="7" t="s">
        <v>2039</v>
      </c>
      <c r="B6" s="17">
        <v>4</v>
      </c>
      <c r="C6" s="17">
        <v>20</v>
      </c>
      <c r="D6" s="17"/>
      <c r="E6" s="17">
        <v>22</v>
      </c>
      <c r="F6" s="17">
        <v>46</v>
      </c>
    </row>
    <row r="7" spans="1:7" x14ac:dyDescent="0.3">
      <c r="A7" s="7" t="s">
        <v>2040</v>
      </c>
      <c r="B7" s="17">
        <v>1</v>
      </c>
      <c r="C7" s="17">
        <v>23</v>
      </c>
      <c r="D7" s="17">
        <v>3</v>
      </c>
      <c r="E7" s="17">
        <v>21</v>
      </c>
      <c r="F7" s="17">
        <v>48</v>
      </c>
    </row>
    <row r="8" spans="1:7" x14ac:dyDescent="0.3">
      <c r="A8" s="7" t="s">
        <v>2041</v>
      </c>
      <c r="B8" s="17"/>
      <c r="C8" s="17"/>
      <c r="D8" s="17"/>
      <c r="E8" s="17">
        <v>4</v>
      </c>
      <c r="F8" s="17">
        <v>4</v>
      </c>
    </row>
    <row r="9" spans="1:7" x14ac:dyDescent="0.3">
      <c r="A9" s="7" t="s">
        <v>2042</v>
      </c>
      <c r="B9" s="17">
        <v>10</v>
      </c>
      <c r="C9" s="17">
        <v>66</v>
      </c>
      <c r="D9" s="17"/>
      <c r="E9" s="17">
        <v>99</v>
      </c>
      <c r="F9" s="17">
        <v>175</v>
      </c>
    </row>
    <row r="10" spans="1:7" x14ac:dyDescent="0.3">
      <c r="A10" s="7" t="s">
        <v>2043</v>
      </c>
      <c r="B10" s="17">
        <v>4</v>
      </c>
      <c r="C10" s="17">
        <v>11</v>
      </c>
      <c r="D10" s="17">
        <v>1</v>
      </c>
      <c r="E10" s="17">
        <v>26</v>
      </c>
      <c r="F10" s="17">
        <v>42</v>
      </c>
      <c r="G10" s="10">
        <f>GETPIVOTDATA("outcome",$A$3,"Parent Category","photography")/GETPIVOTDATA("outcome",$A$3)</f>
        <v>4.2000000000000003E-2</v>
      </c>
    </row>
    <row r="11" spans="1:7" x14ac:dyDescent="0.3">
      <c r="A11" s="7" t="s">
        <v>2044</v>
      </c>
      <c r="B11" s="17">
        <v>2</v>
      </c>
      <c r="C11" s="17">
        <v>24</v>
      </c>
      <c r="D11" s="17">
        <v>1</v>
      </c>
      <c r="E11" s="17">
        <v>40</v>
      </c>
      <c r="F11" s="17">
        <v>67</v>
      </c>
    </row>
    <row r="12" spans="1:7" x14ac:dyDescent="0.3">
      <c r="A12" s="7" t="s">
        <v>2045</v>
      </c>
      <c r="B12" s="17">
        <v>2</v>
      </c>
      <c r="C12" s="17">
        <v>28</v>
      </c>
      <c r="D12" s="17">
        <v>2</v>
      </c>
      <c r="E12" s="17">
        <v>64</v>
      </c>
      <c r="F12" s="17">
        <v>96</v>
      </c>
      <c r="G12" s="9">
        <f>GETPIVOTDATA("outcome",$A$3,"Parent Category","technology")/GETPIVOTDATA("outcome",$A$3)</f>
        <v>9.6000000000000002E-2</v>
      </c>
    </row>
    <row r="13" spans="1:7" x14ac:dyDescent="0.3">
      <c r="A13" s="7" t="s">
        <v>2046</v>
      </c>
      <c r="B13" s="17">
        <v>23</v>
      </c>
      <c r="C13" s="17">
        <v>132</v>
      </c>
      <c r="D13" s="17">
        <v>2</v>
      </c>
      <c r="E13" s="17">
        <v>187</v>
      </c>
      <c r="F13" s="17">
        <v>344</v>
      </c>
    </row>
    <row r="14" spans="1:7" x14ac:dyDescent="0.3">
      <c r="A14" s="7" t="s">
        <v>2036</v>
      </c>
      <c r="B14" s="17">
        <v>57</v>
      </c>
      <c r="C14" s="17">
        <v>364</v>
      </c>
      <c r="D14" s="17">
        <v>14</v>
      </c>
      <c r="E14" s="17">
        <v>565</v>
      </c>
      <c r="F14" s="17">
        <v>1000</v>
      </c>
    </row>
    <row r="15" spans="1:7" x14ac:dyDescent="0.3">
      <c r="E15" s="1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B144-FFAE-4C8A-B387-71E59B4761EB}">
  <sheetPr codeName="Sheet2"/>
  <dimension ref="A2:F30"/>
  <sheetViews>
    <sheetView showGridLines="0" topLeftCell="A5" workbookViewId="0">
      <selection activeCell="F22" sqref="F2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6.796875" bestFit="1" customWidth="1"/>
    <col min="12" max="12" width="10.8984375" bestFit="1" customWidth="1"/>
  </cols>
  <sheetData>
    <row r="2" spans="1:6" x14ac:dyDescent="0.3">
      <c r="A2" s="6" t="s">
        <v>6</v>
      </c>
      <c r="B2" t="s">
        <v>2034</v>
      </c>
    </row>
    <row r="4" spans="1:6" x14ac:dyDescent="0.3">
      <c r="A4" s="6" t="s">
        <v>2033</v>
      </c>
      <c r="B4" s="6" t="s">
        <v>2035</v>
      </c>
    </row>
    <row r="5" spans="1:6" x14ac:dyDescent="0.3">
      <c r="A5" s="6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3">
      <c r="A6" s="7" t="s">
        <v>2047</v>
      </c>
      <c r="B6" s="17">
        <v>1</v>
      </c>
      <c r="C6" s="17">
        <v>10</v>
      </c>
      <c r="D6" s="17">
        <v>2</v>
      </c>
      <c r="E6" s="17">
        <v>21</v>
      </c>
      <c r="F6" s="17">
        <v>34</v>
      </c>
    </row>
    <row r="7" spans="1:6" x14ac:dyDescent="0.3">
      <c r="A7" s="7" t="s">
        <v>2048</v>
      </c>
      <c r="B7" s="17"/>
      <c r="C7" s="17"/>
      <c r="D7" s="17"/>
      <c r="E7" s="17">
        <v>4</v>
      </c>
      <c r="F7" s="17">
        <v>4</v>
      </c>
    </row>
    <row r="8" spans="1:6" x14ac:dyDescent="0.3">
      <c r="A8" s="7" t="s">
        <v>2049</v>
      </c>
      <c r="B8" s="17">
        <v>4</v>
      </c>
      <c r="C8" s="17">
        <v>21</v>
      </c>
      <c r="D8" s="17">
        <v>1</v>
      </c>
      <c r="E8" s="17">
        <v>34</v>
      </c>
      <c r="F8" s="17">
        <v>60</v>
      </c>
    </row>
    <row r="9" spans="1:6" x14ac:dyDescent="0.3">
      <c r="A9" s="7" t="s">
        <v>2050</v>
      </c>
      <c r="B9" s="17">
        <v>2</v>
      </c>
      <c r="C9" s="17">
        <v>12</v>
      </c>
      <c r="D9" s="17">
        <v>1</v>
      </c>
      <c r="E9" s="17">
        <v>22</v>
      </c>
      <c r="F9" s="17">
        <v>37</v>
      </c>
    </row>
    <row r="10" spans="1:6" x14ac:dyDescent="0.3">
      <c r="A10" s="7" t="s">
        <v>2051</v>
      </c>
      <c r="B10" s="17"/>
      <c r="C10" s="17">
        <v>8</v>
      </c>
      <c r="D10" s="17"/>
      <c r="E10" s="17">
        <v>10</v>
      </c>
      <c r="F10" s="17">
        <v>18</v>
      </c>
    </row>
    <row r="11" spans="1:6" x14ac:dyDescent="0.3">
      <c r="A11" s="7" t="s">
        <v>2052</v>
      </c>
      <c r="B11" s="17">
        <v>1</v>
      </c>
      <c r="C11" s="17">
        <v>7</v>
      </c>
      <c r="D11" s="17"/>
      <c r="E11" s="17">
        <v>9</v>
      </c>
      <c r="F11" s="17">
        <v>17</v>
      </c>
    </row>
    <row r="12" spans="1:6" x14ac:dyDescent="0.3">
      <c r="A12" s="7" t="s">
        <v>2053</v>
      </c>
      <c r="B12" s="17">
        <v>4</v>
      </c>
      <c r="C12" s="17">
        <v>20</v>
      </c>
      <c r="D12" s="17"/>
      <c r="E12" s="17">
        <v>22</v>
      </c>
      <c r="F12" s="17">
        <v>46</v>
      </c>
    </row>
    <row r="13" spans="1:6" x14ac:dyDescent="0.3">
      <c r="A13" s="7" t="s">
        <v>2054</v>
      </c>
      <c r="B13" s="17">
        <v>3</v>
      </c>
      <c r="C13" s="17">
        <v>19</v>
      </c>
      <c r="D13" s="17"/>
      <c r="E13" s="17">
        <v>23</v>
      </c>
      <c r="F13" s="17">
        <v>45</v>
      </c>
    </row>
    <row r="14" spans="1:6" x14ac:dyDescent="0.3">
      <c r="A14" s="7" t="s">
        <v>2055</v>
      </c>
      <c r="B14" s="17">
        <v>1</v>
      </c>
      <c r="C14" s="17">
        <v>6</v>
      </c>
      <c r="D14" s="17"/>
      <c r="E14" s="17">
        <v>10</v>
      </c>
      <c r="F14" s="17">
        <v>17</v>
      </c>
    </row>
    <row r="15" spans="1:6" x14ac:dyDescent="0.3">
      <c r="A15" s="7" t="s">
        <v>2056</v>
      </c>
      <c r="B15" s="17"/>
      <c r="C15" s="17">
        <v>3</v>
      </c>
      <c r="D15" s="17"/>
      <c r="E15" s="17">
        <v>4</v>
      </c>
      <c r="F15" s="17">
        <v>7</v>
      </c>
    </row>
    <row r="16" spans="1:6" x14ac:dyDescent="0.3">
      <c r="A16" s="7" t="s">
        <v>2057</v>
      </c>
      <c r="B16" s="17"/>
      <c r="C16" s="17">
        <v>8</v>
      </c>
      <c r="D16" s="17">
        <v>1</v>
      </c>
      <c r="E16" s="17">
        <v>4</v>
      </c>
      <c r="F16" s="17">
        <v>13</v>
      </c>
    </row>
    <row r="17" spans="1:6" x14ac:dyDescent="0.3">
      <c r="A17" s="7" t="s">
        <v>2058</v>
      </c>
      <c r="B17" s="17">
        <v>1</v>
      </c>
      <c r="C17" s="17">
        <v>6</v>
      </c>
      <c r="D17" s="17">
        <v>1</v>
      </c>
      <c r="E17" s="17">
        <v>13</v>
      </c>
      <c r="F17" s="17">
        <v>21</v>
      </c>
    </row>
    <row r="18" spans="1:6" x14ac:dyDescent="0.3">
      <c r="A18" s="7" t="s">
        <v>2059</v>
      </c>
      <c r="B18" s="17">
        <v>4</v>
      </c>
      <c r="C18" s="17">
        <v>11</v>
      </c>
      <c r="D18" s="17">
        <v>1</v>
      </c>
      <c r="E18" s="17">
        <v>26</v>
      </c>
      <c r="F18" s="17">
        <v>42</v>
      </c>
    </row>
    <row r="19" spans="1:6" x14ac:dyDescent="0.3">
      <c r="A19" s="7" t="s">
        <v>2060</v>
      </c>
      <c r="B19" s="17">
        <v>23</v>
      </c>
      <c r="C19" s="17">
        <v>132</v>
      </c>
      <c r="D19" s="17">
        <v>2</v>
      </c>
      <c r="E19" s="17">
        <v>187</v>
      </c>
      <c r="F19" s="17">
        <v>344</v>
      </c>
    </row>
    <row r="20" spans="1:6" x14ac:dyDescent="0.3">
      <c r="A20" s="7" t="s">
        <v>2061</v>
      </c>
      <c r="B20" s="17"/>
      <c r="C20" s="17">
        <v>4</v>
      </c>
      <c r="D20" s="17"/>
      <c r="E20" s="17">
        <v>4</v>
      </c>
      <c r="F20" s="17">
        <v>8</v>
      </c>
    </row>
    <row r="21" spans="1:6" x14ac:dyDescent="0.3">
      <c r="A21" s="7" t="s">
        <v>2062</v>
      </c>
      <c r="B21" s="17">
        <v>6</v>
      </c>
      <c r="C21" s="17">
        <v>30</v>
      </c>
      <c r="D21" s="17"/>
      <c r="E21" s="17">
        <v>49</v>
      </c>
      <c r="F21" s="17">
        <v>85</v>
      </c>
    </row>
    <row r="22" spans="1:6" x14ac:dyDescent="0.3">
      <c r="A22" s="7" t="s">
        <v>2063</v>
      </c>
      <c r="B22" s="17"/>
      <c r="C22" s="17">
        <v>9</v>
      </c>
      <c r="D22" s="17"/>
      <c r="E22" s="17">
        <v>5</v>
      </c>
      <c r="F22" s="17">
        <v>14</v>
      </c>
    </row>
    <row r="23" spans="1:6" x14ac:dyDescent="0.3">
      <c r="A23" s="7" t="s">
        <v>2064</v>
      </c>
      <c r="B23" s="17">
        <v>1</v>
      </c>
      <c r="C23" s="17">
        <v>5</v>
      </c>
      <c r="D23" s="17">
        <v>1</v>
      </c>
      <c r="E23" s="17">
        <v>9</v>
      </c>
      <c r="F23" s="17">
        <v>16</v>
      </c>
    </row>
    <row r="24" spans="1:6" x14ac:dyDescent="0.3">
      <c r="A24" s="7" t="s">
        <v>2065</v>
      </c>
      <c r="B24" s="17">
        <v>3</v>
      </c>
      <c r="C24" s="17">
        <v>3</v>
      </c>
      <c r="D24" s="17"/>
      <c r="E24" s="17">
        <v>11</v>
      </c>
      <c r="F24" s="17">
        <v>17</v>
      </c>
    </row>
    <row r="25" spans="1:6" x14ac:dyDescent="0.3">
      <c r="A25" s="7" t="s">
        <v>2066</v>
      </c>
      <c r="B25" s="17"/>
      <c r="C25" s="17">
        <v>7</v>
      </c>
      <c r="D25" s="17"/>
      <c r="E25" s="17">
        <v>14</v>
      </c>
      <c r="F25" s="17">
        <v>21</v>
      </c>
    </row>
    <row r="26" spans="1:6" x14ac:dyDescent="0.3">
      <c r="A26" s="7" t="s">
        <v>2067</v>
      </c>
      <c r="B26" s="17">
        <v>1</v>
      </c>
      <c r="C26" s="17">
        <v>15</v>
      </c>
      <c r="D26" s="17">
        <v>2</v>
      </c>
      <c r="E26" s="17">
        <v>17</v>
      </c>
      <c r="F26" s="17">
        <v>35</v>
      </c>
    </row>
    <row r="27" spans="1:6" x14ac:dyDescent="0.3">
      <c r="A27" s="7" t="s">
        <v>2068</v>
      </c>
      <c r="B27" s="17"/>
      <c r="C27" s="17">
        <v>16</v>
      </c>
      <c r="D27" s="17">
        <v>1</v>
      </c>
      <c r="E27" s="17">
        <v>28</v>
      </c>
      <c r="F27" s="17">
        <v>45</v>
      </c>
    </row>
    <row r="28" spans="1:6" x14ac:dyDescent="0.3">
      <c r="A28" s="7" t="s">
        <v>2069</v>
      </c>
      <c r="B28" s="17">
        <v>2</v>
      </c>
      <c r="C28" s="17">
        <v>12</v>
      </c>
      <c r="D28" s="17">
        <v>1</v>
      </c>
      <c r="E28" s="17">
        <v>36</v>
      </c>
      <c r="F28" s="17">
        <v>51</v>
      </c>
    </row>
    <row r="29" spans="1:6" x14ac:dyDescent="0.3">
      <c r="A29" s="7" t="s">
        <v>2070</v>
      </c>
      <c r="B29" s="17"/>
      <c r="C29" s="17"/>
      <c r="D29" s="17"/>
      <c r="E29" s="17">
        <v>3</v>
      </c>
      <c r="F29" s="17">
        <v>3</v>
      </c>
    </row>
    <row r="30" spans="1:6" x14ac:dyDescent="0.3">
      <c r="A30" s="7" t="s">
        <v>2036</v>
      </c>
      <c r="B30" s="17">
        <v>57</v>
      </c>
      <c r="C30" s="17">
        <v>364</v>
      </c>
      <c r="D30" s="17">
        <v>14</v>
      </c>
      <c r="E30" s="17">
        <v>565</v>
      </c>
      <c r="F30" s="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8CF72-6CC0-4DDC-9DCB-61D833ACA9A6}">
  <sheetPr codeName="Sheet4"/>
  <dimension ref="A1:I13"/>
  <sheetViews>
    <sheetView showGridLines="0" workbookViewId="0">
      <selection activeCell="F9" sqref="F9"/>
    </sheetView>
  </sheetViews>
  <sheetFormatPr defaultRowHeight="15.6" x14ac:dyDescent="0.3"/>
  <cols>
    <col min="1" max="1" width="27.3984375" bestFit="1" customWidth="1"/>
    <col min="2" max="2" width="15.8984375" bestFit="1" customWidth="1"/>
    <col min="3" max="3" width="13.296875" bestFit="1" customWidth="1"/>
    <col min="4" max="4" width="15.8984375" bestFit="1" customWidth="1"/>
    <col min="5" max="5" width="12.3984375" bestFit="1" customWidth="1"/>
    <col min="6" max="6" width="18.5" bestFit="1" customWidth="1"/>
    <col min="7" max="7" width="15.796875" bestFit="1" customWidth="1"/>
    <col min="8" max="8" width="18.5" bestFit="1" customWidth="1"/>
  </cols>
  <sheetData>
    <row r="1" spans="1:9" x14ac:dyDescent="0.3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2105</v>
      </c>
      <c r="G1" s="11" t="s">
        <v>2091</v>
      </c>
      <c r="H1" s="11" t="s">
        <v>2092</v>
      </c>
      <c r="I1" s="11"/>
    </row>
    <row r="2" spans="1:9" x14ac:dyDescent="0.3">
      <c r="A2" s="12" t="s">
        <v>2093</v>
      </c>
      <c r="B2">
        <f>COUNTIFS(Crowdfunding!$G$1:$G$1001,"successful",Crowdfunding!$D$1:$D$1001,"&lt;1000")</f>
        <v>30</v>
      </c>
      <c r="C2">
        <f>COUNTIFS(Crowdfunding!$G$1:$G$1001,"failed",Crowdfunding!$D$1:$D$1001,"&lt;1000")</f>
        <v>20</v>
      </c>
      <c r="D2">
        <f>COUNTIFS(Crowdfunding!$G$1:$G$1001,"canceled",Crowdfunding!$D$1:$D$1001,"&lt;1000")</f>
        <v>1</v>
      </c>
      <c r="E2">
        <f>SUM(B2:D2)</f>
        <v>51</v>
      </c>
      <c r="F2" s="9">
        <f>B2/$E2</f>
        <v>0.58823529411764708</v>
      </c>
      <c r="G2" s="9">
        <f t="shared" ref="G2:H13" si="0">C2/$E2</f>
        <v>0.39215686274509803</v>
      </c>
      <c r="H2" s="9">
        <f t="shared" si="0"/>
        <v>1.9607843137254902E-2</v>
      </c>
    </row>
    <row r="3" spans="1:9" x14ac:dyDescent="0.3">
      <c r="A3" s="12" t="s">
        <v>2094</v>
      </c>
      <c r="B3">
        <f>COUNTIFS(Crowdfunding!$G$1:$G$1001,"successful",Crowdfunding!$D$1:$D$1001,"&gt;=1000",Crowdfunding!$D$1:$D$1001,"&lt;4999")</f>
        <v>191</v>
      </c>
      <c r="C3">
        <f>COUNTIFS(Crowdfunding!$G$1:$G$1001,"failed",Crowdfunding!$D$1:$D$1001,"&gt;=1000",Crowdfunding!$D$1:$D$1001,"&lt;4999")</f>
        <v>38</v>
      </c>
      <c r="D3">
        <f>COUNTIFS(Crowdfunding!$G$1:$G$1001,"canceled",Crowdfunding!$D$1:$D$1001,"&gt;=1000",Crowdfunding!$D$1:$D$1001,"&lt;4999")</f>
        <v>2</v>
      </c>
      <c r="E3">
        <f t="shared" ref="E3:E13" si="1">SUM(B3:D3)</f>
        <v>231</v>
      </c>
      <c r="F3" s="9">
        <f t="shared" ref="F3:F13" si="2">B3/$E3</f>
        <v>0.82683982683982682</v>
      </c>
      <c r="G3" s="9">
        <f t="shared" si="0"/>
        <v>0.16450216450216451</v>
      </c>
      <c r="H3" s="9">
        <f t="shared" si="0"/>
        <v>8.658008658008658E-3</v>
      </c>
    </row>
    <row r="4" spans="1:9" x14ac:dyDescent="0.3">
      <c r="A4" s="12" t="s">
        <v>2095</v>
      </c>
      <c r="B4">
        <f>COUNTIFS(Crowdfunding!$G$1:$G$1001,"successful",Crowdfunding!$D$1:$D$1001,"&gt;=5000",Crowdfunding!$D$1:$D$1001,"&lt;9999")</f>
        <v>164</v>
      </c>
      <c r="C4">
        <f>COUNTIFS(Crowdfunding!$G$1:$G$1001,"failed",Crowdfunding!$D$1:$D$1001,"&gt;=5000",Crowdfunding!$D$1:$D$1001,"&lt;9999")</f>
        <v>126</v>
      </c>
      <c r="D4">
        <f>COUNTIFS(Crowdfunding!$G$1:$G$1001,"canceled",Crowdfunding!$D$1:$D$1001,"&gt;=5000",Crowdfunding!$D$1:$D$1001,"&lt;9999")</f>
        <v>25</v>
      </c>
      <c r="E4">
        <f t="shared" si="1"/>
        <v>315</v>
      </c>
      <c r="F4" s="9">
        <f t="shared" si="2"/>
        <v>0.52063492063492067</v>
      </c>
      <c r="G4" s="9">
        <f t="shared" si="0"/>
        <v>0.4</v>
      </c>
      <c r="H4" s="9">
        <f t="shared" si="0"/>
        <v>7.9365079365079361E-2</v>
      </c>
    </row>
    <row r="5" spans="1:9" x14ac:dyDescent="0.3">
      <c r="A5" s="12" t="s">
        <v>2096</v>
      </c>
      <c r="B5">
        <f>COUNTIFS(Crowdfunding!$G$1:$G$1001,"successful",Crowdfunding!$D$1:$D$1001,"&gt;=10000",Crowdfunding!$D$1:$D$1001,"&lt;14999")</f>
        <v>4</v>
      </c>
      <c r="C5">
        <f>COUNTIFS(Crowdfunding!$G$1:$G$1001,"failed",Crowdfunding!$D$1:$D$1001,"&gt;=10000",Crowdfunding!$D$1:$D$1001,"&lt;14999")</f>
        <v>5</v>
      </c>
      <c r="D5">
        <f>COUNTIFS(Crowdfunding!$G$1:$G$1001,"canceled",Crowdfunding!$D$1:$D$1001,"&gt;=10000",Crowdfunding!$D$1:$D$1001,"&lt;14999")</f>
        <v>0</v>
      </c>
      <c r="E5">
        <f t="shared" si="1"/>
        <v>9</v>
      </c>
      <c r="F5" s="9">
        <f t="shared" si="2"/>
        <v>0.44444444444444442</v>
      </c>
      <c r="G5" s="9">
        <f t="shared" si="0"/>
        <v>0.55555555555555558</v>
      </c>
      <c r="H5" s="9">
        <f t="shared" si="0"/>
        <v>0</v>
      </c>
    </row>
    <row r="6" spans="1:9" x14ac:dyDescent="0.3">
      <c r="A6" s="12" t="s">
        <v>2097</v>
      </c>
      <c r="B6">
        <f>COUNTIFS(Crowdfunding!$G$1:$G$1001,"successful",Crowdfunding!$D$1:$D$1001,"&gt;=15000",Crowdfunding!$D$1:$D$1001,"&lt;19999")</f>
        <v>10</v>
      </c>
      <c r="C6">
        <f>COUNTIFS(Crowdfunding!$G$1:$G$1001,"failed",Crowdfunding!$D$1:$D$1001,"&gt;=15000",Crowdfunding!$D$1:$D$1001,"&lt;19999")</f>
        <v>0</v>
      </c>
      <c r="D6">
        <f>COUNTIFS(Crowdfunding!$G$1:$G$1001,"canceled",Crowdfunding!$D$1:$D$1001,"&gt;=15000",Crowdfunding!$D$1:$D$1001,"&lt;19999")</f>
        <v>0</v>
      </c>
      <c r="E6">
        <f t="shared" si="1"/>
        <v>10</v>
      </c>
      <c r="F6" s="9">
        <f t="shared" si="2"/>
        <v>1</v>
      </c>
      <c r="G6" s="9">
        <f t="shared" si="0"/>
        <v>0</v>
      </c>
      <c r="H6" s="9">
        <f t="shared" si="0"/>
        <v>0</v>
      </c>
    </row>
    <row r="7" spans="1:9" x14ac:dyDescent="0.3">
      <c r="A7" s="12" t="s">
        <v>2098</v>
      </c>
      <c r="B7">
        <f>COUNTIFS(Crowdfunding!$G$1:$G$1001,"successful",Crowdfunding!$D$1:$D$1001,"&gt;=20000",Crowdfunding!$D$1:$D$1001,"&lt;24999")</f>
        <v>7</v>
      </c>
      <c r="C7">
        <f>COUNTIFS(Crowdfunding!$G$1:$G$1001,"failed",Crowdfunding!$D$1:$D$1001,"&gt;=20000",Crowdfunding!$D$1:$D$1001,"&lt;24999")</f>
        <v>0</v>
      </c>
      <c r="D7">
        <f>COUNTIFS(Crowdfunding!$G$1:$G$1001,"canceled",Crowdfunding!$D$1:$D$1001,"&gt;=20000",Crowdfunding!$D$1:$D$1001,"&lt;24999")</f>
        <v>0</v>
      </c>
      <c r="E7">
        <f t="shared" si="1"/>
        <v>7</v>
      </c>
      <c r="F7" s="9">
        <f t="shared" si="2"/>
        <v>1</v>
      </c>
      <c r="G7" s="9">
        <f t="shared" si="0"/>
        <v>0</v>
      </c>
      <c r="H7" s="9">
        <f t="shared" si="0"/>
        <v>0</v>
      </c>
    </row>
    <row r="8" spans="1:9" x14ac:dyDescent="0.3">
      <c r="A8" s="12" t="s">
        <v>2099</v>
      </c>
      <c r="B8">
        <f>COUNTIFS(Crowdfunding!$G$1:$G$1001,"successful",Crowdfunding!$D$1:$D$1001,"&gt;=25000",Crowdfunding!$D$1:$D$1001,"&lt;29999")</f>
        <v>11</v>
      </c>
      <c r="C8">
        <f>COUNTIFS(Crowdfunding!$G$1:$G$1001,"failed",Crowdfunding!$D$1:$D$1001,"&gt;=25000",Crowdfunding!$D$1:$D$1001,"&lt;29999")</f>
        <v>3</v>
      </c>
      <c r="D8">
        <f>COUNTIFS(Crowdfunding!$G$1:$G$1001,"canceled",Crowdfunding!$D$1:$D$1001,"&gt;=25000",Crowdfunding!$D$1:$D$1001,"&lt;29999")</f>
        <v>0</v>
      </c>
      <c r="E8">
        <f t="shared" si="1"/>
        <v>14</v>
      </c>
      <c r="F8" s="9">
        <f t="shared" si="2"/>
        <v>0.7857142857142857</v>
      </c>
      <c r="G8" s="9">
        <f t="shared" si="0"/>
        <v>0.21428571428571427</v>
      </c>
      <c r="H8" s="9">
        <f t="shared" si="0"/>
        <v>0</v>
      </c>
    </row>
    <row r="9" spans="1:9" x14ac:dyDescent="0.3">
      <c r="A9" s="12" t="s">
        <v>2100</v>
      </c>
      <c r="B9">
        <f>COUNTIFS(Crowdfunding!$G$1:$G$1001,"successful",Crowdfunding!$D$1:$D$1001,"&gt;=30000",Crowdfunding!$D$1:$D$1001,"&lt;34999")</f>
        <v>7</v>
      </c>
      <c r="C9">
        <f>COUNTIFS(Crowdfunding!$G$1:$G$1001,"failed",Crowdfunding!$D$1:$D$1001,"&gt;=30000",Crowdfunding!$D$1:$D$1001,"&lt;34999")</f>
        <v>0</v>
      </c>
      <c r="D9">
        <f>COUNTIFS(Crowdfunding!$G$1:$G$1001,"canceled",Crowdfunding!$D$1:$D$1001,"&gt;=30000",Crowdfunding!$D$1:$D$1001,"&lt;34999")</f>
        <v>0</v>
      </c>
      <c r="E9">
        <f t="shared" si="1"/>
        <v>7</v>
      </c>
      <c r="F9" s="9">
        <f t="shared" si="2"/>
        <v>1</v>
      </c>
      <c r="G9" s="9">
        <f t="shared" si="0"/>
        <v>0</v>
      </c>
      <c r="H9" s="9">
        <f t="shared" si="0"/>
        <v>0</v>
      </c>
    </row>
    <row r="10" spans="1:9" x14ac:dyDescent="0.3">
      <c r="A10" s="12" t="s">
        <v>2101</v>
      </c>
      <c r="B10">
        <f>COUNTIFS(Crowdfunding!$G$1:$G$1001,"successful",Crowdfunding!$D$1:$D$1001,"&gt;=35000",Crowdfunding!$D$1:$D$1001,"&lt;39999")</f>
        <v>8</v>
      </c>
      <c r="C10">
        <f>COUNTIFS(Crowdfunding!$G$1:$G$1001,"failed",Crowdfunding!$D$1:$D$1001,"&gt;=35000",Crowdfunding!$D$1:$D$1001,"&lt;39999")</f>
        <v>3</v>
      </c>
      <c r="D10">
        <f>COUNTIFS(Crowdfunding!$G$1:$G$1001,"canceled",Crowdfunding!$D$1:$D$1001,"&gt;=35000",Crowdfunding!$D$1:$D$1001,"&lt;39999")</f>
        <v>1</v>
      </c>
      <c r="E10">
        <f t="shared" si="1"/>
        <v>12</v>
      </c>
      <c r="F10" s="9">
        <f t="shared" si="2"/>
        <v>0.66666666666666663</v>
      </c>
      <c r="G10" s="9">
        <f t="shared" si="0"/>
        <v>0.25</v>
      </c>
      <c r="H10" s="9">
        <f t="shared" si="0"/>
        <v>8.3333333333333329E-2</v>
      </c>
    </row>
    <row r="11" spans="1:9" x14ac:dyDescent="0.3">
      <c r="A11" s="12" t="s">
        <v>2102</v>
      </c>
      <c r="B11">
        <f>COUNTIFS(Crowdfunding!$G$1:$G$1001,"successful",Crowdfunding!$D$1:$D$1001,"&gt;=40000",Crowdfunding!$D$1:$D$1001,"&lt;44999")</f>
        <v>11</v>
      </c>
      <c r="C11">
        <f>COUNTIFS(Crowdfunding!$G$1:$G$1001,"failed",Crowdfunding!$D$1:$D$1001,"&gt;=40000",Crowdfunding!$D$1:$D$1001,"&lt;44999")</f>
        <v>3</v>
      </c>
      <c r="D11">
        <f>COUNTIFS(Crowdfunding!$G$1:$G$1001,"canceled",Crowdfunding!$D$1:$D$1001,"&gt;=40000",Crowdfunding!$D$1:$D$1001,"&lt;44999")</f>
        <v>0</v>
      </c>
      <c r="E11">
        <f t="shared" si="1"/>
        <v>14</v>
      </c>
      <c r="F11" s="9">
        <f t="shared" si="2"/>
        <v>0.7857142857142857</v>
      </c>
      <c r="G11" s="9">
        <f t="shared" si="0"/>
        <v>0.21428571428571427</v>
      </c>
      <c r="H11" s="9">
        <f t="shared" si="0"/>
        <v>0</v>
      </c>
    </row>
    <row r="12" spans="1:9" x14ac:dyDescent="0.3">
      <c r="A12" s="12" t="s">
        <v>2103</v>
      </c>
      <c r="B12">
        <f>COUNTIFS(Crowdfunding!$G$1:$G$1001,"successful",Crowdfunding!$D$1:$D$1001,"&gt;=45000",Crowdfunding!$D$1:$D$1001,"&lt;49999")</f>
        <v>8</v>
      </c>
      <c r="C12">
        <f>COUNTIFS(Crowdfunding!$G$1:$G$1001,"failed",Crowdfunding!$D$1:$D$1001,"&gt;=45000",Crowdfunding!$D$1:$D$1001,"&lt;49999")</f>
        <v>3</v>
      </c>
      <c r="D12">
        <f>COUNTIFS(Crowdfunding!$G$1:$G$1001,"canceled",Crowdfunding!$D$1:$D$1001,"&gt;=45000",Crowdfunding!$D$1:$D$1001,"&lt;49999")</f>
        <v>0</v>
      </c>
      <c r="E12">
        <f t="shared" si="1"/>
        <v>11</v>
      </c>
      <c r="F12" s="9">
        <f t="shared" si="2"/>
        <v>0.72727272727272729</v>
      </c>
      <c r="G12" s="9">
        <f t="shared" si="0"/>
        <v>0.27272727272727271</v>
      </c>
      <c r="H12" s="9">
        <f t="shared" si="0"/>
        <v>0</v>
      </c>
    </row>
    <row r="13" spans="1:9" x14ac:dyDescent="0.3">
      <c r="A13" s="12" t="s">
        <v>2104</v>
      </c>
      <c r="B13">
        <f>COUNTIFS(Crowdfunding!$G$1:$G$1001,"successful",Crowdfunding!$D$1:$D$1001,"&gt;50000")</f>
        <v>114</v>
      </c>
      <c r="C13">
        <f>COUNTIFS(Crowdfunding!$G$1:$G$1001,"failed",Crowdfunding!$D$1:$D$1001,"&gt;50000")</f>
        <v>163</v>
      </c>
      <c r="D13">
        <f>COUNTIFS(Crowdfunding!$G$1:$G$1001,"canceled",Crowdfunding!$D$1:$D$1001,"&gt;50000")</f>
        <v>28</v>
      </c>
      <c r="E13">
        <f t="shared" si="1"/>
        <v>305</v>
      </c>
      <c r="F13" s="9">
        <f t="shared" si="2"/>
        <v>0.3737704918032787</v>
      </c>
      <c r="G13" s="9">
        <f t="shared" si="0"/>
        <v>0.53442622950819674</v>
      </c>
      <c r="H13" s="9">
        <f t="shared" si="0"/>
        <v>9.1803278688524587E-2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8FAC-394A-48CB-9F2D-59136AD731D2}">
  <sheetPr codeName="Sheet6"/>
  <dimension ref="A1:L566"/>
  <sheetViews>
    <sheetView showGridLines="0" tabSelected="1" workbookViewId="0">
      <selection activeCell="K29" sqref="K29"/>
    </sheetView>
  </sheetViews>
  <sheetFormatPr defaultRowHeight="15.6" x14ac:dyDescent="0.3"/>
  <cols>
    <col min="4" max="4" width="18.796875" bestFit="1" customWidth="1"/>
    <col min="5" max="5" width="12.59765625" bestFit="1" customWidth="1"/>
    <col min="8" max="8" width="13.19921875" bestFit="1" customWidth="1"/>
    <col min="10" max="10" width="17.19921875" bestFit="1" customWidth="1"/>
  </cols>
  <sheetData>
    <row r="1" spans="1:12" x14ac:dyDescent="0.3">
      <c r="A1" s="11" t="s">
        <v>4</v>
      </c>
      <c r="B1" s="11" t="s">
        <v>5</v>
      </c>
      <c r="C1" s="11"/>
      <c r="G1" s="11" t="s">
        <v>4</v>
      </c>
      <c r="H1" s="11" t="s">
        <v>5</v>
      </c>
    </row>
    <row r="2" spans="1:12" x14ac:dyDescent="0.3">
      <c r="A2" t="s">
        <v>20</v>
      </c>
      <c r="B2">
        <v>158</v>
      </c>
      <c r="D2" s="16" t="s">
        <v>2106</v>
      </c>
      <c r="E2" s="16"/>
      <c r="G2" t="s">
        <v>14</v>
      </c>
      <c r="H2">
        <v>0</v>
      </c>
      <c r="J2" s="16" t="s">
        <v>2113</v>
      </c>
      <c r="K2" s="16"/>
    </row>
    <row r="3" spans="1:12" x14ac:dyDescent="0.3">
      <c r="A3" t="s">
        <v>20</v>
      </c>
      <c r="B3">
        <v>1425</v>
      </c>
      <c r="D3" t="s">
        <v>2107</v>
      </c>
      <c r="E3" s="13">
        <f>AVERAGE(B2:B566)</f>
        <v>851.14690265486729</v>
      </c>
      <c r="G3" t="s">
        <v>14</v>
      </c>
      <c r="H3">
        <v>24</v>
      </c>
      <c r="J3" t="s">
        <v>2107</v>
      </c>
      <c r="K3" s="13">
        <f>AVERAGE(H2:H566)</f>
        <v>585.61538461538464</v>
      </c>
    </row>
    <row r="4" spans="1:12" x14ac:dyDescent="0.3">
      <c r="A4" t="s">
        <v>20</v>
      </c>
      <c r="B4">
        <v>174</v>
      </c>
      <c r="D4" t="s">
        <v>2108</v>
      </c>
      <c r="E4" s="13">
        <f>MEDIAN(B2:B566)</f>
        <v>201</v>
      </c>
      <c r="G4" t="s">
        <v>14</v>
      </c>
      <c r="H4">
        <v>53</v>
      </c>
      <c r="J4" t="s">
        <v>2108</v>
      </c>
      <c r="K4" s="13">
        <f>MEDIAN(H2:H566)</f>
        <v>114.5</v>
      </c>
    </row>
    <row r="5" spans="1:12" x14ac:dyDescent="0.3">
      <c r="A5" t="s">
        <v>20</v>
      </c>
      <c r="B5">
        <v>227</v>
      </c>
      <c r="D5" t="s">
        <v>2109</v>
      </c>
      <c r="E5" s="13">
        <f>MIN(B2:B566)</f>
        <v>16</v>
      </c>
      <c r="F5" t="s">
        <v>2121</v>
      </c>
      <c r="G5" t="s">
        <v>14</v>
      </c>
      <c r="H5">
        <v>18</v>
      </c>
      <c r="J5" t="s">
        <v>2109</v>
      </c>
      <c r="K5" s="14">
        <f>MIN(H2:H566)</f>
        <v>0</v>
      </c>
      <c r="L5" t="s">
        <v>2121</v>
      </c>
    </row>
    <row r="6" spans="1:12" x14ac:dyDescent="0.3">
      <c r="A6" t="s">
        <v>20</v>
      </c>
      <c r="B6">
        <v>220</v>
      </c>
      <c r="D6" t="s">
        <v>2110</v>
      </c>
      <c r="E6" s="13">
        <f>MAX(B2:B566)</f>
        <v>7295</v>
      </c>
      <c r="F6">
        <f>(E6-E3)/E8</f>
        <v>5.0889507621695467</v>
      </c>
      <c r="G6" t="s">
        <v>14</v>
      </c>
      <c r="H6">
        <v>44</v>
      </c>
      <c r="J6" t="s">
        <v>2110</v>
      </c>
      <c r="K6" s="13">
        <f>MAX(H2:H566)</f>
        <v>6080</v>
      </c>
      <c r="L6">
        <f>(K6-K3)/K8</f>
        <v>5.7233959249957476</v>
      </c>
    </row>
    <row r="7" spans="1:12" x14ac:dyDescent="0.3">
      <c r="A7" t="s">
        <v>20</v>
      </c>
      <c r="B7">
        <v>98</v>
      </c>
      <c r="D7" t="s">
        <v>2111</v>
      </c>
      <c r="E7" s="13">
        <f>VARP(B2:B566)</f>
        <v>1603373.7324019109</v>
      </c>
      <c r="G7" t="s">
        <v>14</v>
      </c>
      <c r="H7">
        <v>27</v>
      </c>
      <c r="J7" t="s">
        <v>2111</v>
      </c>
      <c r="K7" s="13">
        <f>VARP(H2:H566)</f>
        <v>921574.68174133555</v>
      </c>
    </row>
    <row r="8" spans="1:12" x14ac:dyDescent="0.3">
      <c r="A8" t="s">
        <v>20</v>
      </c>
      <c r="B8">
        <v>100</v>
      </c>
      <c r="D8" t="s">
        <v>2112</v>
      </c>
      <c r="E8" s="13">
        <f>_xlfn.STDEV.P(B2:B566)</f>
        <v>1266.2439466397898</v>
      </c>
      <c r="G8" t="s">
        <v>14</v>
      </c>
      <c r="H8">
        <v>55</v>
      </c>
      <c r="J8" t="s">
        <v>2112</v>
      </c>
      <c r="K8" s="13">
        <f>_xlfn.STDEV.P(H2:H566)</f>
        <v>959.98681331637863</v>
      </c>
    </row>
    <row r="9" spans="1:12" x14ac:dyDescent="0.3">
      <c r="A9" t="s">
        <v>20</v>
      </c>
      <c r="B9">
        <v>1249</v>
      </c>
      <c r="D9" t="s">
        <v>2114</v>
      </c>
      <c r="E9">
        <f>COUNT(B2:B566)</f>
        <v>565</v>
      </c>
      <c r="G9" t="s">
        <v>14</v>
      </c>
      <c r="H9">
        <v>200</v>
      </c>
      <c r="J9" t="s">
        <v>2114</v>
      </c>
      <c r="K9">
        <f>COUNT(H2:H566)</f>
        <v>364</v>
      </c>
    </row>
    <row r="10" spans="1:12" x14ac:dyDescent="0.3">
      <c r="A10" t="s">
        <v>20</v>
      </c>
      <c r="B10">
        <v>1396</v>
      </c>
      <c r="D10" t="s">
        <v>2115</v>
      </c>
      <c r="E10">
        <v>85</v>
      </c>
      <c r="F10" s="9">
        <f>E10/E9</f>
        <v>0.15044247787610621</v>
      </c>
      <c r="G10" t="s">
        <v>14</v>
      </c>
      <c r="H10">
        <v>452</v>
      </c>
      <c r="J10" t="s">
        <v>2115</v>
      </c>
      <c r="K10">
        <v>45</v>
      </c>
      <c r="L10" s="9">
        <f>K10/K9</f>
        <v>0.12362637362637363</v>
      </c>
    </row>
    <row r="11" spans="1:12" x14ac:dyDescent="0.3">
      <c r="A11" t="s">
        <v>20</v>
      </c>
      <c r="B11">
        <v>890</v>
      </c>
      <c r="G11" t="s">
        <v>14</v>
      </c>
      <c r="H11">
        <v>674</v>
      </c>
    </row>
    <row r="12" spans="1:12" x14ac:dyDescent="0.3">
      <c r="A12" t="s">
        <v>20</v>
      </c>
      <c r="B12">
        <v>142</v>
      </c>
      <c r="D12" t="s">
        <v>2116</v>
      </c>
      <c r="E12" s="15">
        <f>E8+E3</f>
        <v>2117.3908492946571</v>
      </c>
      <c r="G12" t="s">
        <v>14</v>
      </c>
      <c r="H12">
        <v>558</v>
      </c>
      <c r="K12" s="15">
        <f>K8+K3</f>
        <v>1545.6021979317634</v>
      </c>
    </row>
    <row r="13" spans="1:12" x14ac:dyDescent="0.3">
      <c r="A13" t="s">
        <v>20</v>
      </c>
      <c r="B13">
        <v>2673</v>
      </c>
      <c r="E13" s="15">
        <f>E3-E8</f>
        <v>-415.09704398492249</v>
      </c>
      <c r="G13" t="s">
        <v>14</v>
      </c>
      <c r="H13">
        <v>15</v>
      </c>
      <c r="K13" s="15">
        <f>K3-K8</f>
        <v>-374.37142870099399</v>
      </c>
    </row>
    <row r="14" spans="1:12" x14ac:dyDescent="0.3">
      <c r="A14" t="s">
        <v>20</v>
      </c>
      <c r="B14">
        <v>163</v>
      </c>
      <c r="G14" t="s">
        <v>14</v>
      </c>
      <c r="H14">
        <v>2307</v>
      </c>
    </row>
    <row r="15" spans="1:12" x14ac:dyDescent="0.3">
      <c r="A15" t="s">
        <v>20</v>
      </c>
      <c r="B15">
        <v>2220</v>
      </c>
      <c r="D15" t="s">
        <v>2117</v>
      </c>
      <c r="E15" s="15">
        <f>(E8*2)+E3</f>
        <v>3383.6347959344466</v>
      </c>
      <c r="G15" t="s">
        <v>14</v>
      </c>
      <c r="H15">
        <v>88</v>
      </c>
      <c r="J15" t="s">
        <v>2117</v>
      </c>
      <c r="K15" s="15">
        <f>(K8*2)+K3</f>
        <v>2505.589011248142</v>
      </c>
    </row>
    <row r="16" spans="1:12" x14ac:dyDescent="0.3">
      <c r="A16" t="s">
        <v>20</v>
      </c>
      <c r="B16">
        <v>1606</v>
      </c>
      <c r="D16" t="s">
        <v>2119</v>
      </c>
      <c r="E16">
        <v>30</v>
      </c>
      <c r="F16" s="9">
        <f>E16/E9</f>
        <v>5.3097345132743362E-2</v>
      </c>
      <c r="G16" t="s">
        <v>14</v>
      </c>
      <c r="H16">
        <v>48</v>
      </c>
      <c r="J16" t="s">
        <v>2119</v>
      </c>
      <c r="K16">
        <v>30</v>
      </c>
      <c r="L16" s="9">
        <f>K16/K9</f>
        <v>8.2417582417582416E-2</v>
      </c>
    </row>
    <row r="17" spans="1:12" x14ac:dyDescent="0.3">
      <c r="A17" t="s">
        <v>20</v>
      </c>
      <c r="B17">
        <v>129</v>
      </c>
      <c r="D17" t="s">
        <v>2118</v>
      </c>
      <c r="E17" s="15">
        <f>(E8*3)+E3</f>
        <v>4649.8787425742366</v>
      </c>
      <c r="G17" t="s">
        <v>14</v>
      </c>
      <c r="H17">
        <v>1</v>
      </c>
      <c r="J17" t="s">
        <v>2118</v>
      </c>
      <c r="K17" s="15">
        <f>(K8*3)+K3</f>
        <v>3465.5758245645206</v>
      </c>
    </row>
    <row r="18" spans="1:12" x14ac:dyDescent="0.3">
      <c r="A18" t="s">
        <v>20</v>
      </c>
      <c r="B18">
        <v>226</v>
      </c>
      <c r="D18" t="s">
        <v>2120</v>
      </c>
      <c r="E18">
        <v>14</v>
      </c>
      <c r="F18" s="9">
        <f>E18/E9</f>
        <v>2.4778761061946902E-2</v>
      </c>
      <c r="G18" t="s">
        <v>14</v>
      </c>
      <c r="H18">
        <v>1467</v>
      </c>
      <c r="J18" t="s">
        <v>2120</v>
      </c>
      <c r="K18">
        <v>14</v>
      </c>
      <c r="L18" s="9">
        <f>K18/K9</f>
        <v>3.8461538461538464E-2</v>
      </c>
    </row>
    <row r="19" spans="1:12" x14ac:dyDescent="0.3">
      <c r="A19" t="s">
        <v>20</v>
      </c>
      <c r="B19">
        <v>5419</v>
      </c>
      <c r="G19" t="s">
        <v>14</v>
      </c>
      <c r="H19">
        <v>75</v>
      </c>
    </row>
    <row r="20" spans="1:12" x14ac:dyDescent="0.3">
      <c r="A20" t="s">
        <v>20</v>
      </c>
      <c r="B20">
        <v>165</v>
      </c>
      <c r="D20" s="11" t="s">
        <v>2134</v>
      </c>
      <c r="E20">
        <f>_xlfn.QUARTILE.EXC(B$1:B$566,1)</f>
        <v>127.5</v>
      </c>
      <c r="G20" t="s">
        <v>14</v>
      </c>
      <c r="H20">
        <v>120</v>
      </c>
      <c r="J20" s="11" t="s">
        <v>2134</v>
      </c>
      <c r="K20">
        <f>_xlfn.QUARTILE.EXC(H$1:H$566,1)</f>
        <v>38</v>
      </c>
    </row>
    <row r="21" spans="1:12" x14ac:dyDescent="0.3">
      <c r="A21" t="s">
        <v>20</v>
      </c>
      <c r="B21">
        <v>1965</v>
      </c>
      <c r="D21" s="11" t="s">
        <v>2135</v>
      </c>
      <c r="E21">
        <f>_xlfn.QUARTILE.EXC(B$1:B$566,2)</f>
        <v>201</v>
      </c>
      <c r="G21" t="s">
        <v>14</v>
      </c>
      <c r="H21">
        <v>2253</v>
      </c>
      <c r="J21" s="11" t="s">
        <v>2135</v>
      </c>
      <c r="K21">
        <f>_xlfn.QUARTILE.EXC(H$1:H$566,2)</f>
        <v>114.5</v>
      </c>
    </row>
    <row r="22" spans="1:12" x14ac:dyDescent="0.3">
      <c r="A22" t="s">
        <v>20</v>
      </c>
      <c r="B22">
        <v>16</v>
      </c>
      <c r="D22" s="11" t="s">
        <v>2136</v>
      </c>
      <c r="E22">
        <f>_xlfn.QUARTILE.EXC(B$1:B$566,3)</f>
        <v>1288.5</v>
      </c>
      <c r="G22" t="s">
        <v>14</v>
      </c>
      <c r="H22">
        <v>5</v>
      </c>
      <c r="J22" s="11" t="s">
        <v>2136</v>
      </c>
      <c r="K22">
        <f>_xlfn.QUARTILE.EXC(H$1:H$566,3)</f>
        <v>789.5</v>
      </c>
    </row>
    <row r="23" spans="1:12" x14ac:dyDescent="0.3">
      <c r="A23" t="s">
        <v>20</v>
      </c>
      <c r="B23">
        <v>107</v>
      </c>
      <c r="D23" s="11" t="s">
        <v>2137</v>
      </c>
      <c r="E23">
        <f>E22-E20</f>
        <v>1161</v>
      </c>
      <c r="G23" t="s">
        <v>14</v>
      </c>
      <c r="H23">
        <v>38</v>
      </c>
      <c r="J23" s="11" t="s">
        <v>2137</v>
      </c>
      <c r="K23">
        <f>K22-K20</f>
        <v>751.5</v>
      </c>
    </row>
    <row r="24" spans="1:12" x14ac:dyDescent="0.3">
      <c r="A24" t="s">
        <v>20</v>
      </c>
      <c r="B24">
        <v>134</v>
      </c>
      <c r="G24" t="s">
        <v>14</v>
      </c>
      <c r="H24">
        <v>12</v>
      </c>
    </row>
    <row r="25" spans="1:12" x14ac:dyDescent="0.3">
      <c r="A25" t="s">
        <v>20</v>
      </c>
      <c r="B25">
        <v>198</v>
      </c>
      <c r="D25" s="11" t="s">
        <v>2138</v>
      </c>
      <c r="E25">
        <f>E20-(1.5*E23)</f>
        <v>-1614</v>
      </c>
      <c r="G25" t="s">
        <v>14</v>
      </c>
      <c r="H25">
        <v>1684</v>
      </c>
      <c r="J25" s="11" t="s">
        <v>2138</v>
      </c>
      <c r="K25">
        <f>K20-(1.5*K23)</f>
        <v>-1089.25</v>
      </c>
    </row>
    <row r="26" spans="1:12" x14ac:dyDescent="0.3">
      <c r="A26" t="s">
        <v>20</v>
      </c>
      <c r="B26">
        <v>111</v>
      </c>
      <c r="D26" s="11" t="s">
        <v>2139</v>
      </c>
      <c r="E26">
        <f>E22+(1.5*E23)</f>
        <v>3030</v>
      </c>
      <c r="G26" t="s">
        <v>14</v>
      </c>
      <c r="H26">
        <v>56</v>
      </c>
      <c r="J26" s="11" t="s">
        <v>2139</v>
      </c>
      <c r="K26">
        <f>K22+(1.5*K23)</f>
        <v>1916.75</v>
      </c>
    </row>
    <row r="27" spans="1:12" x14ac:dyDescent="0.3">
      <c r="A27" t="s">
        <v>20</v>
      </c>
      <c r="B27">
        <v>222</v>
      </c>
      <c r="G27" t="s">
        <v>14</v>
      </c>
      <c r="H27">
        <v>838</v>
      </c>
    </row>
    <row r="28" spans="1:12" x14ac:dyDescent="0.3">
      <c r="A28" t="s">
        <v>20</v>
      </c>
      <c r="B28">
        <v>6212</v>
      </c>
      <c r="D28" s="11" t="s">
        <v>2140</v>
      </c>
      <c r="E28">
        <f>COUNTIF(B1:B566,"&gt;3030")</f>
        <v>41</v>
      </c>
      <c r="G28" t="s">
        <v>14</v>
      </c>
      <c r="H28">
        <v>1000</v>
      </c>
      <c r="J28" s="11" t="s">
        <v>2140</v>
      </c>
      <c r="K28">
        <f>COUNTIF(H1:H566,"&gt;1916.75")</f>
        <v>31</v>
      </c>
    </row>
    <row r="29" spans="1:12" x14ac:dyDescent="0.3">
      <c r="A29" t="s">
        <v>20</v>
      </c>
      <c r="B29">
        <v>98</v>
      </c>
      <c r="D29" s="11" t="s">
        <v>2141</v>
      </c>
      <c r="E29" s="10">
        <f>E28/E9</f>
        <v>7.2566371681415928E-2</v>
      </c>
      <c r="G29" t="s">
        <v>14</v>
      </c>
      <c r="H29">
        <v>1482</v>
      </c>
      <c r="J29" s="11" t="s">
        <v>2141</v>
      </c>
      <c r="K29" s="10">
        <f>K28/K9</f>
        <v>8.5164835164835168E-2</v>
      </c>
    </row>
    <row r="30" spans="1:12" x14ac:dyDescent="0.3">
      <c r="A30" t="s">
        <v>20</v>
      </c>
      <c r="B30">
        <v>92</v>
      </c>
      <c r="G30" t="s">
        <v>14</v>
      </c>
      <c r="H30">
        <v>106</v>
      </c>
    </row>
    <row r="31" spans="1:12" x14ac:dyDescent="0.3">
      <c r="A31" t="s">
        <v>20</v>
      </c>
      <c r="B31">
        <v>149</v>
      </c>
      <c r="G31" t="s">
        <v>14</v>
      </c>
      <c r="H31">
        <v>679</v>
      </c>
    </row>
    <row r="32" spans="1:12" x14ac:dyDescent="0.3">
      <c r="A32" t="s">
        <v>20</v>
      </c>
      <c r="B32">
        <v>2431</v>
      </c>
      <c r="G32" t="s">
        <v>14</v>
      </c>
      <c r="H32">
        <v>1220</v>
      </c>
    </row>
    <row r="33" spans="1:8" x14ac:dyDescent="0.3">
      <c r="A33" t="s">
        <v>20</v>
      </c>
      <c r="B33">
        <v>303</v>
      </c>
      <c r="G33" t="s">
        <v>14</v>
      </c>
      <c r="H33">
        <v>1</v>
      </c>
    </row>
    <row r="34" spans="1:8" x14ac:dyDescent="0.3">
      <c r="A34" t="s">
        <v>20</v>
      </c>
      <c r="B34">
        <v>209</v>
      </c>
      <c r="G34" t="s">
        <v>14</v>
      </c>
      <c r="H34">
        <v>37</v>
      </c>
    </row>
    <row r="35" spans="1:8" x14ac:dyDescent="0.3">
      <c r="A35" t="s">
        <v>20</v>
      </c>
      <c r="B35">
        <v>131</v>
      </c>
      <c r="G35" t="s">
        <v>14</v>
      </c>
      <c r="H35">
        <v>60</v>
      </c>
    </row>
    <row r="36" spans="1:8" x14ac:dyDescent="0.3">
      <c r="A36" t="s">
        <v>20</v>
      </c>
      <c r="B36">
        <v>164</v>
      </c>
      <c r="G36" t="s">
        <v>14</v>
      </c>
      <c r="H36">
        <v>296</v>
      </c>
    </row>
    <row r="37" spans="1:8" x14ac:dyDescent="0.3">
      <c r="A37" t="s">
        <v>20</v>
      </c>
      <c r="B37">
        <v>201</v>
      </c>
      <c r="G37" t="s">
        <v>14</v>
      </c>
      <c r="H37">
        <v>3304</v>
      </c>
    </row>
    <row r="38" spans="1:8" x14ac:dyDescent="0.3">
      <c r="A38" t="s">
        <v>20</v>
      </c>
      <c r="B38">
        <v>211</v>
      </c>
      <c r="G38" t="s">
        <v>14</v>
      </c>
      <c r="H38">
        <v>73</v>
      </c>
    </row>
    <row r="39" spans="1:8" x14ac:dyDescent="0.3">
      <c r="A39" t="s">
        <v>20</v>
      </c>
      <c r="B39">
        <v>128</v>
      </c>
      <c r="G39" t="s">
        <v>14</v>
      </c>
      <c r="H39">
        <v>3387</v>
      </c>
    </row>
    <row r="40" spans="1:8" x14ac:dyDescent="0.3">
      <c r="A40" t="s">
        <v>20</v>
      </c>
      <c r="B40">
        <v>1600</v>
      </c>
      <c r="G40" t="s">
        <v>14</v>
      </c>
      <c r="H40">
        <v>662</v>
      </c>
    </row>
    <row r="41" spans="1:8" x14ac:dyDescent="0.3">
      <c r="A41" t="s">
        <v>20</v>
      </c>
      <c r="B41">
        <v>249</v>
      </c>
      <c r="G41" t="s">
        <v>14</v>
      </c>
      <c r="H41">
        <v>774</v>
      </c>
    </row>
    <row r="42" spans="1:8" x14ac:dyDescent="0.3">
      <c r="A42" t="s">
        <v>20</v>
      </c>
      <c r="B42">
        <v>236</v>
      </c>
      <c r="G42" t="s">
        <v>14</v>
      </c>
      <c r="H42">
        <v>672</v>
      </c>
    </row>
    <row r="43" spans="1:8" x14ac:dyDescent="0.3">
      <c r="A43" t="s">
        <v>20</v>
      </c>
      <c r="B43">
        <v>4065</v>
      </c>
      <c r="G43" t="s">
        <v>14</v>
      </c>
      <c r="H43">
        <v>940</v>
      </c>
    </row>
    <row r="44" spans="1:8" x14ac:dyDescent="0.3">
      <c r="A44" t="s">
        <v>20</v>
      </c>
      <c r="B44">
        <v>246</v>
      </c>
      <c r="G44" t="s">
        <v>14</v>
      </c>
      <c r="H44">
        <v>117</v>
      </c>
    </row>
    <row r="45" spans="1:8" x14ac:dyDescent="0.3">
      <c r="A45" t="s">
        <v>20</v>
      </c>
      <c r="B45">
        <v>2475</v>
      </c>
      <c r="G45" t="s">
        <v>14</v>
      </c>
      <c r="H45">
        <v>115</v>
      </c>
    </row>
    <row r="46" spans="1:8" x14ac:dyDescent="0.3">
      <c r="A46" t="s">
        <v>20</v>
      </c>
      <c r="B46">
        <v>76</v>
      </c>
      <c r="G46" t="s">
        <v>14</v>
      </c>
      <c r="H46">
        <v>326</v>
      </c>
    </row>
    <row r="47" spans="1:8" x14ac:dyDescent="0.3">
      <c r="A47" t="s">
        <v>20</v>
      </c>
      <c r="B47">
        <v>54</v>
      </c>
      <c r="G47" t="s">
        <v>14</v>
      </c>
      <c r="H47">
        <v>1</v>
      </c>
    </row>
    <row r="48" spans="1:8" x14ac:dyDescent="0.3">
      <c r="A48" t="s">
        <v>20</v>
      </c>
      <c r="B48">
        <v>88</v>
      </c>
      <c r="G48" t="s">
        <v>14</v>
      </c>
      <c r="H48">
        <v>1467</v>
      </c>
    </row>
    <row r="49" spans="1:8" x14ac:dyDescent="0.3">
      <c r="A49" t="s">
        <v>20</v>
      </c>
      <c r="B49">
        <v>85</v>
      </c>
      <c r="G49" t="s">
        <v>14</v>
      </c>
      <c r="H49">
        <v>5681</v>
      </c>
    </row>
    <row r="50" spans="1:8" x14ac:dyDescent="0.3">
      <c r="A50" t="s">
        <v>20</v>
      </c>
      <c r="B50">
        <v>170</v>
      </c>
      <c r="G50" t="s">
        <v>14</v>
      </c>
      <c r="H50">
        <v>1059</v>
      </c>
    </row>
    <row r="51" spans="1:8" x14ac:dyDescent="0.3">
      <c r="A51" t="s">
        <v>20</v>
      </c>
      <c r="B51">
        <v>330</v>
      </c>
      <c r="G51" t="s">
        <v>14</v>
      </c>
      <c r="H51">
        <v>1194</v>
      </c>
    </row>
    <row r="52" spans="1:8" x14ac:dyDescent="0.3">
      <c r="A52" t="s">
        <v>20</v>
      </c>
      <c r="B52">
        <v>127</v>
      </c>
      <c r="G52" t="s">
        <v>14</v>
      </c>
      <c r="H52">
        <v>30</v>
      </c>
    </row>
    <row r="53" spans="1:8" x14ac:dyDescent="0.3">
      <c r="A53" t="s">
        <v>20</v>
      </c>
      <c r="B53">
        <v>411</v>
      </c>
      <c r="G53" t="s">
        <v>14</v>
      </c>
      <c r="H53">
        <v>75</v>
      </c>
    </row>
    <row r="54" spans="1:8" x14ac:dyDescent="0.3">
      <c r="A54" t="s">
        <v>20</v>
      </c>
      <c r="B54">
        <v>180</v>
      </c>
      <c r="G54" t="s">
        <v>14</v>
      </c>
      <c r="H54">
        <v>955</v>
      </c>
    </row>
    <row r="55" spans="1:8" x14ac:dyDescent="0.3">
      <c r="A55" t="s">
        <v>20</v>
      </c>
      <c r="B55">
        <v>374</v>
      </c>
      <c r="G55" t="s">
        <v>14</v>
      </c>
      <c r="H55">
        <v>67</v>
      </c>
    </row>
    <row r="56" spans="1:8" x14ac:dyDescent="0.3">
      <c r="A56" t="s">
        <v>20</v>
      </c>
      <c r="B56">
        <v>71</v>
      </c>
      <c r="G56" t="s">
        <v>14</v>
      </c>
      <c r="H56">
        <v>5</v>
      </c>
    </row>
    <row r="57" spans="1:8" x14ac:dyDescent="0.3">
      <c r="A57" t="s">
        <v>20</v>
      </c>
      <c r="B57">
        <v>203</v>
      </c>
      <c r="G57" t="s">
        <v>14</v>
      </c>
      <c r="H57">
        <v>26</v>
      </c>
    </row>
    <row r="58" spans="1:8" x14ac:dyDescent="0.3">
      <c r="A58" t="s">
        <v>20</v>
      </c>
      <c r="B58">
        <v>113</v>
      </c>
      <c r="G58" t="s">
        <v>14</v>
      </c>
      <c r="H58">
        <v>1130</v>
      </c>
    </row>
    <row r="59" spans="1:8" x14ac:dyDescent="0.3">
      <c r="A59" t="s">
        <v>20</v>
      </c>
      <c r="B59">
        <v>96</v>
      </c>
      <c r="G59" t="s">
        <v>14</v>
      </c>
      <c r="H59">
        <v>782</v>
      </c>
    </row>
    <row r="60" spans="1:8" x14ac:dyDescent="0.3">
      <c r="A60" t="s">
        <v>20</v>
      </c>
      <c r="B60">
        <v>498</v>
      </c>
      <c r="G60" t="s">
        <v>14</v>
      </c>
      <c r="H60">
        <v>210</v>
      </c>
    </row>
    <row r="61" spans="1:8" x14ac:dyDescent="0.3">
      <c r="A61" t="s">
        <v>20</v>
      </c>
      <c r="B61">
        <v>180</v>
      </c>
      <c r="G61" t="s">
        <v>14</v>
      </c>
      <c r="H61">
        <v>136</v>
      </c>
    </row>
    <row r="62" spans="1:8" x14ac:dyDescent="0.3">
      <c r="A62" t="s">
        <v>20</v>
      </c>
      <c r="B62">
        <v>27</v>
      </c>
      <c r="G62" t="s">
        <v>14</v>
      </c>
      <c r="H62">
        <v>86</v>
      </c>
    </row>
    <row r="63" spans="1:8" x14ac:dyDescent="0.3">
      <c r="A63" t="s">
        <v>20</v>
      </c>
      <c r="B63">
        <v>2331</v>
      </c>
      <c r="G63" t="s">
        <v>14</v>
      </c>
      <c r="H63">
        <v>19</v>
      </c>
    </row>
    <row r="64" spans="1:8" x14ac:dyDescent="0.3">
      <c r="A64" t="s">
        <v>20</v>
      </c>
      <c r="B64">
        <v>113</v>
      </c>
      <c r="G64" t="s">
        <v>14</v>
      </c>
      <c r="H64">
        <v>886</v>
      </c>
    </row>
    <row r="65" spans="1:8" x14ac:dyDescent="0.3">
      <c r="A65" t="s">
        <v>20</v>
      </c>
      <c r="B65">
        <v>164</v>
      </c>
      <c r="G65" t="s">
        <v>14</v>
      </c>
      <c r="H65">
        <v>35</v>
      </c>
    </row>
    <row r="66" spans="1:8" x14ac:dyDescent="0.3">
      <c r="A66" t="s">
        <v>20</v>
      </c>
      <c r="B66">
        <v>164</v>
      </c>
      <c r="G66" t="s">
        <v>14</v>
      </c>
      <c r="H66">
        <v>24</v>
      </c>
    </row>
    <row r="67" spans="1:8" x14ac:dyDescent="0.3">
      <c r="A67" t="s">
        <v>20</v>
      </c>
      <c r="B67">
        <v>336</v>
      </c>
      <c r="G67" t="s">
        <v>14</v>
      </c>
      <c r="H67">
        <v>86</v>
      </c>
    </row>
    <row r="68" spans="1:8" x14ac:dyDescent="0.3">
      <c r="A68" t="s">
        <v>20</v>
      </c>
      <c r="B68">
        <v>1917</v>
      </c>
      <c r="G68" t="s">
        <v>14</v>
      </c>
      <c r="H68">
        <v>243</v>
      </c>
    </row>
    <row r="69" spans="1:8" x14ac:dyDescent="0.3">
      <c r="A69" t="s">
        <v>20</v>
      </c>
      <c r="B69">
        <v>95</v>
      </c>
      <c r="G69" t="s">
        <v>14</v>
      </c>
      <c r="H69">
        <v>65</v>
      </c>
    </row>
    <row r="70" spans="1:8" x14ac:dyDescent="0.3">
      <c r="A70" t="s">
        <v>20</v>
      </c>
      <c r="B70">
        <v>147</v>
      </c>
      <c r="G70" t="s">
        <v>14</v>
      </c>
      <c r="H70">
        <v>100</v>
      </c>
    </row>
    <row r="71" spans="1:8" x14ac:dyDescent="0.3">
      <c r="A71" t="s">
        <v>20</v>
      </c>
      <c r="B71">
        <v>86</v>
      </c>
      <c r="G71" t="s">
        <v>14</v>
      </c>
      <c r="H71">
        <v>168</v>
      </c>
    </row>
    <row r="72" spans="1:8" x14ac:dyDescent="0.3">
      <c r="A72" t="s">
        <v>20</v>
      </c>
      <c r="B72">
        <v>83</v>
      </c>
      <c r="G72" t="s">
        <v>14</v>
      </c>
      <c r="H72">
        <v>13</v>
      </c>
    </row>
    <row r="73" spans="1:8" x14ac:dyDescent="0.3">
      <c r="A73" t="s">
        <v>20</v>
      </c>
      <c r="B73">
        <v>676</v>
      </c>
      <c r="G73" t="s">
        <v>14</v>
      </c>
      <c r="H73">
        <v>1</v>
      </c>
    </row>
    <row r="74" spans="1:8" x14ac:dyDescent="0.3">
      <c r="A74" t="s">
        <v>20</v>
      </c>
      <c r="B74">
        <v>361</v>
      </c>
      <c r="G74" t="s">
        <v>14</v>
      </c>
      <c r="H74">
        <v>40</v>
      </c>
    </row>
    <row r="75" spans="1:8" x14ac:dyDescent="0.3">
      <c r="A75" t="s">
        <v>20</v>
      </c>
      <c r="B75">
        <v>131</v>
      </c>
      <c r="G75" t="s">
        <v>14</v>
      </c>
      <c r="H75">
        <v>226</v>
      </c>
    </row>
    <row r="76" spans="1:8" x14ac:dyDescent="0.3">
      <c r="A76" t="s">
        <v>20</v>
      </c>
      <c r="B76">
        <v>126</v>
      </c>
      <c r="G76" t="s">
        <v>14</v>
      </c>
      <c r="H76">
        <v>1625</v>
      </c>
    </row>
    <row r="77" spans="1:8" x14ac:dyDescent="0.3">
      <c r="A77" t="s">
        <v>20</v>
      </c>
      <c r="B77">
        <v>275</v>
      </c>
      <c r="G77" t="s">
        <v>14</v>
      </c>
      <c r="H77">
        <v>143</v>
      </c>
    </row>
    <row r="78" spans="1:8" x14ac:dyDescent="0.3">
      <c r="A78" t="s">
        <v>20</v>
      </c>
      <c r="B78">
        <v>67</v>
      </c>
      <c r="G78" t="s">
        <v>14</v>
      </c>
      <c r="H78">
        <v>934</v>
      </c>
    </row>
    <row r="79" spans="1:8" x14ac:dyDescent="0.3">
      <c r="A79" t="s">
        <v>20</v>
      </c>
      <c r="B79">
        <v>154</v>
      </c>
      <c r="G79" t="s">
        <v>14</v>
      </c>
      <c r="H79">
        <v>17</v>
      </c>
    </row>
    <row r="80" spans="1:8" x14ac:dyDescent="0.3">
      <c r="A80" t="s">
        <v>20</v>
      </c>
      <c r="B80">
        <v>1782</v>
      </c>
      <c r="G80" t="s">
        <v>14</v>
      </c>
      <c r="H80">
        <v>2179</v>
      </c>
    </row>
    <row r="81" spans="1:8" x14ac:dyDescent="0.3">
      <c r="A81" t="s">
        <v>20</v>
      </c>
      <c r="B81">
        <v>903</v>
      </c>
      <c r="G81" t="s">
        <v>14</v>
      </c>
      <c r="H81">
        <v>931</v>
      </c>
    </row>
    <row r="82" spans="1:8" x14ac:dyDescent="0.3">
      <c r="A82" t="s">
        <v>20</v>
      </c>
      <c r="B82">
        <v>94</v>
      </c>
      <c r="G82" t="s">
        <v>14</v>
      </c>
      <c r="H82">
        <v>92</v>
      </c>
    </row>
    <row r="83" spans="1:8" x14ac:dyDescent="0.3">
      <c r="A83" t="s">
        <v>20</v>
      </c>
      <c r="B83">
        <v>180</v>
      </c>
      <c r="G83" t="s">
        <v>14</v>
      </c>
      <c r="H83">
        <v>57</v>
      </c>
    </row>
    <row r="84" spans="1:8" x14ac:dyDescent="0.3">
      <c r="A84" t="s">
        <v>20</v>
      </c>
      <c r="B84">
        <v>533</v>
      </c>
      <c r="G84" t="s">
        <v>14</v>
      </c>
      <c r="H84">
        <v>41</v>
      </c>
    </row>
    <row r="85" spans="1:8" x14ac:dyDescent="0.3">
      <c r="A85" t="s">
        <v>20</v>
      </c>
      <c r="B85">
        <v>2443</v>
      </c>
      <c r="G85" t="s">
        <v>14</v>
      </c>
      <c r="H85">
        <v>1</v>
      </c>
    </row>
    <row r="86" spans="1:8" x14ac:dyDescent="0.3">
      <c r="A86" t="s">
        <v>20</v>
      </c>
      <c r="B86">
        <v>89</v>
      </c>
      <c r="G86" t="s">
        <v>14</v>
      </c>
      <c r="H86">
        <v>101</v>
      </c>
    </row>
    <row r="87" spans="1:8" x14ac:dyDescent="0.3">
      <c r="A87" t="s">
        <v>20</v>
      </c>
      <c r="B87">
        <v>159</v>
      </c>
      <c r="G87" t="s">
        <v>14</v>
      </c>
      <c r="H87">
        <v>1335</v>
      </c>
    </row>
    <row r="88" spans="1:8" x14ac:dyDescent="0.3">
      <c r="A88" t="s">
        <v>20</v>
      </c>
      <c r="B88">
        <v>50</v>
      </c>
      <c r="G88" t="s">
        <v>14</v>
      </c>
      <c r="H88">
        <v>15</v>
      </c>
    </row>
    <row r="89" spans="1:8" x14ac:dyDescent="0.3">
      <c r="A89" t="s">
        <v>20</v>
      </c>
      <c r="B89">
        <v>186</v>
      </c>
      <c r="G89" t="s">
        <v>14</v>
      </c>
      <c r="H89">
        <v>454</v>
      </c>
    </row>
    <row r="90" spans="1:8" x14ac:dyDescent="0.3">
      <c r="A90" t="s">
        <v>20</v>
      </c>
      <c r="B90">
        <v>1071</v>
      </c>
      <c r="G90" t="s">
        <v>14</v>
      </c>
      <c r="H90">
        <v>3182</v>
      </c>
    </row>
    <row r="91" spans="1:8" x14ac:dyDescent="0.3">
      <c r="A91" t="s">
        <v>20</v>
      </c>
      <c r="B91">
        <v>117</v>
      </c>
      <c r="G91" t="s">
        <v>14</v>
      </c>
      <c r="H91">
        <v>15</v>
      </c>
    </row>
    <row r="92" spans="1:8" x14ac:dyDescent="0.3">
      <c r="A92" t="s">
        <v>20</v>
      </c>
      <c r="B92">
        <v>70</v>
      </c>
      <c r="G92" t="s">
        <v>14</v>
      </c>
      <c r="H92">
        <v>133</v>
      </c>
    </row>
    <row r="93" spans="1:8" x14ac:dyDescent="0.3">
      <c r="A93" t="s">
        <v>20</v>
      </c>
      <c r="B93">
        <v>135</v>
      </c>
      <c r="G93" t="s">
        <v>14</v>
      </c>
      <c r="H93">
        <v>2062</v>
      </c>
    </row>
    <row r="94" spans="1:8" x14ac:dyDescent="0.3">
      <c r="A94" t="s">
        <v>20</v>
      </c>
      <c r="B94">
        <v>768</v>
      </c>
      <c r="G94" t="s">
        <v>14</v>
      </c>
      <c r="H94">
        <v>29</v>
      </c>
    </row>
    <row r="95" spans="1:8" x14ac:dyDescent="0.3">
      <c r="A95" t="s">
        <v>20</v>
      </c>
      <c r="B95">
        <v>199</v>
      </c>
      <c r="G95" t="s">
        <v>14</v>
      </c>
      <c r="H95">
        <v>132</v>
      </c>
    </row>
    <row r="96" spans="1:8" x14ac:dyDescent="0.3">
      <c r="A96" t="s">
        <v>20</v>
      </c>
      <c r="B96">
        <v>107</v>
      </c>
      <c r="G96" t="s">
        <v>14</v>
      </c>
      <c r="H96">
        <v>137</v>
      </c>
    </row>
    <row r="97" spans="1:8" x14ac:dyDescent="0.3">
      <c r="A97" t="s">
        <v>20</v>
      </c>
      <c r="B97">
        <v>195</v>
      </c>
      <c r="G97" t="s">
        <v>14</v>
      </c>
      <c r="H97">
        <v>908</v>
      </c>
    </row>
    <row r="98" spans="1:8" x14ac:dyDescent="0.3">
      <c r="A98" t="s">
        <v>20</v>
      </c>
      <c r="B98">
        <v>3376</v>
      </c>
      <c r="G98" t="s">
        <v>14</v>
      </c>
      <c r="H98">
        <v>10</v>
      </c>
    </row>
    <row r="99" spans="1:8" x14ac:dyDescent="0.3">
      <c r="A99" t="s">
        <v>20</v>
      </c>
      <c r="B99">
        <v>41</v>
      </c>
      <c r="G99" t="s">
        <v>14</v>
      </c>
      <c r="H99">
        <v>1910</v>
      </c>
    </row>
    <row r="100" spans="1:8" x14ac:dyDescent="0.3">
      <c r="A100" t="s">
        <v>20</v>
      </c>
      <c r="B100">
        <v>1821</v>
      </c>
      <c r="G100" t="s">
        <v>14</v>
      </c>
      <c r="H100">
        <v>38</v>
      </c>
    </row>
    <row r="101" spans="1:8" x14ac:dyDescent="0.3">
      <c r="A101" t="s">
        <v>20</v>
      </c>
      <c r="B101">
        <v>164</v>
      </c>
      <c r="G101" t="s">
        <v>14</v>
      </c>
      <c r="H101">
        <v>104</v>
      </c>
    </row>
    <row r="102" spans="1:8" x14ac:dyDescent="0.3">
      <c r="A102" t="s">
        <v>20</v>
      </c>
      <c r="B102">
        <v>157</v>
      </c>
      <c r="G102" t="s">
        <v>14</v>
      </c>
      <c r="H102">
        <v>49</v>
      </c>
    </row>
    <row r="103" spans="1:8" x14ac:dyDescent="0.3">
      <c r="A103" t="s">
        <v>20</v>
      </c>
      <c r="B103">
        <v>246</v>
      </c>
      <c r="G103" t="s">
        <v>14</v>
      </c>
      <c r="H103">
        <v>1</v>
      </c>
    </row>
    <row r="104" spans="1:8" x14ac:dyDescent="0.3">
      <c r="A104" t="s">
        <v>20</v>
      </c>
      <c r="B104">
        <v>1396</v>
      </c>
      <c r="G104" t="s">
        <v>14</v>
      </c>
      <c r="H104">
        <v>245</v>
      </c>
    </row>
    <row r="105" spans="1:8" x14ac:dyDescent="0.3">
      <c r="A105" t="s">
        <v>20</v>
      </c>
      <c r="B105">
        <v>2506</v>
      </c>
      <c r="G105" t="s">
        <v>14</v>
      </c>
      <c r="H105">
        <v>32</v>
      </c>
    </row>
    <row r="106" spans="1:8" x14ac:dyDescent="0.3">
      <c r="A106" t="s">
        <v>20</v>
      </c>
      <c r="B106">
        <v>244</v>
      </c>
      <c r="G106" t="s">
        <v>14</v>
      </c>
      <c r="H106">
        <v>7</v>
      </c>
    </row>
    <row r="107" spans="1:8" x14ac:dyDescent="0.3">
      <c r="A107" t="s">
        <v>20</v>
      </c>
      <c r="B107">
        <v>146</v>
      </c>
      <c r="G107" t="s">
        <v>14</v>
      </c>
      <c r="H107">
        <v>803</v>
      </c>
    </row>
    <row r="108" spans="1:8" x14ac:dyDescent="0.3">
      <c r="A108" t="s">
        <v>20</v>
      </c>
      <c r="B108">
        <v>1267</v>
      </c>
      <c r="G108" t="s">
        <v>14</v>
      </c>
      <c r="H108">
        <v>16</v>
      </c>
    </row>
    <row r="109" spans="1:8" x14ac:dyDescent="0.3">
      <c r="A109" t="s">
        <v>20</v>
      </c>
      <c r="B109">
        <v>1561</v>
      </c>
      <c r="G109" t="s">
        <v>14</v>
      </c>
      <c r="H109">
        <v>31</v>
      </c>
    </row>
    <row r="110" spans="1:8" x14ac:dyDescent="0.3">
      <c r="A110" t="s">
        <v>20</v>
      </c>
      <c r="B110">
        <v>48</v>
      </c>
      <c r="G110" t="s">
        <v>14</v>
      </c>
      <c r="H110">
        <v>108</v>
      </c>
    </row>
    <row r="111" spans="1:8" x14ac:dyDescent="0.3">
      <c r="A111" t="s">
        <v>20</v>
      </c>
      <c r="B111">
        <v>2739</v>
      </c>
      <c r="G111" t="s">
        <v>14</v>
      </c>
      <c r="H111">
        <v>30</v>
      </c>
    </row>
    <row r="112" spans="1:8" x14ac:dyDescent="0.3">
      <c r="A112" t="s">
        <v>20</v>
      </c>
      <c r="B112">
        <v>3537</v>
      </c>
      <c r="G112" t="s">
        <v>14</v>
      </c>
      <c r="H112">
        <v>17</v>
      </c>
    </row>
    <row r="113" spans="1:8" x14ac:dyDescent="0.3">
      <c r="A113" t="s">
        <v>20</v>
      </c>
      <c r="B113">
        <v>2107</v>
      </c>
      <c r="G113" t="s">
        <v>14</v>
      </c>
      <c r="H113">
        <v>80</v>
      </c>
    </row>
    <row r="114" spans="1:8" x14ac:dyDescent="0.3">
      <c r="A114" t="s">
        <v>20</v>
      </c>
      <c r="B114">
        <v>3318</v>
      </c>
      <c r="G114" t="s">
        <v>14</v>
      </c>
      <c r="H114">
        <v>2468</v>
      </c>
    </row>
    <row r="115" spans="1:8" x14ac:dyDescent="0.3">
      <c r="A115" t="s">
        <v>20</v>
      </c>
      <c r="B115">
        <v>340</v>
      </c>
      <c r="G115" t="s">
        <v>14</v>
      </c>
      <c r="H115">
        <v>26</v>
      </c>
    </row>
    <row r="116" spans="1:8" x14ac:dyDescent="0.3">
      <c r="A116" t="s">
        <v>20</v>
      </c>
      <c r="B116">
        <v>1442</v>
      </c>
      <c r="G116" t="s">
        <v>14</v>
      </c>
      <c r="H116">
        <v>73</v>
      </c>
    </row>
    <row r="117" spans="1:8" x14ac:dyDescent="0.3">
      <c r="A117" t="s">
        <v>20</v>
      </c>
      <c r="B117">
        <v>126</v>
      </c>
      <c r="G117" t="s">
        <v>14</v>
      </c>
      <c r="H117">
        <v>128</v>
      </c>
    </row>
    <row r="118" spans="1:8" x14ac:dyDescent="0.3">
      <c r="A118" t="s">
        <v>20</v>
      </c>
      <c r="B118">
        <v>524</v>
      </c>
      <c r="G118" t="s">
        <v>14</v>
      </c>
      <c r="H118">
        <v>33</v>
      </c>
    </row>
    <row r="119" spans="1:8" x14ac:dyDescent="0.3">
      <c r="A119" t="s">
        <v>20</v>
      </c>
      <c r="B119">
        <v>1989</v>
      </c>
      <c r="G119" t="s">
        <v>14</v>
      </c>
      <c r="H119">
        <v>1072</v>
      </c>
    </row>
    <row r="120" spans="1:8" x14ac:dyDescent="0.3">
      <c r="A120" t="s">
        <v>20</v>
      </c>
      <c r="B120">
        <v>157</v>
      </c>
      <c r="G120" t="s">
        <v>14</v>
      </c>
      <c r="H120">
        <v>393</v>
      </c>
    </row>
    <row r="121" spans="1:8" x14ac:dyDescent="0.3">
      <c r="A121" t="s">
        <v>20</v>
      </c>
      <c r="B121">
        <v>4498</v>
      </c>
      <c r="G121" t="s">
        <v>14</v>
      </c>
      <c r="H121">
        <v>1257</v>
      </c>
    </row>
    <row r="122" spans="1:8" x14ac:dyDescent="0.3">
      <c r="A122" t="s">
        <v>20</v>
      </c>
      <c r="B122">
        <v>80</v>
      </c>
      <c r="G122" t="s">
        <v>14</v>
      </c>
      <c r="H122">
        <v>328</v>
      </c>
    </row>
    <row r="123" spans="1:8" x14ac:dyDescent="0.3">
      <c r="A123" t="s">
        <v>20</v>
      </c>
      <c r="B123">
        <v>43</v>
      </c>
      <c r="G123" t="s">
        <v>14</v>
      </c>
      <c r="H123">
        <v>147</v>
      </c>
    </row>
    <row r="124" spans="1:8" x14ac:dyDescent="0.3">
      <c r="A124" t="s">
        <v>20</v>
      </c>
      <c r="B124">
        <v>2053</v>
      </c>
      <c r="G124" t="s">
        <v>14</v>
      </c>
      <c r="H124">
        <v>830</v>
      </c>
    </row>
    <row r="125" spans="1:8" x14ac:dyDescent="0.3">
      <c r="A125" t="s">
        <v>20</v>
      </c>
      <c r="B125">
        <v>168</v>
      </c>
      <c r="G125" t="s">
        <v>14</v>
      </c>
      <c r="H125">
        <v>331</v>
      </c>
    </row>
    <row r="126" spans="1:8" x14ac:dyDescent="0.3">
      <c r="A126" t="s">
        <v>20</v>
      </c>
      <c r="B126">
        <v>4289</v>
      </c>
      <c r="G126" t="s">
        <v>14</v>
      </c>
      <c r="H126">
        <v>25</v>
      </c>
    </row>
    <row r="127" spans="1:8" x14ac:dyDescent="0.3">
      <c r="A127" t="s">
        <v>20</v>
      </c>
      <c r="B127">
        <v>165</v>
      </c>
      <c r="G127" t="s">
        <v>14</v>
      </c>
      <c r="H127">
        <v>3483</v>
      </c>
    </row>
    <row r="128" spans="1:8" x14ac:dyDescent="0.3">
      <c r="A128" t="s">
        <v>20</v>
      </c>
      <c r="B128">
        <v>1815</v>
      </c>
      <c r="G128" t="s">
        <v>14</v>
      </c>
      <c r="H128">
        <v>923</v>
      </c>
    </row>
    <row r="129" spans="1:8" x14ac:dyDescent="0.3">
      <c r="A129" t="s">
        <v>20</v>
      </c>
      <c r="B129">
        <v>397</v>
      </c>
      <c r="G129" t="s">
        <v>14</v>
      </c>
      <c r="H129">
        <v>1</v>
      </c>
    </row>
    <row r="130" spans="1:8" x14ac:dyDescent="0.3">
      <c r="A130" t="s">
        <v>20</v>
      </c>
      <c r="B130">
        <v>1539</v>
      </c>
      <c r="G130" t="s">
        <v>14</v>
      </c>
      <c r="H130">
        <v>33</v>
      </c>
    </row>
    <row r="131" spans="1:8" x14ac:dyDescent="0.3">
      <c r="A131" t="s">
        <v>20</v>
      </c>
      <c r="B131">
        <v>138</v>
      </c>
      <c r="G131" t="s">
        <v>14</v>
      </c>
      <c r="H131">
        <v>40</v>
      </c>
    </row>
    <row r="132" spans="1:8" x14ac:dyDescent="0.3">
      <c r="A132" t="s">
        <v>20</v>
      </c>
      <c r="B132">
        <v>3594</v>
      </c>
      <c r="G132" t="s">
        <v>14</v>
      </c>
      <c r="H132">
        <v>23</v>
      </c>
    </row>
    <row r="133" spans="1:8" x14ac:dyDescent="0.3">
      <c r="A133" t="s">
        <v>20</v>
      </c>
      <c r="B133">
        <v>5880</v>
      </c>
      <c r="G133" t="s">
        <v>14</v>
      </c>
      <c r="H133">
        <v>75</v>
      </c>
    </row>
    <row r="134" spans="1:8" x14ac:dyDescent="0.3">
      <c r="A134" t="s">
        <v>20</v>
      </c>
      <c r="B134">
        <v>112</v>
      </c>
      <c r="G134" t="s">
        <v>14</v>
      </c>
      <c r="H134">
        <v>2176</v>
      </c>
    </row>
    <row r="135" spans="1:8" x14ac:dyDescent="0.3">
      <c r="A135" t="s">
        <v>20</v>
      </c>
      <c r="B135">
        <v>943</v>
      </c>
      <c r="G135" t="s">
        <v>14</v>
      </c>
      <c r="H135">
        <v>441</v>
      </c>
    </row>
    <row r="136" spans="1:8" x14ac:dyDescent="0.3">
      <c r="A136" t="s">
        <v>20</v>
      </c>
      <c r="B136">
        <v>2468</v>
      </c>
      <c r="G136" t="s">
        <v>14</v>
      </c>
      <c r="H136">
        <v>25</v>
      </c>
    </row>
    <row r="137" spans="1:8" x14ac:dyDescent="0.3">
      <c r="A137" t="s">
        <v>20</v>
      </c>
      <c r="B137">
        <v>2551</v>
      </c>
      <c r="G137" t="s">
        <v>14</v>
      </c>
      <c r="H137">
        <v>127</v>
      </c>
    </row>
    <row r="138" spans="1:8" x14ac:dyDescent="0.3">
      <c r="A138" t="s">
        <v>20</v>
      </c>
      <c r="B138">
        <v>101</v>
      </c>
      <c r="G138" t="s">
        <v>14</v>
      </c>
      <c r="H138">
        <v>355</v>
      </c>
    </row>
    <row r="139" spans="1:8" x14ac:dyDescent="0.3">
      <c r="A139" t="s">
        <v>20</v>
      </c>
      <c r="B139">
        <v>92</v>
      </c>
      <c r="G139" t="s">
        <v>14</v>
      </c>
      <c r="H139">
        <v>44</v>
      </c>
    </row>
    <row r="140" spans="1:8" x14ac:dyDescent="0.3">
      <c r="A140" t="s">
        <v>20</v>
      </c>
      <c r="B140">
        <v>62</v>
      </c>
      <c r="G140" t="s">
        <v>14</v>
      </c>
      <c r="H140">
        <v>67</v>
      </c>
    </row>
    <row r="141" spans="1:8" x14ac:dyDescent="0.3">
      <c r="A141" t="s">
        <v>20</v>
      </c>
      <c r="B141">
        <v>149</v>
      </c>
      <c r="G141" t="s">
        <v>14</v>
      </c>
      <c r="H141">
        <v>1068</v>
      </c>
    </row>
    <row r="142" spans="1:8" x14ac:dyDescent="0.3">
      <c r="A142" t="s">
        <v>20</v>
      </c>
      <c r="B142">
        <v>329</v>
      </c>
      <c r="G142" t="s">
        <v>14</v>
      </c>
      <c r="H142">
        <v>424</v>
      </c>
    </row>
    <row r="143" spans="1:8" x14ac:dyDescent="0.3">
      <c r="A143" t="s">
        <v>20</v>
      </c>
      <c r="B143">
        <v>97</v>
      </c>
      <c r="G143" t="s">
        <v>14</v>
      </c>
      <c r="H143">
        <v>151</v>
      </c>
    </row>
    <row r="144" spans="1:8" x14ac:dyDescent="0.3">
      <c r="A144" t="s">
        <v>20</v>
      </c>
      <c r="B144">
        <v>1784</v>
      </c>
      <c r="G144" t="s">
        <v>14</v>
      </c>
      <c r="H144">
        <v>1608</v>
      </c>
    </row>
    <row r="145" spans="1:8" x14ac:dyDescent="0.3">
      <c r="A145" t="s">
        <v>20</v>
      </c>
      <c r="B145">
        <v>1684</v>
      </c>
      <c r="G145" t="s">
        <v>14</v>
      </c>
      <c r="H145">
        <v>941</v>
      </c>
    </row>
    <row r="146" spans="1:8" x14ac:dyDescent="0.3">
      <c r="A146" t="s">
        <v>20</v>
      </c>
      <c r="B146">
        <v>250</v>
      </c>
      <c r="G146" t="s">
        <v>14</v>
      </c>
      <c r="H146">
        <v>1</v>
      </c>
    </row>
    <row r="147" spans="1:8" x14ac:dyDescent="0.3">
      <c r="A147" t="s">
        <v>20</v>
      </c>
      <c r="B147">
        <v>238</v>
      </c>
      <c r="G147" t="s">
        <v>14</v>
      </c>
      <c r="H147">
        <v>40</v>
      </c>
    </row>
    <row r="148" spans="1:8" x14ac:dyDescent="0.3">
      <c r="A148" t="s">
        <v>20</v>
      </c>
      <c r="B148">
        <v>53</v>
      </c>
      <c r="G148" t="s">
        <v>14</v>
      </c>
      <c r="H148">
        <v>3015</v>
      </c>
    </row>
    <row r="149" spans="1:8" x14ac:dyDescent="0.3">
      <c r="A149" t="s">
        <v>20</v>
      </c>
      <c r="B149">
        <v>214</v>
      </c>
      <c r="G149" t="s">
        <v>14</v>
      </c>
      <c r="H149">
        <v>435</v>
      </c>
    </row>
    <row r="150" spans="1:8" x14ac:dyDescent="0.3">
      <c r="A150" t="s">
        <v>20</v>
      </c>
      <c r="B150">
        <v>222</v>
      </c>
      <c r="G150" t="s">
        <v>14</v>
      </c>
      <c r="H150">
        <v>714</v>
      </c>
    </row>
    <row r="151" spans="1:8" x14ac:dyDescent="0.3">
      <c r="A151" t="s">
        <v>20</v>
      </c>
      <c r="B151">
        <v>1884</v>
      </c>
      <c r="G151" t="s">
        <v>14</v>
      </c>
      <c r="H151">
        <v>5497</v>
      </c>
    </row>
    <row r="152" spans="1:8" x14ac:dyDescent="0.3">
      <c r="A152" t="s">
        <v>20</v>
      </c>
      <c r="B152">
        <v>218</v>
      </c>
      <c r="G152" t="s">
        <v>14</v>
      </c>
      <c r="H152">
        <v>418</v>
      </c>
    </row>
    <row r="153" spans="1:8" x14ac:dyDescent="0.3">
      <c r="A153" t="s">
        <v>20</v>
      </c>
      <c r="B153">
        <v>6465</v>
      </c>
      <c r="G153" t="s">
        <v>14</v>
      </c>
      <c r="H153">
        <v>1439</v>
      </c>
    </row>
    <row r="154" spans="1:8" x14ac:dyDescent="0.3">
      <c r="A154" t="s">
        <v>20</v>
      </c>
      <c r="B154">
        <v>59</v>
      </c>
      <c r="G154" t="s">
        <v>14</v>
      </c>
      <c r="H154">
        <v>15</v>
      </c>
    </row>
    <row r="155" spans="1:8" x14ac:dyDescent="0.3">
      <c r="A155" t="s">
        <v>20</v>
      </c>
      <c r="B155">
        <v>88</v>
      </c>
      <c r="G155" t="s">
        <v>14</v>
      </c>
      <c r="H155">
        <v>1999</v>
      </c>
    </row>
    <row r="156" spans="1:8" x14ac:dyDescent="0.3">
      <c r="A156" t="s">
        <v>20</v>
      </c>
      <c r="B156">
        <v>1697</v>
      </c>
      <c r="G156" t="s">
        <v>14</v>
      </c>
      <c r="H156">
        <v>118</v>
      </c>
    </row>
    <row r="157" spans="1:8" x14ac:dyDescent="0.3">
      <c r="A157" t="s">
        <v>20</v>
      </c>
      <c r="B157">
        <v>92</v>
      </c>
      <c r="G157" t="s">
        <v>14</v>
      </c>
      <c r="H157">
        <v>162</v>
      </c>
    </row>
    <row r="158" spans="1:8" x14ac:dyDescent="0.3">
      <c r="A158" t="s">
        <v>20</v>
      </c>
      <c r="B158">
        <v>186</v>
      </c>
      <c r="G158" t="s">
        <v>14</v>
      </c>
      <c r="H158">
        <v>83</v>
      </c>
    </row>
    <row r="159" spans="1:8" x14ac:dyDescent="0.3">
      <c r="A159" t="s">
        <v>20</v>
      </c>
      <c r="B159">
        <v>138</v>
      </c>
      <c r="G159" t="s">
        <v>14</v>
      </c>
      <c r="H159">
        <v>747</v>
      </c>
    </row>
    <row r="160" spans="1:8" x14ac:dyDescent="0.3">
      <c r="A160" t="s">
        <v>20</v>
      </c>
      <c r="B160">
        <v>261</v>
      </c>
      <c r="G160" t="s">
        <v>14</v>
      </c>
      <c r="H160">
        <v>84</v>
      </c>
    </row>
    <row r="161" spans="1:8" x14ac:dyDescent="0.3">
      <c r="A161" t="s">
        <v>20</v>
      </c>
      <c r="B161">
        <v>107</v>
      </c>
      <c r="G161" t="s">
        <v>14</v>
      </c>
      <c r="H161">
        <v>91</v>
      </c>
    </row>
    <row r="162" spans="1:8" x14ac:dyDescent="0.3">
      <c r="A162" t="s">
        <v>20</v>
      </c>
      <c r="B162">
        <v>199</v>
      </c>
      <c r="G162" t="s">
        <v>14</v>
      </c>
      <c r="H162">
        <v>792</v>
      </c>
    </row>
    <row r="163" spans="1:8" x14ac:dyDescent="0.3">
      <c r="A163" t="s">
        <v>20</v>
      </c>
      <c r="B163">
        <v>5512</v>
      </c>
      <c r="G163" t="s">
        <v>14</v>
      </c>
      <c r="H163">
        <v>32</v>
      </c>
    </row>
    <row r="164" spans="1:8" x14ac:dyDescent="0.3">
      <c r="A164" t="s">
        <v>20</v>
      </c>
      <c r="B164">
        <v>86</v>
      </c>
      <c r="G164" t="s">
        <v>14</v>
      </c>
      <c r="H164">
        <v>186</v>
      </c>
    </row>
    <row r="165" spans="1:8" x14ac:dyDescent="0.3">
      <c r="A165" t="s">
        <v>20</v>
      </c>
      <c r="B165">
        <v>2768</v>
      </c>
      <c r="G165" t="s">
        <v>14</v>
      </c>
      <c r="H165">
        <v>605</v>
      </c>
    </row>
    <row r="166" spans="1:8" x14ac:dyDescent="0.3">
      <c r="A166" t="s">
        <v>20</v>
      </c>
      <c r="B166">
        <v>48</v>
      </c>
      <c r="G166" t="s">
        <v>14</v>
      </c>
      <c r="H166">
        <v>1</v>
      </c>
    </row>
    <row r="167" spans="1:8" x14ac:dyDescent="0.3">
      <c r="A167" t="s">
        <v>20</v>
      </c>
      <c r="B167">
        <v>87</v>
      </c>
      <c r="G167" t="s">
        <v>14</v>
      </c>
      <c r="H167">
        <v>31</v>
      </c>
    </row>
    <row r="168" spans="1:8" x14ac:dyDescent="0.3">
      <c r="A168" t="s">
        <v>20</v>
      </c>
      <c r="B168">
        <v>1894</v>
      </c>
      <c r="G168" t="s">
        <v>14</v>
      </c>
      <c r="H168">
        <v>1181</v>
      </c>
    </row>
    <row r="169" spans="1:8" x14ac:dyDescent="0.3">
      <c r="A169" t="s">
        <v>20</v>
      </c>
      <c r="B169">
        <v>282</v>
      </c>
      <c r="G169" t="s">
        <v>14</v>
      </c>
      <c r="H169">
        <v>39</v>
      </c>
    </row>
    <row r="170" spans="1:8" x14ac:dyDescent="0.3">
      <c r="A170" t="s">
        <v>20</v>
      </c>
      <c r="B170">
        <v>116</v>
      </c>
      <c r="G170" t="s">
        <v>14</v>
      </c>
      <c r="H170">
        <v>46</v>
      </c>
    </row>
    <row r="171" spans="1:8" x14ac:dyDescent="0.3">
      <c r="A171" t="s">
        <v>20</v>
      </c>
      <c r="B171">
        <v>83</v>
      </c>
      <c r="G171" t="s">
        <v>14</v>
      </c>
      <c r="H171">
        <v>105</v>
      </c>
    </row>
    <row r="172" spans="1:8" x14ac:dyDescent="0.3">
      <c r="A172" t="s">
        <v>20</v>
      </c>
      <c r="B172">
        <v>91</v>
      </c>
      <c r="G172" t="s">
        <v>14</v>
      </c>
      <c r="H172">
        <v>535</v>
      </c>
    </row>
    <row r="173" spans="1:8" x14ac:dyDescent="0.3">
      <c r="A173" t="s">
        <v>20</v>
      </c>
      <c r="B173">
        <v>546</v>
      </c>
      <c r="G173" t="s">
        <v>14</v>
      </c>
      <c r="H173">
        <v>16</v>
      </c>
    </row>
    <row r="174" spans="1:8" x14ac:dyDescent="0.3">
      <c r="A174" t="s">
        <v>20</v>
      </c>
      <c r="B174">
        <v>393</v>
      </c>
      <c r="G174" t="s">
        <v>14</v>
      </c>
      <c r="H174">
        <v>575</v>
      </c>
    </row>
    <row r="175" spans="1:8" x14ac:dyDescent="0.3">
      <c r="A175" t="s">
        <v>20</v>
      </c>
      <c r="B175">
        <v>133</v>
      </c>
      <c r="G175" t="s">
        <v>14</v>
      </c>
      <c r="H175">
        <v>1120</v>
      </c>
    </row>
    <row r="176" spans="1:8" x14ac:dyDescent="0.3">
      <c r="A176" t="s">
        <v>20</v>
      </c>
      <c r="B176">
        <v>254</v>
      </c>
      <c r="G176" t="s">
        <v>14</v>
      </c>
      <c r="H176">
        <v>113</v>
      </c>
    </row>
    <row r="177" spans="1:8" x14ac:dyDescent="0.3">
      <c r="A177" t="s">
        <v>20</v>
      </c>
      <c r="B177">
        <v>176</v>
      </c>
      <c r="G177" t="s">
        <v>14</v>
      </c>
      <c r="H177">
        <v>1538</v>
      </c>
    </row>
    <row r="178" spans="1:8" x14ac:dyDescent="0.3">
      <c r="A178" t="s">
        <v>20</v>
      </c>
      <c r="B178">
        <v>337</v>
      </c>
      <c r="G178" t="s">
        <v>14</v>
      </c>
      <c r="H178">
        <v>9</v>
      </c>
    </row>
    <row r="179" spans="1:8" x14ac:dyDescent="0.3">
      <c r="A179" t="s">
        <v>20</v>
      </c>
      <c r="B179">
        <v>107</v>
      </c>
      <c r="G179" t="s">
        <v>14</v>
      </c>
      <c r="H179">
        <v>554</v>
      </c>
    </row>
    <row r="180" spans="1:8" x14ac:dyDescent="0.3">
      <c r="A180" t="s">
        <v>20</v>
      </c>
      <c r="B180">
        <v>183</v>
      </c>
      <c r="G180" t="s">
        <v>14</v>
      </c>
      <c r="H180">
        <v>648</v>
      </c>
    </row>
    <row r="181" spans="1:8" x14ac:dyDescent="0.3">
      <c r="A181" t="s">
        <v>20</v>
      </c>
      <c r="B181">
        <v>72</v>
      </c>
      <c r="G181" t="s">
        <v>14</v>
      </c>
      <c r="H181">
        <v>21</v>
      </c>
    </row>
    <row r="182" spans="1:8" x14ac:dyDescent="0.3">
      <c r="A182" t="s">
        <v>20</v>
      </c>
      <c r="B182">
        <v>295</v>
      </c>
      <c r="G182" t="s">
        <v>14</v>
      </c>
      <c r="H182">
        <v>54</v>
      </c>
    </row>
    <row r="183" spans="1:8" x14ac:dyDescent="0.3">
      <c r="A183" t="s">
        <v>20</v>
      </c>
      <c r="B183">
        <v>142</v>
      </c>
      <c r="G183" t="s">
        <v>14</v>
      </c>
      <c r="H183">
        <v>120</v>
      </c>
    </row>
    <row r="184" spans="1:8" x14ac:dyDescent="0.3">
      <c r="A184" t="s">
        <v>20</v>
      </c>
      <c r="B184">
        <v>85</v>
      </c>
      <c r="G184" t="s">
        <v>14</v>
      </c>
      <c r="H184">
        <v>579</v>
      </c>
    </row>
    <row r="185" spans="1:8" x14ac:dyDescent="0.3">
      <c r="A185" t="s">
        <v>20</v>
      </c>
      <c r="B185">
        <v>659</v>
      </c>
      <c r="G185" t="s">
        <v>14</v>
      </c>
      <c r="H185">
        <v>2072</v>
      </c>
    </row>
    <row r="186" spans="1:8" x14ac:dyDescent="0.3">
      <c r="A186" t="s">
        <v>20</v>
      </c>
      <c r="B186">
        <v>121</v>
      </c>
      <c r="G186" t="s">
        <v>14</v>
      </c>
      <c r="H186">
        <v>0</v>
      </c>
    </row>
    <row r="187" spans="1:8" x14ac:dyDescent="0.3">
      <c r="A187" t="s">
        <v>20</v>
      </c>
      <c r="B187">
        <v>3742</v>
      </c>
      <c r="G187" t="s">
        <v>14</v>
      </c>
      <c r="H187">
        <v>1796</v>
      </c>
    </row>
    <row r="188" spans="1:8" x14ac:dyDescent="0.3">
      <c r="A188" t="s">
        <v>20</v>
      </c>
      <c r="B188">
        <v>223</v>
      </c>
      <c r="G188" t="s">
        <v>14</v>
      </c>
      <c r="H188">
        <v>62</v>
      </c>
    </row>
    <row r="189" spans="1:8" x14ac:dyDescent="0.3">
      <c r="A189" t="s">
        <v>20</v>
      </c>
      <c r="B189">
        <v>133</v>
      </c>
      <c r="G189" t="s">
        <v>14</v>
      </c>
      <c r="H189">
        <v>347</v>
      </c>
    </row>
    <row r="190" spans="1:8" x14ac:dyDescent="0.3">
      <c r="A190" t="s">
        <v>20</v>
      </c>
      <c r="B190">
        <v>5168</v>
      </c>
      <c r="G190" t="s">
        <v>14</v>
      </c>
      <c r="H190">
        <v>19</v>
      </c>
    </row>
    <row r="191" spans="1:8" x14ac:dyDescent="0.3">
      <c r="A191" t="s">
        <v>20</v>
      </c>
      <c r="B191">
        <v>307</v>
      </c>
      <c r="G191" t="s">
        <v>14</v>
      </c>
      <c r="H191">
        <v>1258</v>
      </c>
    </row>
    <row r="192" spans="1:8" x14ac:dyDescent="0.3">
      <c r="A192" t="s">
        <v>20</v>
      </c>
      <c r="B192">
        <v>2441</v>
      </c>
      <c r="G192" t="s">
        <v>14</v>
      </c>
      <c r="H192">
        <v>362</v>
      </c>
    </row>
    <row r="193" spans="1:8" x14ac:dyDescent="0.3">
      <c r="A193" t="s">
        <v>20</v>
      </c>
      <c r="B193">
        <v>1385</v>
      </c>
      <c r="G193" t="s">
        <v>14</v>
      </c>
      <c r="H193">
        <v>133</v>
      </c>
    </row>
    <row r="194" spans="1:8" x14ac:dyDescent="0.3">
      <c r="A194" t="s">
        <v>20</v>
      </c>
      <c r="B194">
        <v>190</v>
      </c>
      <c r="G194" t="s">
        <v>14</v>
      </c>
      <c r="H194">
        <v>846</v>
      </c>
    </row>
    <row r="195" spans="1:8" x14ac:dyDescent="0.3">
      <c r="A195" t="s">
        <v>20</v>
      </c>
      <c r="B195">
        <v>470</v>
      </c>
      <c r="G195" t="s">
        <v>14</v>
      </c>
      <c r="H195">
        <v>10</v>
      </c>
    </row>
    <row r="196" spans="1:8" x14ac:dyDescent="0.3">
      <c r="A196" t="s">
        <v>20</v>
      </c>
      <c r="B196">
        <v>253</v>
      </c>
      <c r="G196" t="s">
        <v>14</v>
      </c>
      <c r="H196">
        <v>191</v>
      </c>
    </row>
    <row r="197" spans="1:8" x14ac:dyDescent="0.3">
      <c r="A197" t="s">
        <v>20</v>
      </c>
      <c r="B197">
        <v>1113</v>
      </c>
      <c r="G197" t="s">
        <v>14</v>
      </c>
      <c r="H197">
        <v>1979</v>
      </c>
    </row>
    <row r="198" spans="1:8" x14ac:dyDescent="0.3">
      <c r="A198" t="s">
        <v>20</v>
      </c>
      <c r="B198">
        <v>2283</v>
      </c>
      <c r="G198" t="s">
        <v>14</v>
      </c>
      <c r="H198">
        <v>63</v>
      </c>
    </row>
    <row r="199" spans="1:8" x14ac:dyDescent="0.3">
      <c r="A199" t="s">
        <v>20</v>
      </c>
      <c r="B199">
        <v>1095</v>
      </c>
      <c r="G199" t="s">
        <v>14</v>
      </c>
      <c r="H199">
        <v>6080</v>
      </c>
    </row>
    <row r="200" spans="1:8" x14ac:dyDescent="0.3">
      <c r="A200" t="s">
        <v>20</v>
      </c>
      <c r="B200">
        <v>1690</v>
      </c>
      <c r="G200" t="s">
        <v>14</v>
      </c>
      <c r="H200">
        <v>80</v>
      </c>
    </row>
    <row r="201" spans="1:8" x14ac:dyDescent="0.3">
      <c r="A201" t="s">
        <v>20</v>
      </c>
      <c r="B201">
        <v>191</v>
      </c>
      <c r="G201" t="s">
        <v>14</v>
      </c>
      <c r="H201">
        <v>9</v>
      </c>
    </row>
    <row r="202" spans="1:8" x14ac:dyDescent="0.3">
      <c r="A202" t="s">
        <v>20</v>
      </c>
      <c r="B202">
        <v>2013</v>
      </c>
      <c r="G202" t="s">
        <v>14</v>
      </c>
      <c r="H202">
        <v>1784</v>
      </c>
    </row>
    <row r="203" spans="1:8" x14ac:dyDescent="0.3">
      <c r="A203" t="s">
        <v>20</v>
      </c>
      <c r="B203">
        <v>1703</v>
      </c>
      <c r="G203" t="s">
        <v>14</v>
      </c>
      <c r="H203">
        <v>243</v>
      </c>
    </row>
    <row r="204" spans="1:8" x14ac:dyDescent="0.3">
      <c r="A204" t="s">
        <v>20</v>
      </c>
      <c r="B204">
        <v>80</v>
      </c>
      <c r="G204" t="s">
        <v>14</v>
      </c>
      <c r="H204">
        <v>1296</v>
      </c>
    </row>
    <row r="205" spans="1:8" x14ac:dyDescent="0.3">
      <c r="A205" t="s">
        <v>20</v>
      </c>
      <c r="B205">
        <v>41</v>
      </c>
      <c r="G205" t="s">
        <v>14</v>
      </c>
      <c r="H205">
        <v>77</v>
      </c>
    </row>
    <row r="206" spans="1:8" x14ac:dyDescent="0.3">
      <c r="A206" t="s">
        <v>20</v>
      </c>
      <c r="B206">
        <v>187</v>
      </c>
      <c r="G206" t="s">
        <v>14</v>
      </c>
      <c r="H206">
        <v>395</v>
      </c>
    </row>
    <row r="207" spans="1:8" x14ac:dyDescent="0.3">
      <c r="A207" t="s">
        <v>20</v>
      </c>
      <c r="B207">
        <v>2875</v>
      </c>
      <c r="G207" t="s">
        <v>14</v>
      </c>
      <c r="H207">
        <v>49</v>
      </c>
    </row>
    <row r="208" spans="1:8" x14ac:dyDescent="0.3">
      <c r="A208" t="s">
        <v>20</v>
      </c>
      <c r="B208">
        <v>88</v>
      </c>
      <c r="G208" t="s">
        <v>14</v>
      </c>
      <c r="H208">
        <v>180</v>
      </c>
    </row>
    <row r="209" spans="1:8" x14ac:dyDescent="0.3">
      <c r="A209" t="s">
        <v>20</v>
      </c>
      <c r="B209">
        <v>191</v>
      </c>
      <c r="G209" t="s">
        <v>14</v>
      </c>
      <c r="H209">
        <v>2690</v>
      </c>
    </row>
    <row r="210" spans="1:8" x14ac:dyDescent="0.3">
      <c r="A210" t="s">
        <v>20</v>
      </c>
      <c r="B210">
        <v>139</v>
      </c>
      <c r="G210" t="s">
        <v>14</v>
      </c>
      <c r="H210">
        <v>2779</v>
      </c>
    </row>
    <row r="211" spans="1:8" x14ac:dyDescent="0.3">
      <c r="A211" t="s">
        <v>20</v>
      </c>
      <c r="B211">
        <v>186</v>
      </c>
      <c r="G211" t="s">
        <v>14</v>
      </c>
      <c r="H211">
        <v>92</v>
      </c>
    </row>
    <row r="212" spans="1:8" x14ac:dyDescent="0.3">
      <c r="A212" t="s">
        <v>20</v>
      </c>
      <c r="B212">
        <v>112</v>
      </c>
      <c r="G212" t="s">
        <v>14</v>
      </c>
      <c r="H212">
        <v>1028</v>
      </c>
    </row>
    <row r="213" spans="1:8" x14ac:dyDescent="0.3">
      <c r="A213" t="s">
        <v>20</v>
      </c>
      <c r="B213">
        <v>101</v>
      </c>
      <c r="G213" t="s">
        <v>14</v>
      </c>
      <c r="H213">
        <v>26</v>
      </c>
    </row>
    <row r="214" spans="1:8" x14ac:dyDescent="0.3">
      <c r="A214" t="s">
        <v>20</v>
      </c>
      <c r="B214">
        <v>206</v>
      </c>
      <c r="G214" t="s">
        <v>14</v>
      </c>
      <c r="H214">
        <v>1790</v>
      </c>
    </row>
    <row r="215" spans="1:8" x14ac:dyDescent="0.3">
      <c r="A215" t="s">
        <v>20</v>
      </c>
      <c r="B215">
        <v>154</v>
      </c>
      <c r="G215" t="s">
        <v>14</v>
      </c>
      <c r="H215">
        <v>37</v>
      </c>
    </row>
    <row r="216" spans="1:8" x14ac:dyDescent="0.3">
      <c r="A216" t="s">
        <v>20</v>
      </c>
      <c r="B216">
        <v>5966</v>
      </c>
      <c r="G216" t="s">
        <v>14</v>
      </c>
      <c r="H216">
        <v>35</v>
      </c>
    </row>
    <row r="217" spans="1:8" x14ac:dyDescent="0.3">
      <c r="A217" t="s">
        <v>20</v>
      </c>
      <c r="B217">
        <v>169</v>
      </c>
      <c r="G217" t="s">
        <v>14</v>
      </c>
      <c r="H217">
        <v>558</v>
      </c>
    </row>
    <row r="218" spans="1:8" x14ac:dyDescent="0.3">
      <c r="A218" t="s">
        <v>20</v>
      </c>
      <c r="B218">
        <v>2106</v>
      </c>
      <c r="G218" t="s">
        <v>14</v>
      </c>
      <c r="H218">
        <v>64</v>
      </c>
    </row>
    <row r="219" spans="1:8" x14ac:dyDescent="0.3">
      <c r="A219" t="s">
        <v>20</v>
      </c>
      <c r="B219">
        <v>131</v>
      </c>
      <c r="G219" t="s">
        <v>14</v>
      </c>
      <c r="H219">
        <v>245</v>
      </c>
    </row>
    <row r="220" spans="1:8" x14ac:dyDescent="0.3">
      <c r="A220" t="s">
        <v>20</v>
      </c>
      <c r="B220">
        <v>84</v>
      </c>
      <c r="G220" t="s">
        <v>14</v>
      </c>
      <c r="H220">
        <v>71</v>
      </c>
    </row>
    <row r="221" spans="1:8" x14ac:dyDescent="0.3">
      <c r="A221" t="s">
        <v>20</v>
      </c>
      <c r="B221">
        <v>155</v>
      </c>
      <c r="G221" t="s">
        <v>14</v>
      </c>
      <c r="H221">
        <v>42</v>
      </c>
    </row>
    <row r="222" spans="1:8" x14ac:dyDescent="0.3">
      <c r="A222" t="s">
        <v>20</v>
      </c>
      <c r="B222">
        <v>189</v>
      </c>
      <c r="G222" t="s">
        <v>14</v>
      </c>
      <c r="H222">
        <v>156</v>
      </c>
    </row>
    <row r="223" spans="1:8" x14ac:dyDescent="0.3">
      <c r="A223" t="s">
        <v>20</v>
      </c>
      <c r="B223">
        <v>4799</v>
      </c>
      <c r="G223" t="s">
        <v>14</v>
      </c>
      <c r="H223">
        <v>1368</v>
      </c>
    </row>
    <row r="224" spans="1:8" x14ac:dyDescent="0.3">
      <c r="A224" t="s">
        <v>20</v>
      </c>
      <c r="B224">
        <v>1137</v>
      </c>
      <c r="G224" t="s">
        <v>14</v>
      </c>
      <c r="H224">
        <v>102</v>
      </c>
    </row>
    <row r="225" spans="1:8" x14ac:dyDescent="0.3">
      <c r="A225" t="s">
        <v>20</v>
      </c>
      <c r="B225">
        <v>1152</v>
      </c>
      <c r="G225" t="s">
        <v>14</v>
      </c>
      <c r="H225">
        <v>86</v>
      </c>
    </row>
    <row r="226" spans="1:8" x14ac:dyDescent="0.3">
      <c r="A226" t="s">
        <v>20</v>
      </c>
      <c r="B226">
        <v>50</v>
      </c>
      <c r="G226" t="s">
        <v>14</v>
      </c>
      <c r="H226">
        <v>253</v>
      </c>
    </row>
    <row r="227" spans="1:8" x14ac:dyDescent="0.3">
      <c r="A227" t="s">
        <v>20</v>
      </c>
      <c r="B227">
        <v>3059</v>
      </c>
      <c r="G227" t="s">
        <v>14</v>
      </c>
      <c r="H227">
        <v>157</v>
      </c>
    </row>
    <row r="228" spans="1:8" x14ac:dyDescent="0.3">
      <c r="A228" t="s">
        <v>20</v>
      </c>
      <c r="B228">
        <v>34</v>
      </c>
      <c r="G228" t="s">
        <v>14</v>
      </c>
      <c r="H228">
        <v>183</v>
      </c>
    </row>
    <row r="229" spans="1:8" x14ac:dyDescent="0.3">
      <c r="A229" t="s">
        <v>20</v>
      </c>
      <c r="B229">
        <v>220</v>
      </c>
      <c r="G229" t="s">
        <v>14</v>
      </c>
      <c r="H229">
        <v>82</v>
      </c>
    </row>
    <row r="230" spans="1:8" x14ac:dyDescent="0.3">
      <c r="A230" t="s">
        <v>20</v>
      </c>
      <c r="B230">
        <v>1604</v>
      </c>
      <c r="G230" t="s">
        <v>14</v>
      </c>
      <c r="H230">
        <v>1</v>
      </c>
    </row>
    <row r="231" spans="1:8" x14ac:dyDescent="0.3">
      <c r="A231" t="s">
        <v>20</v>
      </c>
      <c r="B231">
        <v>454</v>
      </c>
      <c r="G231" t="s">
        <v>14</v>
      </c>
      <c r="H231">
        <v>1198</v>
      </c>
    </row>
    <row r="232" spans="1:8" x14ac:dyDescent="0.3">
      <c r="A232" t="s">
        <v>20</v>
      </c>
      <c r="B232">
        <v>123</v>
      </c>
      <c r="G232" t="s">
        <v>14</v>
      </c>
      <c r="H232">
        <v>648</v>
      </c>
    </row>
    <row r="233" spans="1:8" x14ac:dyDescent="0.3">
      <c r="A233" t="s">
        <v>20</v>
      </c>
      <c r="B233">
        <v>299</v>
      </c>
      <c r="G233" t="s">
        <v>14</v>
      </c>
      <c r="H233">
        <v>64</v>
      </c>
    </row>
    <row r="234" spans="1:8" x14ac:dyDescent="0.3">
      <c r="A234" t="s">
        <v>20</v>
      </c>
      <c r="B234">
        <v>2237</v>
      </c>
      <c r="G234" t="s">
        <v>14</v>
      </c>
      <c r="H234">
        <v>62</v>
      </c>
    </row>
    <row r="235" spans="1:8" x14ac:dyDescent="0.3">
      <c r="A235" t="s">
        <v>20</v>
      </c>
      <c r="B235">
        <v>645</v>
      </c>
      <c r="G235" t="s">
        <v>14</v>
      </c>
      <c r="H235">
        <v>750</v>
      </c>
    </row>
    <row r="236" spans="1:8" x14ac:dyDescent="0.3">
      <c r="A236" t="s">
        <v>20</v>
      </c>
      <c r="B236">
        <v>484</v>
      </c>
      <c r="G236" t="s">
        <v>14</v>
      </c>
      <c r="H236">
        <v>105</v>
      </c>
    </row>
    <row r="237" spans="1:8" x14ac:dyDescent="0.3">
      <c r="A237" t="s">
        <v>20</v>
      </c>
      <c r="B237">
        <v>154</v>
      </c>
      <c r="G237" t="s">
        <v>14</v>
      </c>
      <c r="H237">
        <v>2604</v>
      </c>
    </row>
    <row r="238" spans="1:8" x14ac:dyDescent="0.3">
      <c r="A238" t="s">
        <v>20</v>
      </c>
      <c r="B238">
        <v>82</v>
      </c>
      <c r="G238" t="s">
        <v>14</v>
      </c>
      <c r="H238">
        <v>65</v>
      </c>
    </row>
    <row r="239" spans="1:8" x14ac:dyDescent="0.3">
      <c r="A239" t="s">
        <v>20</v>
      </c>
      <c r="B239">
        <v>134</v>
      </c>
      <c r="G239" t="s">
        <v>14</v>
      </c>
      <c r="H239">
        <v>94</v>
      </c>
    </row>
    <row r="240" spans="1:8" x14ac:dyDescent="0.3">
      <c r="A240" t="s">
        <v>20</v>
      </c>
      <c r="B240">
        <v>5203</v>
      </c>
      <c r="G240" t="s">
        <v>14</v>
      </c>
      <c r="H240">
        <v>257</v>
      </c>
    </row>
    <row r="241" spans="1:8" x14ac:dyDescent="0.3">
      <c r="A241" t="s">
        <v>20</v>
      </c>
      <c r="B241">
        <v>94</v>
      </c>
      <c r="G241" t="s">
        <v>14</v>
      </c>
      <c r="H241">
        <v>2928</v>
      </c>
    </row>
    <row r="242" spans="1:8" x14ac:dyDescent="0.3">
      <c r="A242" t="s">
        <v>20</v>
      </c>
      <c r="B242">
        <v>205</v>
      </c>
      <c r="G242" t="s">
        <v>14</v>
      </c>
      <c r="H242">
        <v>4697</v>
      </c>
    </row>
    <row r="243" spans="1:8" x14ac:dyDescent="0.3">
      <c r="A243" t="s">
        <v>20</v>
      </c>
      <c r="B243">
        <v>92</v>
      </c>
      <c r="G243" t="s">
        <v>14</v>
      </c>
      <c r="H243">
        <v>2915</v>
      </c>
    </row>
    <row r="244" spans="1:8" x14ac:dyDescent="0.3">
      <c r="A244" t="s">
        <v>20</v>
      </c>
      <c r="B244">
        <v>219</v>
      </c>
      <c r="G244" t="s">
        <v>14</v>
      </c>
      <c r="H244">
        <v>18</v>
      </c>
    </row>
    <row r="245" spans="1:8" x14ac:dyDescent="0.3">
      <c r="A245" t="s">
        <v>20</v>
      </c>
      <c r="B245">
        <v>2526</v>
      </c>
      <c r="G245" t="s">
        <v>14</v>
      </c>
      <c r="H245">
        <v>602</v>
      </c>
    </row>
    <row r="246" spans="1:8" x14ac:dyDescent="0.3">
      <c r="A246" t="s">
        <v>20</v>
      </c>
      <c r="B246">
        <v>94</v>
      </c>
      <c r="G246" t="s">
        <v>14</v>
      </c>
      <c r="H246">
        <v>1</v>
      </c>
    </row>
    <row r="247" spans="1:8" x14ac:dyDescent="0.3">
      <c r="A247" t="s">
        <v>20</v>
      </c>
      <c r="B247">
        <v>1713</v>
      </c>
      <c r="G247" t="s">
        <v>14</v>
      </c>
      <c r="H247">
        <v>3868</v>
      </c>
    </row>
    <row r="248" spans="1:8" x14ac:dyDescent="0.3">
      <c r="A248" t="s">
        <v>20</v>
      </c>
      <c r="B248">
        <v>249</v>
      </c>
      <c r="G248" t="s">
        <v>14</v>
      </c>
      <c r="H248">
        <v>504</v>
      </c>
    </row>
    <row r="249" spans="1:8" x14ac:dyDescent="0.3">
      <c r="A249" t="s">
        <v>20</v>
      </c>
      <c r="B249">
        <v>192</v>
      </c>
      <c r="G249" t="s">
        <v>14</v>
      </c>
      <c r="H249">
        <v>14</v>
      </c>
    </row>
    <row r="250" spans="1:8" x14ac:dyDescent="0.3">
      <c r="A250" t="s">
        <v>20</v>
      </c>
      <c r="B250">
        <v>247</v>
      </c>
      <c r="G250" t="s">
        <v>14</v>
      </c>
      <c r="H250">
        <v>750</v>
      </c>
    </row>
    <row r="251" spans="1:8" x14ac:dyDescent="0.3">
      <c r="A251" t="s">
        <v>20</v>
      </c>
      <c r="B251">
        <v>2293</v>
      </c>
      <c r="G251" t="s">
        <v>14</v>
      </c>
      <c r="H251">
        <v>77</v>
      </c>
    </row>
    <row r="252" spans="1:8" x14ac:dyDescent="0.3">
      <c r="A252" t="s">
        <v>20</v>
      </c>
      <c r="B252">
        <v>3131</v>
      </c>
      <c r="G252" t="s">
        <v>14</v>
      </c>
      <c r="H252">
        <v>752</v>
      </c>
    </row>
    <row r="253" spans="1:8" x14ac:dyDescent="0.3">
      <c r="A253" t="s">
        <v>20</v>
      </c>
      <c r="B253">
        <v>143</v>
      </c>
      <c r="G253" t="s">
        <v>14</v>
      </c>
      <c r="H253">
        <v>131</v>
      </c>
    </row>
    <row r="254" spans="1:8" x14ac:dyDescent="0.3">
      <c r="A254" t="s">
        <v>20</v>
      </c>
      <c r="B254">
        <v>296</v>
      </c>
      <c r="G254" t="s">
        <v>14</v>
      </c>
      <c r="H254">
        <v>87</v>
      </c>
    </row>
    <row r="255" spans="1:8" x14ac:dyDescent="0.3">
      <c r="A255" t="s">
        <v>20</v>
      </c>
      <c r="B255">
        <v>170</v>
      </c>
      <c r="G255" t="s">
        <v>14</v>
      </c>
      <c r="H255">
        <v>1063</v>
      </c>
    </row>
    <row r="256" spans="1:8" x14ac:dyDescent="0.3">
      <c r="A256" t="s">
        <v>20</v>
      </c>
      <c r="B256">
        <v>86</v>
      </c>
      <c r="G256" t="s">
        <v>14</v>
      </c>
      <c r="H256">
        <v>76</v>
      </c>
    </row>
    <row r="257" spans="1:8" x14ac:dyDescent="0.3">
      <c r="A257" t="s">
        <v>20</v>
      </c>
      <c r="B257">
        <v>6286</v>
      </c>
      <c r="G257" t="s">
        <v>14</v>
      </c>
      <c r="H257">
        <v>4428</v>
      </c>
    </row>
    <row r="258" spans="1:8" x14ac:dyDescent="0.3">
      <c r="A258" t="s">
        <v>20</v>
      </c>
      <c r="B258">
        <v>3727</v>
      </c>
      <c r="G258" t="s">
        <v>14</v>
      </c>
      <c r="H258">
        <v>58</v>
      </c>
    </row>
    <row r="259" spans="1:8" x14ac:dyDescent="0.3">
      <c r="A259" t="s">
        <v>20</v>
      </c>
      <c r="B259">
        <v>1605</v>
      </c>
      <c r="G259" t="s">
        <v>14</v>
      </c>
      <c r="H259">
        <v>111</v>
      </c>
    </row>
    <row r="260" spans="1:8" x14ac:dyDescent="0.3">
      <c r="A260" t="s">
        <v>20</v>
      </c>
      <c r="B260">
        <v>2120</v>
      </c>
      <c r="G260" t="s">
        <v>14</v>
      </c>
      <c r="H260">
        <v>2955</v>
      </c>
    </row>
    <row r="261" spans="1:8" x14ac:dyDescent="0.3">
      <c r="A261" t="s">
        <v>20</v>
      </c>
      <c r="B261">
        <v>50</v>
      </c>
      <c r="G261" t="s">
        <v>14</v>
      </c>
      <c r="H261">
        <v>1657</v>
      </c>
    </row>
    <row r="262" spans="1:8" x14ac:dyDescent="0.3">
      <c r="A262" t="s">
        <v>20</v>
      </c>
      <c r="B262">
        <v>2080</v>
      </c>
      <c r="G262" t="s">
        <v>14</v>
      </c>
      <c r="H262">
        <v>926</v>
      </c>
    </row>
    <row r="263" spans="1:8" x14ac:dyDescent="0.3">
      <c r="A263" t="s">
        <v>20</v>
      </c>
      <c r="B263">
        <v>2105</v>
      </c>
      <c r="G263" t="s">
        <v>14</v>
      </c>
      <c r="H263">
        <v>77</v>
      </c>
    </row>
    <row r="264" spans="1:8" x14ac:dyDescent="0.3">
      <c r="A264" t="s">
        <v>20</v>
      </c>
      <c r="B264">
        <v>2436</v>
      </c>
      <c r="G264" t="s">
        <v>14</v>
      </c>
      <c r="H264">
        <v>1748</v>
      </c>
    </row>
    <row r="265" spans="1:8" x14ac:dyDescent="0.3">
      <c r="A265" t="s">
        <v>20</v>
      </c>
      <c r="B265">
        <v>80</v>
      </c>
      <c r="G265" t="s">
        <v>14</v>
      </c>
      <c r="H265">
        <v>79</v>
      </c>
    </row>
    <row r="266" spans="1:8" x14ac:dyDescent="0.3">
      <c r="A266" t="s">
        <v>20</v>
      </c>
      <c r="B266">
        <v>42</v>
      </c>
      <c r="G266" t="s">
        <v>14</v>
      </c>
      <c r="H266">
        <v>889</v>
      </c>
    </row>
    <row r="267" spans="1:8" x14ac:dyDescent="0.3">
      <c r="A267" t="s">
        <v>20</v>
      </c>
      <c r="B267">
        <v>139</v>
      </c>
      <c r="G267" t="s">
        <v>14</v>
      </c>
      <c r="H267">
        <v>56</v>
      </c>
    </row>
    <row r="268" spans="1:8" x14ac:dyDescent="0.3">
      <c r="A268" t="s">
        <v>20</v>
      </c>
      <c r="B268">
        <v>159</v>
      </c>
      <c r="G268" t="s">
        <v>14</v>
      </c>
      <c r="H268">
        <v>1</v>
      </c>
    </row>
    <row r="269" spans="1:8" x14ac:dyDescent="0.3">
      <c r="A269" t="s">
        <v>20</v>
      </c>
      <c r="B269">
        <v>381</v>
      </c>
      <c r="G269" t="s">
        <v>14</v>
      </c>
      <c r="H269">
        <v>83</v>
      </c>
    </row>
    <row r="270" spans="1:8" x14ac:dyDescent="0.3">
      <c r="A270" t="s">
        <v>20</v>
      </c>
      <c r="B270">
        <v>194</v>
      </c>
      <c r="G270" t="s">
        <v>14</v>
      </c>
      <c r="H270">
        <v>2025</v>
      </c>
    </row>
    <row r="271" spans="1:8" x14ac:dyDescent="0.3">
      <c r="A271" t="s">
        <v>20</v>
      </c>
      <c r="B271">
        <v>106</v>
      </c>
      <c r="G271" t="s">
        <v>14</v>
      </c>
      <c r="H271">
        <v>14</v>
      </c>
    </row>
    <row r="272" spans="1:8" x14ac:dyDescent="0.3">
      <c r="A272" t="s">
        <v>20</v>
      </c>
      <c r="B272">
        <v>142</v>
      </c>
      <c r="G272" t="s">
        <v>14</v>
      </c>
      <c r="H272">
        <v>656</v>
      </c>
    </row>
    <row r="273" spans="1:8" x14ac:dyDescent="0.3">
      <c r="A273" t="s">
        <v>20</v>
      </c>
      <c r="B273">
        <v>211</v>
      </c>
      <c r="G273" t="s">
        <v>14</v>
      </c>
      <c r="H273">
        <v>1596</v>
      </c>
    </row>
    <row r="274" spans="1:8" x14ac:dyDescent="0.3">
      <c r="A274" t="s">
        <v>20</v>
      </c>
      <c r="B274">
        <v>2756</v>
      </c>
      <c r="G274" t="s">
        <v>14</v>
      </c>
      <c r="H274">
        <v>10</v>
      </c>
    </row>
    <row r="275" spans="1:8" x14ac:dyDescent="0.3">
      <c r="A275" t="s">
        <v>20</v>
      </c>
      <c r="B275">
        <v>173</v>
      </c>
      <c r="G275" t="s">
        <v>14</v>
      </c>
      <c r="H275">
        <v>1121</v>
      </c>
    </row>
    <row r="276" spans="1:8" x14ac:dyDescent="0.3">
      <c r="A276" t="s">
        <v>20</v>
      </c>
      <c r="B276">
        <v>87</v>
      </c>
      <c r="G276" t="s">
        <v>14</v>
      </c>
      <c r="H276">
        <v>15</v>
      </c>
    </row>
    <row r="277" spans="1:8" x14ac:dyDescent="0.3">
      <c r="A277" t="s">
        <v>20</v>
      </c>
      <c r="B277">
        <v>1572</v>
      </c>
      <c r="G277" t="s">
        <v>14</v>
      </c>
      <c r="H277">
        <v>191</v>
      </c>
    </row>
    <row r="278" spans="1:8" x14ac:dyDescent="0.3">
      <c r="A278" t="s">
        <v>20</v>
      </c>
      <c r="B278">
        <v>2346</v>
      </c>
      <c r="G278" t="s">
        <v>14</v>
      </c>
      <c r="H278">
        <v>16</v>
      </c>
    </row>
    <row r="279" spans="1:8" x14ac:dyDescent="0.3">
      <c r="A279" t="s">
        <v>20</v>
      </c>
      <c r="B279">
        <v>115</v>
      </c>
      <c r="G279" t="s">
        <v>14</v>
      </c>
      <c r="H279">
        <v>17</v>
      </c>
    </row>
    <row r="280" spans="1:8" x14ac:dyDescent="0.3">
      <c r="A280" t="s">
        <v>20</v>
      </c>
      <c r="B280">
        <v>85</v>
      </c>
      <c r="G280" t="s">
        <v>14</v>
      </c>
      <c r="H280">
        <v>34</v>
      </c>
    </row>
    <row r="281" spans="1:8" x14ac:dyDescent="0.3">
      <c r="A281" t="s">
        <v>20</v>
      </c>
      <c r="B281">
        <v>144</v>
      </c>
      <c r="G281" t="s">
        <v>14</v>
      </c>
      <c r="H281">
        <v>1</v>
      </c>
    </row>
    <row r="282" spans="1:8" x14ac:dyDescent="0.3">
      <c r="A282" t="s">
        <v>20</v>
      </c>
      <c r="B282">
        <v>2443</v>
      </c>
      <c r="G282" t="s">
        <v>14</v>
      </c>
      <c r="H282">
        <v>1274</v>
      </c>
    </row>
    <row r="283" spans="1:8" x14ac:dyDescent="0.3">
      <c r="A283" t="s">
        <v>20</v>
      </c>
      <c r="B283">
        <v>64</v>
      </c>
      <c r="G283" t="s">
        <v>14</v>
      </c>
      <c r="H283">
        <v>210</v>
      </c>
    </row>
    <row r="284" spans="1:8" x14ac:dyDescent="0.3">
      <c r="A284" t="s">
        <v>20</v>
      </c>
      <c r="B284">
        <v>268</v>
      </c>
      <c r="G284" t="s">
        <v>14</v>
      </c>
      <c r="H284">
        <v>248</v>
      </c>
    </row>
    <row r="285" spans="1:8" x14ac:dyDescent="0.3">
      <c r="A285" t="s">
        <v>20</v>
      </c>
      <c r="B285">
        <v>195</v>
      </c>
      <c r="G285" t="s">
        <v>14</v>
      </c>
      <c r="H285">
        <v>513</v>
      </c>
    </row>
    <row r="286" spans="1:8" x14ac:dyDescent="0.3">
      <c r="A286" t="s">
        <v>20</v>
      </c>
      <c r="B286">
        <v>186</v>
      </c>
      <c r="G286" t="s">
        <v>14</v>
      </c>
      <c r="H286">
        <v>3410</v>
      </c>
    </row>
    <row r="287" spans="1:8" x14ac:dyDescent="0.3">
      <c r="A287" t="s">
        <v>20</v>
      </c>
      <c r="B287">
        <v>460</v>
      </c>
      <c r="G287" t="s">
        <v>14</v>
      </c>
      <c r="H287">
        <v>10</v>
      </c>
    </row>
    <row r="288" spans="1:8" x14ac:dyDescent="0.3">
      <c r="A288" t="s">
        <v>20</v>
      </c>
      <c r="B288">
        <v>2528</v>
      </c>
      <c r="G288" t="s">
        <v>14</v>
      </c>
      <c r="H288">
        <v>2201</v>
      </c>
    </row>
    <row r="289" spans="1:8" x14ac:dyDescent="0.3">
      <c r="A289" t="s">
        <v>20</v>
      </c>
      <c r="B289">
        <v>3657</v>
      </c>
      <c r="G289" t="s">
        <v>14</v>
      </c>
      <c r="H289">
        <v>676</v>
      </c>
    </row>
    <row r="290" spans="1:8" x14ac:dyDescent="0.3">
      <c r="A290" t="s">
        <v>20</v>
      </c>
      <c r="B290">
        <v>131</v>
      </c>
      <c r="G290" t="s">
        <v>14</v>
      </c>
      <c r="H290">
        <v>831</v>
      </c>
    </row>
    <row r="291" spans="1:8" x14ac:dyDescent="0.3">
      <c r="A291" t="s">
        <v>20</v>
      </c>
      <c r="B291">
        <v>239</v>
      </c>
      <c r="G291" t="s">
        <v>14</v>
      </c>
      <c r="H291">
        <v>859</v>
      </c>
    </row>
    <row r="292" spans="1:8" x14ac:dyDescent="0.3">
      <c r="A292" t="s">
        <v>20</v>
      </c>
      <c r="B292">
        <v>78</v>
      </c>
      <c r="G292" t="s">
        <v>14</v>
      </c>
      <c r="H292">
        <v>45</v>
      </c>
    </row>
    <row r="293" spans="1:8" x14ac:dyDescent="0.3">
      <c r="A293" t="s">
        <v>20</v>
      </c>
      <c r="B293">
        <v>1773</v>
      </c>
      <c r="G293" t="s">
        <v>14</v>
      </c>
      <c r="H293">
        <v>6</v>
      </c>
    </row>
    <row r="294" spans="1:8" x14ac:dyDescent="0.3">
      <c r="A294" t="s">
        <v>20</v>
      </c>
      <c r="B294">
        <v>32</v>
      </c>
      <c r="G294" t="s">
        <v>14</v>
      </c>
      <c r="H294">
        <v>7</v>
      </c>
    </row>
    <row r="295" spans="1:8" x14ac:dyDescent="0.3">
      <c r="A295" t="s">
        <v>20</v>
      </c>
      <c r="B295">
        <v>369</v>
      </c>
      <c r="G295" t="s">
        <v>14</v>
      </c>
      <c r="H295">
        <v>31</v>
      </c>
    </row>
    <row r="296" spans="1:8" x14ac:dyDescent="0.3">
      <c r="A296" t="s">
        <v>20</v>
      </c>
      <c r="B296">
        <v>89</v>
      </c>
      <c r="G296" t="s">
        <v>14</v>
      </c>
      <c r="H296">
        <v>78</v>
      </c>
    </row>
    <row r="297" spans="1:8" x14ac:dyDescent="0.3">
      <c r="A297" t="s">
        <v>20</v>
      </c>
      <c r="B297">
        <v>147</v>
      </c>
      <c r="G297" t="s">
        <v>14</v>
      </c>
      <c r="H297">
        <v>1225</v>
      </c>
    </row>
    <row r="298" spans="1:8" x14ac:dyDescent="0.3">
      <c r="A298" t="s">
        <v>20</v>
      </c>
      <c r="B298">
        <v>126</v>
      </c>
      <c r="G298" t="s">
        <v>14</v>
      </c>
      <c r="H298">
        <v>1</v>
      </c>
    </row>
    <row r="299" spans="1:8" x14ac:dyDescent="0.3">
      <c r="A299" t="s">
        <v>20</v>
      </c>
      <c r="B299">
        <v>2218</v>
      </c>
      <c r="G299" t="s">
        <v>14</v>
      </c>
      <c r="H299">
        <v>67</v>
      </c>
    </row>
    <row r="300" spans="1:8" x14ac:dyDescent="0.3">
      <c r="A300" t="s">
        <v>20</v>
      </c>
      <c r="B300">
        <v>202</v>
      </c>
      <c r="G300" t="s">
        <v>14</v>
      </c>
      <c r="H300">
        <v>19</v>
      </c>
    </row>
    <row r="301" spans="1:8" x14ac:dyDescent="0.3">
      <c r="A301" t="s">
        <v>20</v>
      </c>
      <c r="B301">
        <v>140</v>
      </c>
      <c r="G301" t="s">
        <v>14</v>
      </c>
      <c r="H301">
        <v>2108</v>
      </c>
    </row>
    <row r="302" spans="1:8" x14ac:dyDescent="0.3">
      <c r="A302" t="s">
        <v>20</v>
      </c>
      <c r="B302">
        <v>1052</v>
      </c>
      <c r="G302" t="s">
        <v>14</v>
      </c>
      <c r="H302">
        <v>679</v>
      </c>
    </row>
    <row r="303" spans="1:8" x14ac:dyDescent="0.3">
      <c r="A303" t="s">
        <v>20</v>
      </c>
      <c r="B303">
        <v>247</v>
      </c>
      <c r="G303" t="s">
        <v>14</v>
      </c>
      <c r="H303">
        <v>36</v>
      </c>
    </row>
    <row r="304" spans="1:8" x14ac:dyDescent="0.3">
      <c r="A304" t="s">
        <v>20</v>
      </c>
      <c r="B304">
        <v>84</v>
      </c>
      <c r="G304" t="s">
        <v>14</v>
      </c>
      <c r="H304">
        <v>47</v>
      </c>
    </row>
    <row r="305" spans="1:8" x14ac:dyDescent="0.3">
      <c r="A305" t="s">
        <v>20</v>
      </c>
      <c r="B305">
        <v>88</v>
      </c>
      <c r="G305" t="s">
        <v>14</v>
      </c>
      <c r="H305">
        <v>70</v>
      </c>
    </row>
    <row r="306" spans="1:8" x14ac:dyDescent="0.3">
      <c r="A306" t="s">
        <v>20</v>
      </c>
      <c r="B306">
        <v>156</v>
      </c>
      <c r="G306" t="s">
        <v>14</v>
      </c>
      <c r="H306">
        <v>154</v>
      </c>
    </row>
    <row r="307" spans="1:8" x14ac:dyDescent="0.3">
      <c r="A307" t="s">
        <v>20</v>
      </c>
      <c r="B307">
        <v>2985</v>
      </c>
      <c r="G307" t="s">
        <v>14</v>
      </c>
      <c r="H307">
        <v>22</v>
      </c>
    </row>
    <row r="308" spans="1:8" x14ac:dyDescent="0.3">
      <c r="A308" t="s">
        <v>20</v>
      </c>
      <c r="B308">
        <v>762</v>
      </c>
      <c r="G308" t="s">
        <v>14</v>
      </c>
      <c r="H308">
        <v>1758</v>
      </c>
    </row>
    <row r="309" spans="1:8" x14ac:dyDescent="0.3">
      <c r="A309" t="s">
        <v>20</v>
      </c>
      <c r="B309">
        <v>554</v>
      </c>
      <c r="G309" t="s">
        <v>14</v>
      </c>
      <c r="H309">
        <v>94</v>
      </c>
    </row>
    <row r="310" spans="1:8" x14ac:dyDescent="0.3">
      <c r="A310" t="s">
        <v>20</v>
      </c>
      <c r="B310">
        <v>135</v>
      </c>
      <c r="G310" t="s">
        <v>14</v>
      </c>
      <c r="H310">
        <v>33</v>
      </c>
    </row>
    <row r="311" spans="1:8" x14ac:dyDescent="0.3">
      <c r="A311" t="s">
        <v>20</v>
      </c>
      <c r="B311">
        <v>122</v>
      </c>
      <c r="G311" t="s">
        <v>14</v>
      </c>
      <c r="H311">
        <v>1</v>
      </c>
    </row>
    <row r="312" spans="1:8" x14ac:dyDescent="0.3">
      <c r="A312" t="s">
        <v>20</v>
      </c>
      <c r="B312">
        <v>221</v>
      </c>
      <c r="G312" t="s">
        <v>14</v>
      </c>
      <c r="H312">
        <v>31</v>
      </c>
    </row>
    <row r="313" spans="1:8" x14ac:dyDescent="0.3">
      <c r="A313" t="s">
        <v>20</v>
      </c>
      <c r="B313">
        <v>126</v>
      </c>
      <c r="G313" t="s">
        <v>14</v>
      </c>
      <c r="H313">
        <v>35</v>
      </c>
    </row>
    <row r="314" spans="1:8" x14ac:dyDescent="0.3">
      <c r="A314" t="s">
        <v>20</v>
      </c>
      <c r="B314">
        <v>1022</v>
      </c>
      <c r="G314" t="s">
        <v>14</v>
      </c>
      <c r="H314">
        <v>63</v>
      </c>
    </row>
    <row r="315" spans="1:8" x14ac:dyDescent="0.3">
      <c r="A315" t="s">
        <v>20</v>
      </c>
      <c r="B315">
        <v>3177</v>
      </c>
      <c r="G315" t="s">
        <v>14</v>
      </c>
      <c r="H315">
        <v>526</v>
      </c>
    </row>
    <row r="316" spans="1:8" x14ac:dyDescent="0.3">
      <c r="A316" t="s">
        <v>20</v>
      </c>
      <c r="B316">
        <v>198</v>
      </c>
      <c r="G316" t="s">
        <v>14</v>
      </c>
      <c r="H316">
        <v>121</v>
      </c>
    </row>
    <row r="317" spans="1:8" x14ac:dyDescent="0.3">
      <c r="A317" t="s">
        <v>20</v>
      </c>
      <c r="B317">
        <v>85</v>
      </c>
      <c r="G317" t="s">
        <v>14</v>
      </c>
      <c r="H317">
        <v>67</v>
      </c>
    </row>
    <row r="318" spans="1:8" x14ac:dyDescent="0.3">
      <c r="A318" t="s">
        <v>20</v>
      </c>
      <c r="B318">
        <v>3596</v>
      </c>
      <c r="G318" t="s">
        <v>14</v>
      </c>
      <c r="H318">
        <v>57</v>
      </c>
    </row>
    <row r="319" spans="1:8" x14ac:dyDescent="0.3">
      <c r="A319" t="s">
        <v>20</v>
      </c>
      <c r="B319">
        <v>244</v>
      </c>
      <c r="G319" t="s">
        <v>14</v>
      </c>
      <c r="H319">
        <v>1229</v>
      </c>
    </row>
    <row r="320" spans="1:8" x14ac:dyDescent="0.3">
      <c r="A320" t="s">
        <v>20</v>
      </c>
      <c r="B320">
        <v>5180</v>
      </c>
      <c r="G320" t="s">
        <v>14</v>
      </c>
      <c r="H320">
        <v>12</v>
      </c>
    </row>
    <row r="321" spans="1:8" x14ac:dyDescent="0.3">
      <c r="A321" t="s">
        <v>20</v>
      </c>
      <c r="B321">
        <v>589</v>
      </c>
      <c r="G321" t="s">
        <v>14</v>
      </c>
      <c r="H321">
        <v>452</v>
      </c>
    </row>
    <row r="322" spans="1:8" x14ac:dyDescent="0.3">
      <c r="A322" t="s">
        <v>20</v>
      </c>
      <c r="B322">
        <v>2725</v>
      </c>
      <c r="G322" t="s">
        <v>14</v>
      </c>
      <c r="H322">
        <v>1886</v>
      </c>
    </row>
    <row r="323" spans="1:8" x14ac:dyDescent="0.3">
      <c r="A323" t="s">
        <v>20</v>
      </c>
      <c r="B323">
        <v>300</v>
      </c>
      <c r="G323" t="s">
        <v>14</v>
      </c>
      <c r="H323">
        <v>1825</v>
      </c>
    </row>
    <row r="324" spans="1:8" x14ac:dyDescent="0.3">
      <c r="A324" t="s">
        <v>20</v>
      </c>
      <c r="B324">
        <v>144</v>
      </c>
      <c r="G324" t="s">
        <v>14</v>
      </c>
      <c r="H324">
        <v>31</v>
      </c>
    </row>
    <row r="325" spans="1:8" x14ac:dyDescent="0.3">
      <c r="A325" t="s">
        <v>20</v>
      </c>
      <c r="B325">
        <v>87</v>
      </c>
      <c r="G325" t="s">
        <v>14</v>
      </c>
      <c r="H325">
        <v>107</v>
      </c>
    </row>
    <row r="326" spans="1:8" x14ac:dyDescent="0.3">
      <c r="A326" t="s">
        <v>20</v>
      </c>
      <c r="B326">
        <v>3116</v>
      </c>
      <c r="G326" t="s">
        <v>14</v>
      </c>
      <c r="H326">
        <v>27</v>
      </c>
    </row>
    <row r="327" spans="1:8" x14ac:dyDescent="0.3">
      <c r="A327" t="s">
        <v>20</v>
      </c>
      <c r="B327">
        <v>909</v>
      </c>
      <c r="G327" t="s">
        <v>14</v>
      </c>
      <c r="H327">
        <v>1221</v>
      </c>
    </row>
    <row r="328" spans="1:8" x14ac:dyDescent="0.3">
      <c r="A328" t="s">
        <v>20</v>
      </c>
      <c r="B328">
        <v>1613</v>
      </c>
      <c r="G328" t="s">
        <v>14</v>
      </c>
      <c r="H328">
        <v>1</v>
      </c>
    </row>
    <row r="329" spans="1:8" x14ac:dyDescent="0.3">
      <c r="A329" t="s">
        <v>20</v>
      </c>
      <c r="B329">
        <v>136</v>
      </c>
      <c r="G329" t="s">
        <v>14</v>
      </c>
      <c r="H329">
        <v>16</v>
      </c>
    </row>
    <row r="330" spans="1:8" x14ac:dyDescent="0.3">
      <c r="A330" t="s">
        <v>20</v>
      </c>
      <c r="B330">
        <v>130</v>
      </c>
      <c r="G330" t="s">
        <v>14</v>
      </c>
      <c r="H330">
        <v>41</v>
      </c>
    </row>
    <row r="331" spans="1:8" x14ac:dyDescent="0.3">
      <c r="A331" t="s">
        <v>20</v>
      </c>
      <c r="B331">
        <v>102</v>
      </c>
      <c r="G331" t="s">
        <v>14</v>
      </c>
      <c r="H331">
        <v>523</v>
      </c>
    </row>
    <row r="332" spans="1:8" x14ac:dyDescent="0.3">
      <c r="A332" t="s">
        <v>20</v>
      </c>
      <c r="B332">
        <v>4006</v>
      </c>
      <c r="G332" t="s">
        <v>14</v>
      </c>
      <c r="H332">
        <v>141</v>
      </c>
    </row>
    <row r="333" spans="1:8" x14ac:dyDescent="0.3">
      <c r="A333" t="s">
        <v>20</v>
      </c>
      <c r="B333">
        <v>1629</v>
      </c>
      <c r="G333" t="s">
        <v>14</v>
      </c>
      <c r="H333">
        <v>52</v>
      </c>
    </row>
    <row r="334" spans="1:8" x14ac:dyDescent="0.3">
      <c r="A334" t="s">
        <v>20</v>
      </c>
      <c r="B334">
        <v>2188</v>
      </c>
      <c r="G334" t="s">
        <v>14</v>
      </c>
      <c r="H334">
        <v>225</v>
      </c>
    </row>
    <row r="335" spans="1:8" x14ac:dyDescent="0.3">
      <c r="A335" t="s">
        <v>20</v>
      </c>
      <c r="B335">
        <v>2409</v>
      </c>
      <c r="G335" t="s">
        <v>14</v>
      </c>
      <c r="H335">
        <v>38</v>
      </c>
    </row>
    <row r="336" spans="1:8" x14ac:dyDescent="0.3">
      <c r="A336" t="s">
        <v>20</v>
      </c>
      <c r="B336">
        <v>194</v>
      </c>
      <c r="G336" t="s">
        <v>14</v>
      </c>
      <c r="H336">
        <v>15</v>
      </c>
    </row>
    <row r="337" spans="1:8" x14ac:dyDescent="0.3">
      <c r="A337" t="s">
        <v>20</v>
      </c>
      <c r="B337">
        <v>1140</v>
      </c>
      <c r="G337" t="s">
        <v>14</v>
      </c>
      <c r="H337">
        <v>37</v>
      </c>
    </row>
    <row r="338" spans="1:8" x14ac:dyDescent="0.3">
      <c r="A338" t="s">
        <v>20</v>
      </c>
      <c r="B338">
        <v>102</v>
      </c>
      <c r="G338" t="s">
        <v>14</v>
      </c>
      <c r="H338">
        <v>112</v>
      </c>
    </row>
    <row r="339" spans="1:8" x14ac:dyDescent="0.3">
      <c r="A339" t="s">
        <v>20</v>
      </c>
      <c r="B339">
        <v>2857</v>
      </c>
      <c r="G339" t="s">
        <v>14</v>
      </c>
      <c r="H339">
        <v>21</v>
      </c>
    </row>
    <row r="340" spans="1:8" x14ac:dyDescent="0.3">
      <c r="A340" t="s">
        <v>20</v>
      </c>
      <c r="B340">
        <v>107</v>
      </c>
      <c r="G340" t="s">
        <v>14</v>
      </c>
      <c r="H340">
        <v>67</v>
      </c>
    </row>
    <row r="341" spans="1:8" x14ac:dyDescent="0.3">
      <c r="A341" t="s">
        <v>20</v>
      </c>
      <c r="B341">
        <v>160</v>
      </c>
      <c r="G341" t="s">
        <v>14</v>
      </c>
      <c r="H341">
        <v>78</v>
      </c>
    </row>
    <row r="342" spans="1:8" x14ac:dyDescent="0.3">
      <c r="A342" t="s">
        <v>20</v>
      </c>
      <c r="B342">
        <v>2230</v>
      </c>
      <c r="G342" t="s">
        <v>14</v>
      </c>
      <c r="H342">
        <v>67</v>
      </c>
    </row>
    <row r="343" spans="1:8" x14ac:dyDescent="0.3">
      <c r="A343" t="s">
        <v>20</v>
      </c>
      <c r="B343">
        <v>316</v>
      </c>
      <c r="G343" t="s">
        <v>14</v>
      </c>
      <c r="H343">
        <v>263</v>
      </c>
    </row>
    <row r="344" spans="1:8" x14ac:dyDescent="0.3">
      <c r="A344" t="s">
        <v>20</v>
      </c>
      <c r="B344">
        <v>117</v>
      </c>
      <c r="G344" t="s">
        <v>14</v>
      </c>
      <c r="H344">
        <v>1691</v>
      </c>
    </row>
    <row r="345" spans="1:8" x14ac:dyDescent="0.3">
      <c r="A345" t="s">
        <v>20</v>
      </c>
      <c r="B345">
        <v>6406</v>
      </c>
      <c r="G345" t="s">
        <v>14</v>
      </c>
      <c r="H345">
        <v>181</v>
      </c>
    </row>
    <row r="346" spans="1:8" x14ac:dyDescent="0.3">
      <c r="A346" t="s">
        <v>20</v>
      </c>
      <c r="B346">
        <v>192</v>
      </c>
      <c r="G346" t="s">
        <v>14</v>
      </c>
      <c r="H346">
        <v>13</v>
      </c>
    </row>
    <row r="347" spans="1:8" x14ac:dyDescent="0.3">
      <c r="A347" t="s">
        <v>20</v>
      </c>
      <c r="B347">
        <v>26</v>
      </c>
      <c r="G347" t="s">
        <v>14</v>
      </c>
      <c r="H347">
        <v>1</v>
      </c>
    </row>
    <row r="348" spans="1:8" x14ac:dyDescent="0.3">
      <c r="A348" t="s">
        <v>20</v>
      </c>
      <c r="B348">
        <v>723</v>
      </c>
      <c r="G348" t="s">
        <v>14</v>
      </c>
      <c r="H348">
        <v>21</v>
      </c>
    </row>
    <row r="349" spans="1:8" x14ac:dyDescent="0.3">
      <c r="A349" t="s">
        <v>20</v>
      </c>
      <c r="B349">
        <v>170</v>
      </c>
      <c r="G349" t="s">
        <v>14</v>
      </c>
      <c r="H349">
        <v>830</v>
      </c>
    </row>
    <row r="350" spans="1:8" x14ac:dyDescent="0.3">
      <c r="A350" t="s">
        <v>20</v>
      </c>
      <c r="B350">
        <v>238</v>
      </c>
      <c r="G350" t="s">
        <v>14</v>
      </c>
      <c r="H350">
        <v>130</v>
      </c>
    </row>
    <row r="351" spans="1:8" x14ac:dyDescent="0.3">
      <c r="A351" t="s">
        <v>20</v>
      </c>
      <c r="B351">
        <v>55</v>
      </c>
      <c r="G351" t="s">
        <v>14</v>
      </c>
      <c r="H351">
        <v>55</v>
      </c>
    </row>
    <row r="352" spans="1:8" x14ac:dyDescent="0.3">
      <c r="A352" t="s">
        <v>20</v>
      </c>
      <c r="B352">
        <v>128</v>
      </c>
      <c r="G352" t="s">
        <v>14</v>
      </c>
      <c r="H352">
        <v>114</v>
      </c>
    </row>
    <row r="353" spans="1:8" x14ac:dyDescent="0.3">
      <c r="A353" t="s">
        <v>20</v>
      </c>
      <c r="B353">
        <v>2144</v>
      </c>
      <c r="G353" t="s">
        <v>14</v>
      </c>
      <c r="H353">
        <v>594</v>
      </c>
    </row>
    <row r="354" spans="1:8" x14ac:dyDescent="0.3">
      <c r="A354" t="s">
        <v>20</v>
      </c>
      <c r="B354">
        <v>2693</v>
      </c>
      <c r="G354" t="s">
        <v>14</v>
      </c>
      <c r="H354">
        <v>24</v>
      </c>
    </row>
    <row r="355" spans="1:8" x14ac:dyDescent="0.3">
      <c r="A355" t="s">
        <v>20</v>
      </c>
      <c r="B355">
        <v>432</v>
      </c>
      <c r="G355" t="s">
        <v>14</v>
      </c>
      <c r="H355">
        <v>252</v>
      </c>
    </row>
    <row r="356" spans="1:8" x14ac:dyDescent="0.3">
      <c r="A356" t="s">
        <v>20</v>
      </c>
      <c r="B356">
        <v>189</v>
      </c>
      <c r="G356" t="s">
        <v>14</v>
      </c>
      <c r="H356">
        <v>67</v>
      </c>
    </row>
    <row r="357" spans="1:8" x14ac:dyDescent="0.3">
      <c r="A357" t="s">
        <v>20</v>
      </c>
      <c r="B357">
        <v>154</v>
      </c>
      <c r="G357" t="s">
        <v>14</v>
      </c>
      <c r="H357">
        <v>742</v>
      </c>
    </row>
    <row r="358" spans="1:8" x14ac:dyDescent="0.3">
      <c r="A358" t="s">
        <v>20</v>
      </c>
      <c r="B358">
        <v>96</v>
      </c>
      <c r="G358" t="s">
        <v>14</v>
      </c>
      <c r="H358">
        <v>75</v>
      </c>
    </row>
    <row r="359" spans="1:8" x14ac:dyDescent="0.3">
      <c r="A359" t="s">
        <v>20</v>
      </c>
      <c r="B359">
        <v>3063</v>
      </c>
      <c r="G359" t="s">
        <v>14</v>
      </c>
      <c r="H359">
        <v>4405</v>
      </c>
    </row>
    <row r="360" spans="1:8" x14ac:dyDescent="0.3">
      <c r="A360" t="s">
        <v>20</v>
      </c>
      <c r="B360">
        <v>2266</v>
      </c>
      <c r="G360" t="s">
        <v>14</v>
      </c>
      <c r="H360">
        <v>92</v>
      </c>
    </row>
    <row r="361" spans="1:8" x14ac:dyDescent="0.3">
      <c r="A361" t="s">
        <v>20</v>
      </c>
      <c r="B361">
        <v>194</v>
      </c>
      <c r="G361" t="s">
        <v>14</v>
      </c>
      <c r="H361">
        <v>64</v>
      </c>
    </row>
    <row r="362" spans="1:8" x14ac:dyDescent="0.3">
      <c r="A362" t="s">
        <v>20</v>
      </c>
      <c r="B362">
        <v>129</v>
      </c>
      <c r="G362" t="s">
        <v>14</v>
      </c>
      <c r="H362">
        <v>64</v>
      </c>
    </row>
    <row r="363" spans="1:8" x14ac:dyDescent="0.3">
      <c r="A363" t="s">
        <v>20</v>
      </c>
      <c r="B363">
        <v>375</v>
      </c>
      <c r="G363" t="s">
        <v>14</v>
      </c>
      <c r="H363">
        <v>842</v>
      </c>
    </row>
    <row r="364" spans="1:8" x14ac:dyDescent="0.3">
      <c r="A364" t="s">
        <v>20</v>
      </c>
      <c r="B364">
        <v>409</v>
      </c>
      <c r="G364" t="s">
        <v>14</v>
      </c>
      <c r="H364">
        <v>112</v>
      </c>
    </row>
    <row r="365" spans="1:8" x14ac:dyDescent="0.3">
      <c r="A365" t="s">
        <v>20</v>
      </c>
      <c r="B365">
        <v>234</v>
      </c>
      <c r="G365" t="s">
        <v>14</v>
      </c>
      <c r="H365">
        <v>374</v>
      </c>
    </row>
    <row r="366" spans="1:8" x14ac:dyDescent="0.3">
      <c r="A366" t="s">
        <v>20</v>
      </c>
      <c r="B366">
        <v>3016</v>
      </c>
    </row>
    <row r="367" spans="1:8" x14ac:dyDescent="0.3">
      <c r="A367" t="s">
        <v>20</v>
      </c>
      <c r="B367">
        <v>264</v>
      </c>
    </row>
    <row r="368" spans="1:8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autoFilter ref="A1:B1" xr:uid="{34548FAC-394A-48CB-9F2D-59136AD731D2}"/>
  <mergeCells count="2">
    <mergeCell ref="D2:E2"/>
    <mergeCell ref="J2:K2"/>
  </mergeCells>
  <conditionalFormatting sqref="A2:A566">
    <cfRule type="containsText" dxfId="15" priority="17" operator="containsText" text="canceled">
      <formula>NOT(ISERROR(SEARCH("canceled",A2)))</formula>
    </cfRule>
    <cfRule type="containsText" dxfId="14" priority="18" operator="containsText" text="live">
      <formula>NOT(ISERROR(SEARCH("live",A2)))</formula>
    </cfRule>
    <cfRule type="containsText" dxfId="13" priority="19" operator="containsText" text="successful">
      <formula>NOT(ISERROR(SEARCH("successful",A2)))</formula>
    </cfRule>
    <cfRule type="containsText" dxfId="12" priority="20" operator="containsText" text="failed">
      <formula>NOT(ISERROR(SEARCH("failed",A2)))</formula>
    </cfRule>
  </conditionalFormatting>
  <conditionalFormatting sqref="G2:G365">
    <cfRule type="containsText" dxfId="11" priority="13" operator="containsText" text="canceled">
      <formula>NOT(ISERROR(SEARCH("canceled",G2)))</formula>
    </cfRule>
    <cfRule type="containsText" dxfId="10" priority="14" operator="containsText" text="live">
      <formula>NOT(ISERROR(SEARCH("live",G2)))</formula>
    </cfRule>
    <cfRule type="containsText" dxfId="9" priority="15" operator="containsText" text="successful">
      <formula>NOT(ISERROR(SEARCH("successful",G2)))</formula>
    </cfRule>
    <cfRule type="containsText" dxfId="8" priority="16" operator="containsText" text="failed">
      <formula>NOT(ISERROR(SEARCH("failed",G2)))</formula>
    </cfRule>
  </conditionalFormatting>
  <conditionalFormatting sqref="D2">
    <cfRule type="containsText" dxfId="7" priority="9" operator="containsText" text="canceled">
      <formula>NOT(ISERROR(SEARCH("canceled",D2)))</formula>
    </cfRule>
    <cfRule type="containsText" dxfId="6" priority="10" operator="containsText" text="live">
      <formula>NOT(ISERROR(SEARCH("live",D2)))</formula>
    </cfRule>
    <cfRule type="containsText" dxfId="5" priority="11" operator="containsText" text="successful">
      <formula>NOT(ISERROR(SEARCH("successful",D2)))</formula>
    </cfRule>
    <cfRule type="containsText" dxfId="4" priority="12" operator="containsText" text="failed">
      <formula>NOT(ISERROR(SEARCH("failed",D2)))</formula>
    </cfRule>
  </conditionalFormatting>
  <conditionalFormatting sqref="J2">
    <cfRule type="containsText" dxfId="3" priority="1" operator="containsText" text="canceled">
      <formula>NOT(ISERROR(SEARCH("canceled",J2)))</formula>
    </cfRule>
    <cfRule type="containsText" dxfId="2" priority="2" operator="containsText" text="live">
      <formula>NOT(ISERROR(SEARCH("live",J2)))</formula>
    </cfRule>
    <cfRule type="containsText" dxfId="1" priority="3" operator="containsText" text="successful">
      <formula>NOT(ISERROR(SEARCH("successful",J2)))</formula>
    </cfRule>
    <cfRule type="containsText" dxfId="0" priority="4" operator="containsText" text="failed">
      <formula>NOT(ISERROR(SEARCH("failed",J2)))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10BE-7CBB-493A-933E-3CEC9D50E30D}">
  <sheetPr codeName="Sheet7"/>
  <dimension ref="A2:F17"/>
  <sheetViews>
    <sheetView showGridLines="0" workbookViewId="0">
      <selection activeCell="F16" sqref="F1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12" width="7.8984375" bestFit="1" customWidth="1"/>
    <col min="13" max="13" width="10.8984375" bestFit="1" customWidth="1"/>
  </cols>
  <sheetData>
    <row r="2" spans="1:6" x14ac:dyDescent="0.3">
      <c r="A2" s="6" t="s">
        <v>2031</v>
      </c>
      <c r="B2" t="s">
        <v>2043</v>
      </c>
    </row>
    <row r="3" spans="1:6" x14ac:dyDescent="0.3">
      <c r="A3" s="6" t="s">
        <v>6</v>
      </c>
      <c r="B3" t="s">
        <v>21</v>
      </c>
    </row>
    <row r="5" spans="1:6" x14ac:dyDescent="0.3">
      <c r="A5" s="6" t="s">
        <v>2033</v>
      </c>
      <c r="B5" s="6" t="s">
        <v>2035</v>
      </c>
    </row>
    <row r="6" spans="1:6" x14ac:dyDescent="0.3">
      <c r="A6" s="6" t="s">
        <v>2037</v>
      </c>
      <c r="B6" t="s">
        <v>74</v>
      </c>
      <c r="C6" t="s">
        <v>14</v>
      </c>
      <c r="D6" t="s">
        <v>47</v>
      </c>
      <c r="E6" t="s">
        <v>20</v>
      </c>
      <c r="F6" t="s">
        <v>2036</v>
      </c>
    </row>
    <row r="7" spans="1:6" x14ac:dyDescent="0.3">
      <c r="A7" s="7" t="s">
        <v>2123</v>
      </c>
      <c r="B7" s="17"/>
      <c r="C7" s="17"/>
      <c r="D7" s="17"/>
      <c r="E7" s="17">
        <v>7</v>
      </c>
      <c r="F7" s="17">
        <v>7</v>
      </c>
    </row>
    <row r="8" spans="1:6" x14ac:dyDescent="0.3">
      <c r="A8" s="7" t="s">
        <v>2124</v>
      </c>
      <c r="B8" s="17">
        <v>2</v>
      </c>
      <c r="C8" s="17">
        <v>1</v>
      </c>
      <c r="D8" s="17"/>
      <c r="E8" s="17"/>
      <c r="F8" s="17">
        <v>3</v>
      </c>
    </row>
    <row r="9" spans="1:6" x14ac:dyDescent="0.3">
      <c r="A9" s="7" t="s">
        <v>2125</v>
      </c>
      <c r="B9" s="17"/>
      <c r="C9" s="17">
        <v>1</v>
      </c>
      <c r="D9" s="17"/>
      <c r="E9" s="17">
        <v>3</v>
      </c>
      <c r="F9" s="17">
        <v>4</v>
      </c>
    </row>
    <row r="10" spans="1:6" x14ac:dyDescent="0.3">
      <c r="A10" s="7" t="s">
        <v>2126</v>
      </c>
      <c r="B10" s="17"/>
      <c r="C10" s="17">
        <v>1</v>
      </c>
      <c r="D10" s="17"/>
      <c r="E10" s="17">
        <v>1</v>
      </c>
      <c r="F10" s="17">
        <v>2</v>
      </c>
    </row>
    <row r="11" spans="1:6" x14ac:dyDescent="0.3">
      <c r="A11" s="7" t="s">
        <v>2127</v>
      </c>
      <c r="B11" s="17">
        <v>1</v>
      </c>
      <c r="C11" s="17">
        <v>1</v>
      </c>
      <c r="D11" s="17"/>
      <c r="E11" s="17">
        <v>3</v>
      </c>
      <c r="F11" s="17">
        <v>5</v>
      </c>
    </row>
    <row r="12" spans="1:6" x14ac:dyDescent="0.3">
      <c r="A12" s="7" t="s">
        <v>2128</v>
      </c>
      <c r="B12" s="17"/>
      <c r="C12" s="17"/>
      <c r="D12" s="17">
        <v>1</v>
      </c>
      <c r="E12" s="17">
        <v>2</v>
      </c>
      <c r="F12" s="17">
        <v>3</v>
      </c>
    </row>
    <row r="13" spans="1:6" x14ac:dyDescent="0.3">
      <c r="A13" s="7" t="s">
        <v>2129</v>
      </c>
      <c r="B13" s="17"/>
      <c r="C13" s="17"/>
      <c r="D13" s="17"/>
      <c r="E13" s="17">
        <v>1</v>
      </c>
      <c r="F13" s="17">
        <v>1</v>
      </c>
    </row>
    <row r="14" spans="1:6" x14ac:dyDescent="0.3">
      <c r="A14" s="7" t="s">
        <v>2130</v>
      </c>
      <c r="B14" s="17"/>
      <c r="C14" s="17">
        <v>1</v>
      </c>
      <c r="D14" s="17"/>
      <c r="E14" s="17">
        <v>2</v>
      </c>
      <c r="F14" s="17">
        <v>3</v>
      </c>
    </row>
    <row r="15" spans="1:6" x14ac:dyDescent="0.3">
      <c r="A15" s="7" t="s">
        <v>2131</v>
      </c>
      <c r="B15" s="17"/>
      <c r="C15" s="17">
        <v>1</v>
      </c>
      <c r="D15" s="17"/>
      <c r="E15" s="17">
        <v>2</v>
      </c>
      <c r="F15" s="17">
        <v>3</v>
      </c>
    </row>
    <row r="16" spans="1:6" x14ac:dyDescent="0.3">
      <c r="A16" s="7" t="s">
        <v>2132</v>
      </c>
      <c r="B16" s="17"/>
      <c r="C16" s="17"/>
      <c r="D16" s="17"/>
      <c r="E16" s="17">
        <v>3</v>
      </c>
      <c r="F16" s="17">
        <v>3</v>
      </c>
    </row>
    <row r="17" spans="1:6" x14ac:dyDescent="0.3">
      <c r="A17" s="7" t="s">
        <v>2036</v>
      </c>
      <c r="B17" s="17">
        <v>3</v>
      </c>
      <c r="C17" s="17">
        <v>6</v>
      </c>
      <c r="D17" s="17">
        <v>1</v>
      </c>
      <c r="E17" s="17">
        <v>24</v>
      </c>
      <c r="F17" s="17">
        <v>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8FBB-1298-472B-88BE-E94E7A6AA8F4}">
  <sheetPr codeName="Sheet9"/>
  <dimension ref="A1:G14"/>
  <sheetViews>
    <sheetView showGridLines="0" workbookViewId="0">
      <selection activeCell="E12" sqref="E12"/>
    </sheetView>
  </sheetViews>
  <sheetFormatPr defaultRowHeight="15.6" x14ac:dyDescent="0.3"/>
  <cols>
    <col min="1" max="1" width="16.19921875" bestFit="1" customWidth="1"/>
    <col min="2" max="2" width="16.3984375" bestFit="1" customWidth="1"/>
    <col min="3" max="4" width="7.8984375" bestFit="1" customWidth="1"/>
    <col min="5" max="5" width="9.19921875" bestFit="1" customWidth="1"/>
    <col min="6" max="6" width="7.5" bestFit="1" customWidth="1"/>
    <col min="7" max="7" width="10.8984375" bestFit="1" customWidth="1"/>
    <col min="8" max="8" width="10.5" bestFit="1" customWidth="1"/>
    <col min="9" max="9" width="13.8984375" bestFit="1" customWidth="1"/>
    <col min="10" max="10" width="5.59765625" bestFit="1" customWidth="1"/>
    <col min="11" max="11" width="3.796875" bestFit="1" customWidth="1"/>
    <col min="12" max="12" width="9.19921875" bestFit="1" customWidth="1"/>
    <col min="13" max="13" width="16.8984375" bestFit="1" customWidth="1"/>
    <col min="14" max="14" width="8.19921875" bestFit="1" customWidth="1"/>
    <col min="15" max="15" width="5.59765625" bestFit="1" customWidth="1"/>
    <col min="16" max="16" width="3.796875" bestFit="1" customWidth="1"/>
    <col min="17" max="17" width="9.19921875" bestFit="1" customWidth="1"/>
    <col min="18" max="18" width="11.09765625" bestFit="1" customWidth="1"/>
    <col min="19" max="19" width="14.09765625" bestFit="1" customWidth="1"/>
    <col min="20" max="20" width="9.19921875" bestFit="1" customWidth="1"/>
    <col min="21" max="21" width="17.19921875" bestFit="1" customWidth="1"/>
    <col min="22" max="22" width="8.19921875" bestFit="1" customWidth="1"/>
    <col min="23" max="23" width="5.59765625" bestFit="1" customWidth="1"/>
    <col min="24" max="24" width="9.19921875" bestFit="1" customWidth="1"/>
    <col min="25" max="25" width="11" bestFit="1" customWidth="1"/>
    <col min="26" max="26" width="12.296875" bestFit="1" customWidth="1"/>
    <col min="27" max="27" width="5.59765625" bestFit="1" customWidth="1"/>
    <col min="28" max="28" width="9.19921875" bestFit="1" customWidth="1"/>
    <col min="29" max="29" width="15.296875" bestFit="1" customWidth="1"/>
    <col min="30" max="30" width="11.09765625" bestFit="1" customWidth="1"/>
    <col min="31" max="31" width="5.59765625" bestFit="1" customWidth="1"/>
    <col min="32" max="32" width="9.19921875" bestFit="1" customWidth="1"/>
    <col min="33" max="33" width="14.09765625" bestFit="1" customWidth="1"/>
    <col min="34" max="34" width="8.19921875" bestFit="1" customWidth="1"/>
    <col min="35" max="35" width="5.59765625" bestFit="1" customWidth="1"/>
    <col min="36" max="36" width="9.19921875" bestFit="1" customWidth="1"/>
    <col min="37" max="37" width="8.796875" bestFit="1" customWidth="1"/>
    <col min="38" max="38" width="7.59765625" bestFit="1" customWidth="1"/>
    <col min="39" max="39" width="9.19921875" bestFit="1" customWidth="1"/>
    <col min="40" max="40" width="10.5" bestFit="1" customWidth="1"/>
    <col min="41" max="41" width="14.3984375" bestFit="1" customWidth="1"/>
    <col min="42" max="42" width="3.796875" bestFit="1" customWidth="1"/>
    <col min="43" max="43" width="9.19921875" bestFit="1" customWidth="1"/>
    <col min="44" max="44" width="17.5" bestFit="1" customWidth="1"/>
    <col min="45" max="45" width="11.3984375" bestFit="1" customWidth="1"/>
    <col min="46" max="46" width="5.59765625" bestFit="1" customWidth="1"/>
    <col min="47" max="47" width="3.796875" bestFit="1" customWidth="1"/>
    <col min="48" max="48" width="9.19921875" bestFit="1" customWidth="1"/>
    <col min="49" max="49" width="14.3984375" bestFit="1" customWidth="1"/>
    <col min="50" max="50" width="19.3984375" bestFit="1" customWidth="1"/>
    <col min="51" max="51" width="5.59765625" bestFit="1" customWidth="1"/>
    <col min="52" max="52" width="3.796875" bestFit="1" customWidth="1"/>
    <col min="53" max="53" width="9.19921875" bestFit="1" customWidth="1"/>
    <col min="54" max="54" width="22.3984375" bestFit="1" customWidth="1"/>
    <col min="55" max="55" width="8.19921875" bestFit="1" customWidth="1"/>
    <col min="56" max="56" width="5.59765625" bestFit="1" customWidth="1"/>
    <col min="57" max="57" width="3.796875" bestFit="1" customWidth="1"/>
    <col min="58" max="58" width="9.19921875" bestFit="1" customWidth="1"/>
    <col min="59" max="59" width="10" bestFit="1" customWidth="1"/>
    <col min="60" max="60" width="17.09765625" bestFit="1" customWidth="1"/>
    <col min="61" max="61" width="9.19921875" bestFit="1" customWidth="1"/>
    <col min="62" max="62" width="20.09765625" bestFit="1" customWidth="1"/>
    <col min="63" max="63" width="8.19921875" bestFit="1" customWidth="1"/>
    <col min="64" max="64" width="5.59765625" bestFit="1" customWidth="1"/>
    <col min="65" max="65" width="9.19921875" bestFit="1" customWidth="1"/>
    <col min="66" max="66" width="9.296875" bestFit="1" customWidth="1"/>
    <col min="67" max="67" width="14.59765625" bestFit="1" customWidth="1"/>
    <col min="68" max="68" width="9.19921875" bestFit="1" customWidth="1"/>
    <col min="69" max="69" width="17.69921875" bestFit="1" customWidth="1"/>
    <col min="70" max="70" width="8.19921875" bestFit="1" customWidth="1"/>
    <col min="71" max="71" width="5.59765625" bestFit="1" customWidth="1"/>
    <col min="72" max="72" width="3.796875" bestFit="1" customWidth="1"/>
    <col min="73" max="73" width="9.19921875" bestFit="1" customWidth="1"/>
    <col min="74" max="75" width="10.8984375" bestFit="1" customWidth="1"/>
    <col min="76" max="76" width="5.59765625" bestFit="1" customWidth="1"/>
    <col min="77" max="77" width="9.19921875" bestFit="1" customWidth="1"/>
    <col min="78" max="78" width="13.8984375" bestFit="1" customWidth="1"/>
    <col min="79" max="79" width="12.796875" bestFit="1" customWidth="1"/>
    <col min="80" max="80" width="9.19921875" bestFit="1" customWidth="1"/>
    <col min="81" max="81" width="15.796875" bestFit="1" customWidth="1"/>
    <col min="82" max="82" width="13.19921875" bestFit="1" customWidth="1"/>
    <col min="83" max="83" width="5.59765625" bestFit="1" customWidth="1"/>
    <col min="84" max="84" width="3.796875" bestFit="1" customWidth="1"/>
    <col min="85" max="85" width="9.19921875" bestFit="1" customWidth="1"/>
    <col min="86" max="86" width="16.19921875" bestFit="1" customWidth="1"/>
    <col min="87" max="87" width="11.3984375" bestFit="1" customWidth="1"/>
    <col min="88" max="88" width="3.796875" bestFit="1" customWidth="1"/>
    <col min="89" max="89" width="9.19921875" bestFit="1" customWidth="1"/>
    <col min="90" max="90" width="14.3984375" bestFit="1" customWidth="1"/>
    <col min="91" max="91" width="8.19921875" bestFit="1" customWidth="1"/>
    <col min="92" max="92" width="5.59765625" bestFit="1" customWidth="1"/>
    <col min="93" max="93" width="3.796875" bestFit="1" customWidth="1"/>
    <col min="94" max="94" width="9.19921875" bestFit="1" customWidth="1"/>
    <col min="95" max="95" width="9.296875" bestFit="1" customWidth="1"/>
    <col min="96" max="96" width="13" bestFit="1" customWidth="1"/>
    <col min="97" max="97" width="16" bestFit="1" customWidth="1"/>
    <col min="98" max="98" width="10.8984375" bestFit="1" customWidth="1"/>
  </cols>
  <sheetData>
    <row r="1" spans="1:7" x14ac:dyDescent="0.3">
      <c r="A1" s="6" t="s">
        <v>2032</v>
      </c>
      <c r="B1" t="s">
        <v>2034</v>
      </c>
    </row>
    <row r="2" spans="1:7" x14ac:dyDescent="0.3">
      <c r="A2" s="6" t="s">
        <v>2085</v>
      </c>
      <c r="B2" t="s">
        <v>2122</v>
      </c>
    </row>
    <row r="4" spans="1:7" x14ac:dyDescent="0.3">
      <c r="A4" s="6" t="s">
        <v>2033</v>
      </c>
      <c r="B4" s="6" t="s">
        <v>2035</v>
      </c>
    </row>
    <row r="5" spans="1:7" x14ac:dyDescent="0.3">
      <c r="A5" s="6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2133</v>
      </c>
      <c r="G5" t="s">
        <v>2036</v>
      </c>
    </row>
    <row r="6" spans="1:7" x14ac:dyDescent="0.3">
      <c r="A6" s="7" t="s">
        <v>26</v>
      </c>
      <c r="B6" s="18">
        <v>3.5087719298245612E-2</v>
      </c>
      <c r="C6" s="18">
        <v>4.4198895027624308E-2</v>
      </c>
      <c r="D6" s="18">
        <v>7.1428571428571425E-2</v>
      </c>
      <c r="E6" s="18">
        <v>4.247787610619469E-2</v>
      </c>
      <c r="F6" s="18" t="e">
        <v>#DIV/0!</v>
      </c>
      <c r="G6" s="18">
        <v>4.308617234468938E-2</v>
      </c>
    </row>
    <row r="7" spans="1:7" x14ac:dyDescent="0.3">
      <c r="A7" s="7" t="s">
        <v>15</v>
      </c>
      <c r="B7" s="18">
        <v>3.5087719298245612E-2</v>
      </c>
      <c r="C7" s="18">
        <v>5.2486187845303865E-2</v>
      </c>
      <c r="D7" s="18">
        <v>7.1428571428571425E-2</v>
      </c>
      <c r="E7" s="18">
        <v>3.8938053097345132E-2</v>
      </c>
      <c r="F7" s="18" t="e">
        <v>#DIV/0!</v>
      </c>
      <c r="G7" s="18">
        <v>4.4088176352705413E-2</v>
      </c>
    </row>
    <row r="8" spans="1:7" x14ac:dyDescent="0.3">
      <c r="A8" s="7" t="s">
        <v>98</v>
      </c>
      <c r="B8" s="18">
        <v>7.0175438596491224E-2</v>
      </c>
      <c r="C8" s="18">
        <v>1.6574585635359115E-2</v>
      </c>
      <c r="D8" s="18">
        <v>7.1428571428571425E-2</v>
      </c>
      <c r="E8" s="18">
        <v>2.1238938053097345E-2</v>
      </c>
      <c r="F8" s="18" t="e">
        <v>#DIV/0!</v>
      </c>
      <c r="G8" s="18">
        <v>2.3046092184368736E-2</v>
      </c>
    </row>
    <row r="9" spans="1:7" x14ac:dyDescent="0.3">
      <c r="A9" s="7" t="s">
        <v>36</v>
      </c>
      <c r="B9" s="18">
        <v>1.7543859649122806E-2</v>
      </c>
      <c r="C9" s="18">
        <v>3.3149171270718231E-2</v>
      </c>
      <c r="D9" s="18">
        <v>7.1428571428571425E-2</v>
      </c>
      <c r="E9" s="18">
        <v>3.0088495575221239E-2</v>
      </c>
      <c r="F9" s="18" t="e">
        <v>#DIV/0!</v>
      </c>
      <c r="G9" s="18">
        <v>3.1062124248496994E-2</v>
      </c>
    </row>
    <row r="10" spans="1:7" x14ac:dyDescent="0.3">
      <c r="A10" s="7" t="s">
        <v>40</v>
      </c>
      <c r="B10" s="18">
        <v>1.7543859649122806E-2</v>
      </c>
      <c r="C10" s="18">
        <v>4.9723756906077346E-2</v>
      </c>
      <c r="D10" s="18">
        <v>7.1428571428571425E-2</v>
      </c>
      <c r="E10" s="18">
        <v>4.9557522123893805E-2</v>
      </c>
      <c r="F10" s="18" t="e">
        <v>#DIV/0!</v>
      </c>
      <c r="G10" s="18">
        <v>4.8096192384769539E-2</v>
      </c>
    </row>
    <row r="11" spans="1:7" x14ac:dyDescent="0.3">
      <c r="A11" s="7" t="s">
        <v>107</v>
      </c>
      <c r="B11" s="18">
        <v>5.2631578947368418E-2</v>
      </c>
      <c r="C11" s="18">
        <v>4.9723756906077346E-2</v>
      </c>
      <c r="D11" s="18">
        <v>0</v>
      </c>
      <c r="E11" s="18">
        <v>4.6017699115044247E-2</v>
      </c>
      <c r="F11" s="18" t="e">
        <v>#DIV/0!</v>
      </c>
      <c r="G11" s="18">
        <v>4.7094188376753505E-2</v>
      </c>
    </row>
    <row r="12" spans="1:7" x14ac:dyDescent="0.3">
      <c r="A12" s="7" t="s">
        <v>21</v>
      </c>
      <c r="B12" s="18">
        <v>0.77192982456140347</v>
      </c>
      <c r="C12" s="18">
        <v>0.7541436464088398</v>
      </c>
      <c r="D12" s="18">
        <v>0.6428571428571429</v>
      </c>
      <c r="E12" s="18">
        <v>0.77168141592920358</v>
      </c>
      <c r="F12" s="18" t="e">
        <v>#DIV/0!</v>
      </c>
      <c r="G12" s="18">
        <v>0.76352705410821642</v>
      </c>
    </row>
    <row r="13" spans="1:7" x14ac:dyDescent="0.3">
      <c r="A13" s="7" t="s">
        <v>2133</v>
      </c>
      <c r="B13" s="18">
        <v>0</v>
      </c>
      <c r="C13" s="18">
        <v>0</v>
      </c>
      <c r="D13" s="18">
        <v>0</v>
      </c>
      <c r="E13" s="18">
        <v>0</v>
      </c>
      <c r="F13" s="18" t="e">
        <v>#DIV/0!</v>
      </c>
      <c r="G13" s="18">
        <v>0</v>
      </c>
    </row>
    <row r="14" spans="1:7" x14ac:dyDescent="0.3">
      <c r="A14" s="7" t="s">
        <v>2036</v>
      </c>
      <c r="B14" s="18">
        <v>1</v>
      </c>
      <c r="C14" s="18">
        <v>1</v>
      </c>
      <c r="D14" s="18">
        <v>1</v>
      </c>
      <c r="E14" s="18">
        <v>1</v>
      </c>
      <c r="F14" s="18" t="e">
        <v>#DIV/0!</v>
      </c>
      <c r="G14" s="18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2BFB-4113-45A4-BC45-75F8D8BC5C45}">
  <sheetPr codeName="Sheet8"/>
  <dimension ref="A2:F16"/>
  <sheetViews>
    <sheetView showGridLines="0" workbookViewId="0">
      <selection activeCell="F13" sqref="F1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9.19921875" bestFit="1" customWidth="1"/>
    <col min="8" max="8" width="10.5" bestFit="1" customWidth="1"/>
    <col min="9" max="9" width="13.8984375" bestFit="1" customWidth="1"/>
    <col min="10" max="10" width="5.59765625" bestFit="1" customWidth="1"/>
    <col min="11" max="11" width="3.796875" bestFit="1" customWidth="1"/>
    <col min="12" max="12" width="9.19921875" bestFit="1" customWidth="1"/>
    <col min="13" max="13" width="16.8984375" bestFit="1" customWidth="1"/>
    <col min="14" max="14" width="8.19921875" bestFit="1" customWidth="1"/>
    <col min="15" max="15" width="5.59765625" bestFit="1" customWidth="1"/>
    <col min="16" max="16" width="3.796875" bestFit="1" customWidth="1"/>
    <col min="17" max="17" width="9.19921875" bestFit="1" customWidth="1"/>
    <col min="18" max="18" width="11.09765625" bestFit="1" customWidth="1"/>
    <col min="19" max="19" width="14.09765625" bestFit="1" customWidth="1"/>
    <col min="20" max="20" width="9.19921875" bestFit="1" customWidth="1"/>
    <col min="21" max="21" width="17.19921875" bestFit="1" customWidth="1"/>
    <col min="22" max="22" width="8.19921875" bestFit="1" customWidth="1"/>
    <col min="23" max="23" width="5.59765625" bestFit="1" customWidth="1"/>
    <col min="24" max="24" width="9.19921875" bestFit="1" customWidth="1"/>
    <col min="25" max="25" width="11" bestFit="1" customWidth="1"/>
    <col min="26" max="26" width="12.296875" bestFit="1" customWidth="1"/>
    <col min="27" max="27" width="5.59765625" bestFit="1" customWidth="1"/>
    <col min="28" max="28" width="9.19921875" bestFit="1" customWidth="1"/>
    <col min="29" max="29" width="15.296875" bestFit="1" customWidth="1"/>
    <col min="30" max="30" width="11.09765625" bestFit="1" customWidth="1"/>
    <col min="31" max="31" width="5.59765625" bestFit="1" customWidth="1"/>
    <col min="32" max="32" width="9.19921875" bestFit="1" customWidth="1"/>
    <col min="33" max="33" width="14.09765625" bestFit="1" customWidth="1"/>
    <col min="34" max="34" width="8.19921875" bestFit="1" customWidth="1"/>
    <col min="35" max="35" width="5.59765625" bestFit="1" customWidth="1"/>
    <col min="36" max="36" width="9.19921875" bestFit="1" customWidth="1"/>
    <col min="37" max="37" width="8.796875" bestFit="1" customWidth="1"/>
    <col min="38" max="38" width="7.59765625" bestFit="1" customWidth="1"/>
    <col min="39" max="39" width="9.19921875" bestFit="1" customWidth="1"/>
    <col min="40" max="40" width="10.5" bestFit="1" customWidth="1"/>
    <col min="41" max="41" width="14.3984375" bestFit="1" customWidth="1"/>
    <col min="42" max="42" width="3.796875" bestFit="1" customWidth="1"/>
    <col min="43" max="43" width="9.19921875" bestFit="1" customWidth="1"/>
    <col min="44" max="44" width="17.5" bestFit="1" customWidth="1"/>
    <col min="45" max="45" width="11.3984375" bestFit="1" customWidth="1"/>
    <col min="46" max="46" width="5.59765625" bestFit="1" customWidth="1"/>
    <col min="47" max="47" width="3.796875" bestFit="1" customWidth="1"/>
    <col min="48" max="48" width="9.19921875" bestFit="1" customWidth="1"/>
    <col min="49" max="49" width="14.3984375" bestFit="1" customWidth="1"/>
    <col min="50" max="50" width="19.3984375" bestFit="1" customWidth="1"/>
    <col min="51" max="51" width="5.59765625" bestFit="1" customWidth="1"/>
    <col min="52" max="52" width="3.796875" bestFit="1" customWidth="1"/>
    <col min="53" max="53" width="9.19921875" bestFit="1" customWidth="1"/>
    <col min="54" max="54" width="22.3984375" bestFit="1" customWidth="1"/>
    <col min="55" max="55" width="8.19921875" bestFit="1" customWidth="1"/>
    <col min="56" max="56" width="5.59765625" bestFit="1" customWidth="1"/>
    <col min="57" max="57" width="3.796875" bestFit="1" customWidth="1"/>
    <col min="58" max="58" width="9.19921875" bestFit="1" customWidth="1"/>
    <col min="59" max="59" width="10" bestFit="1" customWidth="1"/>
    <col min="60" max="60" width="17.09765625" bestFit="1" customWidth="1"/>
    <col min="61" max="61" width="9.19921875" bestFit="1" customWidth="1"/>
    <col min="62" max="62" width="20.09765625" bestFit="1" customWidth="1"/>
    <col min="63" max="63" width="8.19921875" bestFit="1" customWidth="1"/>
    <col min="64" max="64" width="5.59765625" bestFit="1" customWidth="1"/>
    <col min="65" max="65" width="9.19921875" bestFit="1" customWidth="1"/>
    <col min="66" max="66" width="9.296875" bestFit="1" customWidth="1"/>
    <col min="67" max="67" width="14.59765625" bestFit="1" customWidth="1"/>
    <col min="68" max="68" width="9.19921875" bestFit="1" customWidth="1"/>
    <col min="69" max="69" width="17.69921875" bestFit="1" customWidth="1"/>
    <col min="70" max="70" width="8.19921875" bestFit="1" customWidth="1"/>
    <col min="71" max="71" width="5.59765625" bestFit="1" customWidth="1"/>
    <col min="72" max="72" width="3.796875" bestFit="1" customWidth="1"/>
    <col min="73" max="73" width="9.19921875" bestFit="1" customWidth="1"/>
    <col min="74" max="75" width="10.8984375" bestFit="1" customWidth="1"/>
    <col min="76" max="76" width="5.59765625" bestFit="1" customWidth="1"/>
    <col min="77" max="77" width="9.19921875" bestFit="1" customWidth="1"/>
    <col min="78" max="78" width="13.8984375" bestFit="1" customWidth="1"/>
    <col min="79" max="79" width="12.796875" bestFit="1" customWidth="1"/>
    <col min="80" max="80" width="9.19921875" bestFit="1" customWidth="1"/>
    <col min="81" max="81" width="15.796875" bestFit="1" customWidth="1"/>
    <col min="82" max="82" width="13.19921875" bestFit="1" customWidth="1"/>
    <col min="83" max="83" width="5.59765625" bestFit="1" customWidth="1"/>
    <col min="84" max="84" width="3.796875" bestFit="1" customWidth="1"/>
    <col min="85" max="85" width="9.19921875" bestFit="1" customWidth="1"/>
    <col min="86" max="86" width="16.19921875" bestFit="1" customWidth="1"/>
    <col min="87" max="87" width="11.3984375" bestFit="1" customWidth="1"/>
    <col min="88" max="88" width="3.796875" bestFit="1" customWidth="1"/>
    <col min="89" max="89" width="9.19921875" bestFit="1" customWidth="1"/>
    <col min="90" max="90" width="14.3984375" bestFit="1" customWidth="1"/>
    <col min="91" max="91" width="8.19921875" bestFit="1" customWidth="1"/>
    <col min="92" max="92" width="5.59765625" bestFit="1" customWidth="1"/>
    <col min="93" max="93" width="3.796875" bestFit="1" customWidth="1"/>
    <col min="94" max="94" width="9.19921875" bestFit="1" customWidth="1"/>
    <col min="95" max="95" width="9.296875" bestFit="1" customWidth="1"/>
    <col min="96" max="96" width="13" bestFit="1" customWidth="1"/>
    <col min="97" max="97" width="16" bestFit="1" customWidth="1"/>
    <col min="98" max="98" width="10.8984375" bestFit="1" customWidth="1"/>
  </cols>
  <sheetData>
    <row r="2" spans="1:6" x14ac:dyDescent="0.3">
      <c r="A2" s="6" t="s">
        <v>2032</v>
      </c>
      <c r="B2" t="s">
        <v>2067</v>
      </c>
    </row>
    <row r="4" spans="1:6" x14ac:dyDescent="0.3">
      <c r="A4" s="6" t="s">
        <v>2033</v>
      </c>
      <c r="B4" s="6" t="s">
        <v>2035</v>
      </c>
    </row>
    <row r="5" spans="1:6" x14ac:dyDescent="0.3">
      <c r="A5" s="6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3">
      <c r="A6" s="7" t="s">
        <v>2123</v>
      </c>
      <c r="B6" s="17">
        <v>1</v>
      </c>
      <c r="C6" s="17">
        <v>1</v>
      </c>
      <c r="D6" s="17"/>
      <c r="E6" s="17">
        <v>2</v>
      </c>
      <c r="F6" s="17">
        <v>4</v>
      </c>
    </row>
    <row r="7" spans="1:6" x14ac:dyDescent="0.3">
      <c r="A7" s="7" t="s">
        <v>2124</v>
      </c>
      <c r="B7" s="17"/>
      <c r="C7" s="17">
        <v>2</v>
      </c>
      <c r="D7" s="17"/>
      <c r="E7" s="17">
        <v>1</v>
      </c>
      <c r="F7" s="17">
        <v>3</v>
      </c>
    </row>
    <row r="8" spans="1:6" x14ac:dyDescent="0.3">
      <c r="A8" s="7" t="s">
        <v>2125</v>
      </c>
      <c r="B8" s="17"/>
      <c r="C8" s="17">
        <v>2</v>
      </c>
      <c r="D8" s="17"/>
      <c r="E8" s="17">
        <v>3</v>
      </c>
      <c r="F8" s="17">
        <v>5</v>
      </c>
    </row>
    <row r="9" spans="1:6" x14ac:dyDescent="0.3">
      <c r="A9" s="7" t="s">
        <v>2126</v>
      </c>
      <c r="B9" s="17"/>
      <c r="C9" s="17">
        <v>4</v>
      </c>
      <c r="D9" s="17">
        <v>1</v>
      </c>
      <c r="E9" s="17"/>
      <c r="F9" s="17">
        <v>5</v>
      </c>
    </row>
    <row r="10" spans="1:6" x14ac:dyDescent="0.3">
      <c r="A10" s="7" t="s">
        <v>2127</v>
      </c>
      <c r="B10" s="17"/>
      <c r="C10" s="17">
        <v>1</v>
      </c>
      <c r="D10" s="17"/>
      <c r="E10" s="17">
        <v>2</v>
      </c>
      <c r="F10" s="17">
        <v>3</v>
      </c>
    </row>
    <row r="11" spans="1:6" x14ac:dyDescent="0.3">
      <c r="A11" s="7" t="s">
        <v>2128</v>
      </c>
      <c r="B11" s="17"/>
      <c r="C11" s="17">
        <v>2</v>
      </c>
      <c r="D11" s="17"/>
      <c r="E11" s="17">
        <v>1</v>
      </c>
      <c r="F11" s="17">
        <v>3</v>
      </c>
    </row>
    <row r="12" spans="1:6" x14ac:dyDescent="0.3">
      <c r="A12" s="7" t="s">
        <v>2129</v>
      </c>
      <c r="B12" s="17"/>
      <c r="C12" s="17">
        <v>1</v>
      </c>
      <c r="D12" s="17">
        <v>1</v>
      </c>
      <c r="E12" s="17">
        <v>2</v>
      </c>
      <c r="F12" s="17">
        <v>4</v>
      </c>
    </row>
    <row r="13" spans="1:6" x14ac:dyDescent="0.3">
      <c r="A13" s="7" t="s">
        <v>2130</v>
      </c>
      <c r="B13" s="17"/>
      <c r="C13" s="17"/>
      <c r="D13" s="17"/>
      <c r="E13" s="17">
        <v>3</v>
      </c>
      <c r="F13" s="17">
        <v>3</v>
      </c>
    </row>
    <row r="14" spans="1:6" x14ac:dyDescent="0.3">
      <c r="A14" s="7" t="s">
        <v>2131</v>
      </c>
      <c r="B14" s="17"/>
      <c r="C14" s="17">
        <v>1</v>
      </c>
      <c r="D14" s="17"/>
      <c r="E14" s="17"/>
      <c r="F14" s="17">
        <v>1</v>
      </c>
    </row>
    <row r="15" spans="1:6" x14ac:dyDescent="0.3">
      <c r="A15" s="7" t="s">
        <v>2132</v>
      </c>
      <c r="B15" s="17"/>
      <c r="C15" s="17">
        <v>1</v>
      </c>
      <c r="D15" s="17"/>
      <c r="E15" s="17">
        <v>3</v>
      </c>
      <c r="F15" s="17">
        <v>4</v>
      </c>
    </row>
    <row r="16" spans="1:6" x14ac:dyDescent="0.3">
      <c r="A16" s="7" t="s">
        <v>2036</v>
      </c>
      <c r="B16" s="17">
        <v>1</v>
      </c>
      <c r="C16" s="17">
        <v>15</v>
      </c>
      <c r="D16" s="17">
        <v>2</v>
      </c>
      <c r="E16" s="17">
        <v>17</v>
      </c>
      <c r="F16" s="17">
        <v>35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9BFD1-D22E-4D83-AD62-64EBC9780CCB}">
  <sheetPr codeName="Sheet3"/>
  <dimension ref="A1:E18"/>
  <sheetViews>
    <sheetView showGridLines="0" workbookViewId="0">
      <selection activeCell="G21" sqref="G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6" t="s">
        <v>2031</v>
      </c>
      <c r="B1" t="s">
        <v>2046</v>
      </c>
    </row>
    <row r="2" spans="1:5" x14ac:dyDescent="0.3">
      <c r="A2" s="6" t="s">
        <v>2085</v>
      </c>
      <c r="B2" t="s">
        <v>2034</v>
      </c>
    </row>
    <row r="4" spans="1:5" x14ac:dyDescent="0.3">
      <c r="A4" s="6" t="s">
        <v>2033</v>
      </c>
      <c r="B4" s="6" t="s">
        <v>2035</v>
      </c>
    </row>
    <row r="5" spans="1:5" x14ac:dyDescent="0.3">
      <c r="A5" s="6" t="s">
        <v>2037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3">
      <c r="A6" s="7" t="s">
        <v>2073</v>
      </c>
      <c r="B6">
        <v>3</v>
      </c>
      <c r="C6">
        <v>14</v>
      </c>
      <c r="D6">
        <v>15</v>
      </c>
      <c r="E6">
        <v>32</v>
      </c>
    </row>
    <row r="7" spans="1:5" x14ac:dyDescent="0.3">
      <c r="A7" s="7" t="s">
        <v>2074</v>
      </c>
      <c r="B7">
        <v>2</v>
      </c>
      <c r="C7">
        <v>7</v>
      </c>
      <c r="D7">
        <v>14</v>
      </c>
      <c r="E7">
        <v>23</v>
      </c>
    </row>
    <row r="8" spans="1:5" x14ac:dyDescent="0.3">
      <c r="A8" s="7" t="s">
        <v>2075</v>
      </c>
      <c r="B8">
        <v>1</v>
      </c>
      <c r="C8">
        <v>11</v>
      </c>
      <c r="D8">
        <v>17</v>
      </c>
      <c r="E8">
        <v>29</v>
      </c>
    </row>
    <row r="9" spans="1:5" x14ac:dyDescent="0.3">
      <c r="A9" s="7" t="s">
        <v>2076</v>
      </c>
      <c r="C9">
        <v>9</v>
      </c>
      <c r="D9">
        <v>16</v>
      </c>
      <c r="E9">
        <v>25</v>
      </c>
    </row>
    <row r="10" spans="1:5" x14ac:dyDescent="0.3">
      <c r="A10" s="7" t="s">
        <v>2077</v>
      </c>
      <c r="B10">
        <v>2</v>
      </c>
      <c r="C10">
        <v>15</v>
      </c>
      <c r="D10">
        <v>10</v>
      </c>
      <c r="E10">
        <v>27</v>
      </c>
    </row>
    <row r="11" spans="1:5" x14ac:dyDescent="0.3">
      <c r="A11" s="7" t="s">
        <v>2078</v>
      </c>
      <c r="C11">
        <v>11</v>
      </c>
      <c r="D11">
        <v>21</v>
      </c>
      <c r="E11">
        <v>32</v>
      </c>
    </row>
    <row r="12" spans="1:5" x14ac:dyDescent="0.3">
      <c r="A12" s="7" t="s">
        <v>2079</v>
      </c>
      <c r="B12">
        <v>2</v>
      </c>
      <c r="C12">
        <v>12</v>
      </c>
      <c r="D12">
        <v>17</v>
      </c>
      <c r="E12">
        <v>31</v>
      </c>
    </row>
    <row r="13" spans="1:5" x14ac:dyDescent="0.3">
      <c r="A13" s="7" t="s">
        <v>2080</v>
      </c>
      <c r="B13">
        <v>3</v>
      </c>
      <c r="C13">
        <v>12</v>
      </c>
      <c r="D13">
        <v>10</v>
      </c>
      <c r="E13">
        <v>25</v>
      </c>
    </row>
    <row r="14" spans="1:5" x14ac:dyDescent="0.3">
      <c r="A14" s="7" t="s">
        <v>2081</v>
      </c>
      <c r="B14">
        <v>2</v>
      </c>
      <c r="C14">
        <v>8</v>
      </c>
      <c r="D14">
        <v>19</v>
      </c>
      <c r="E14">
        <v>29</v>
      </c>
    </row>
    <row r="15" spans="1:5" x14ac:dyDescent="0.3">
      <c r="A15" s="7" t="s">
        <v>2082</v>
      </c>
      <c r="B15">
        <v>4</v>
      </c>
      <c r="C15">
        <v>13</v>
      </c>
      <c r="D15">
        <v>18</v>
      </c>
      <c r="E15">
        <v>35</v>
      </c>
    </row>
    <row r="16" spans="1:5" x14ac:dyDescent="0.3">
      <c r="A16" s="7" t="s">
        <v>2083</v>
      </c>
      <c r="B16">
        <v>2</v>
      </c>
      <c r="C16">
        <v>11</v>
      </c>
      <c r="D16">
        <v>16</v>
      </c>
      <c r="E16">
        <v>29</v>
      </c>
    </row>
    <row r="17" spans="1:5" x14ac:dyDescent="0.3">
      <c r="A17" s="7" t="s">
        <v>2084</v>
      </c>
      <c r="B17">
        <v>2</v>
      </c>
      <c r="C17">
        <v>9</v>
      </c>
      <c r="D17">
        <v>14</v>
      </c>
      <c r="E17">
        <v>25</v>
      </c>
    </row>
    <row r="18" spans="1:5" x14ac:dyDescent="0.3">
      <c r="A18" s="7" t="s">
        <v>2036</v>
      </c>
      <c r="B18">
        <v>23</v>
      </c>
      <c r="C18">
        <v>132</v>
      </c>
      <c r="D18">
        <v>187</v>
      </c>
      <c r="E18">
        <v>342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Chart by category</vt:lpstr>
      <vt:lpstr>chart by subcategory</vt:lpstr>
      <vt:lpstr>Crowdfunding Goal Analysis</vt:lpstr>
      <vt:lpstr>Statistical Analysis</vt:lpstr>
      <vt:lpstr>Chart by year</vt:lpstr>
      <vt:lpstr>Sample by country</vt:lpstr>
      <vt:lpstr>subcategory by year</vt:lpstr>
      <vt:lpstr>Chart with Date 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Roberto Barron</cp:lastModifiedBy>
  <dcterms:created xsi:type="dcterms:W3CDTF">2021-09-29T18:52:28Z</dcterms:created>
  <dcterms:modified xsi:type="dcterms:W3CDTF">2023-01-06T02:59:46Z</dcterms:modified>
</cp:coreProperties>
</file>