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615" windowWidth="22995" windowHeight="9045" activeTab="4"/>
  </bookViews>
  <sheets>
    <sheet name="Promo ID Data" sheetId="2" r:id="rId1"/>
    <sheet name="Data for Pivots" sheetId="3" r:id="rId2"/>
    <sheet name="Pivot" sheetId="6" r:id="rId3"/>
    <sheet name="Promo Colour Matrix" sheetId="7" r:id="rId4"/>
    <sheet name="Bible stats" sheetId="8" r:id="rId5"/>
    <sheet name="Pivot-bk" sheetId="10" state="hidden" r:id="rId6"/>
    <sheet name="Promo Colour Matrix-bk" sheetId="11" state="hidden" r:id="rId7"/>
  </sheets>
  <definedNames>
    <definedName name="_xlnm._FilterDatabase" localSheetId="3" hidden="1">'Promo Colour Matrix'!#REF!</definedName>
    <definedName name="_xlnm._FilterDatabase" localSheetId="6" hidden="1">'Promo Colour Matrix-bk'!#REF!</definedName>
  </definedNames>
  <calcPr calcId="145621"/>
  <pivotCaches>
    <pivotCache cacheId="95" r:id="rId8"/>
    <pivotCache cacheId="104" r:id="rId9"/>
  </pivotCaches>
</workbook>
</file>

<file path=xl/calcChain.xml><?xml version="1.0" encoding="utf-8"?>
<calcChain xmlns="http://schemas.openxmlformats.org/spreadsheetml/2006/main">
  <c r="G84" i="11" l="1"/>
  <c r="B84" i="11"/>
  <c r="O21" i="11"/>
  <c r="N20" i="11"/>
  <c r="M19" i="11"/>
  <c r="M16" i="11"/>
  <c r="M14" i="11"/>
  <c r="M21" i="11"/>
  <c r="O16" i="11"/>
  <c r="O14" i="11"/>
  <c r="O7" i="11"/>
  <c r="B93" i="11"/>
  <c r="M20" i="11"/>
  <c r="O20" i="11"/>
  <c r="N19" i="11"/>
  <c r="N11" i="11"/>
  <c r="N10" i="11"/>
  <c r="N9" i="11"/>
  <c r="M15" i="11"/>
  <c r="M11" i="11"/>
  <c r="M10" i="11"/>
  <c r="M9" i="11"/>
  <c r="N21" i="11"/>
  <c r="O19" i="11"/>
  <c r="O15" i="11"/>
  <c r="B2" i="8"/>
  <c r="E35" i="6"/>
  <c r="D35" i="6"/>
  <c r="C35" i="6"/>
  <c r="P15" i="11" l="1"/>
  <c r="B99" i="11" s="1"/>
  <c r="R19" i="11"/>
  <c r="H88" i="11" s="1"/>
  <c r="H95" i="11"/>
  <c r="Q21" i="11"/>
  <c r="M7" i="11"/>
  <c r="P10" i="11" s="1"/>
  <c r="B89" i="11" s="1"/>
  <c r="P9" i="11"/>
  <c r="B86" i="11" s="1"/>
  <c r="P11" i="11"/>
  <c r="C89" i="11" s="1"/>
  <c r="G91" i="11"/>
  <c r="N15" i="11"/>
  <c r="B98" i="11" s="1"/>
  <c r="N7" i="11"/>
  <c r="B83" i="11" s="1"/>
  <c r="G99" i="11"/>
  <c r="Q19" i="11"/>
  <c r="H87" i="11" s="1"/>
  <c r="R20" i="11"/>
  <c r="H92" i="11"/>
  <c r="H90" i="11"/>
  <c r="G98" i="11"/>
  <c r="P20" i="11"/>
  <c r="Q7" i="11"/>
  <c r="B92" i="11" s="1"/>
  <c r="P14" i="11"/>
  <c r="B96" i="11" s="1"/>
  <c r="P16" i="11"/>
  <c r="C99" i="11" s="1"/>
  <c r="P21" i="11"/>
  <c r="H94" i="11" s="1"/>
  <c r="G87" i="11"/>
  <c r="N14" i="11"/>
  <c r="B95" i="11" s="1"/>
  <c r="G95" i="11"/>
  <c r="N16" i="11"/>
  <c r="C98" i="11" s="1"/>
  <c r="P19" i="11"/>
  <c r="S19" i="11" s="1"/>
  <c r="G97" i="11"/>
  <c r="Q20" i="11"/>
  <c r="H91" i="11" s="1"/>
  <c r="R21" i="11"/>
  <c r="H96" i="11"/>
  <c r="O10" i="11" l="1"/>
  <c r="B90" i="11" s="1"/>
  <c r="O9" i="11"/>
  <c r="B87" i="11" s="1"/>
  <c r="H86" i="11"/>
  <c r="S20" i="11"/>
  <c r="S21" i="11"/>
  <c r="O11" i="11"/>
  <c r="C90" i="11" s="1"/>
  <c r="CW1" i="2" l="1"/>
  <c r="CX1" i="2" s="1"/>
  <c r="CG1" i="2"/>
  <c r="B93" i="7"/>
  <c r="B6" i="8"/>
  <c r="B3" i="8"/>
  <c r="B5" i="8"/>
  <c r="B4" i="8"/>
  <c r="M21" i="7"/>
  <c r="N21" i="7"/>
  <c r="N20" i="7"/>
  <c r="N19" i="7"/>
  <c r="M14" i="7"/>
  <c r="O15" i="7"/>
  <c r="O21" i="7"/>
  <c r="O20" i="7"/>
  <c r="M15" i="7"/>
  <c r="M20" i="7"/>
  <c r="M19" i="7"/>
  <c r="M16" i="7"/>
  <c r="O16" i="7"/>
  <c r="O19" i="7"/>
  <c r="O7" i="7"/>
  <c r="O14" i="7"/>
  <c r="N9" i="7"/>
  <c r="M11" i="7"/>
  <c r="N11" i="7"/>
  <c r="M10" i="7"/>
  <c r="N10" i="7"/>
  <c r="M9" i="7"/>
  <c r="P14" i="7" l="1"/>
  <c r="R19" i="7"/>
  <c r="P16" i="7"/>
  <c r="P19" i="7"/>
  <c r="G97" i="7"/>
  <c r="P20" i="7"/>
  <c r="G98" i="7"/>
  <c r="R20" i="7"/>
  <c r="R21" i="7"/>
  <c r="P15" i="7"/>
  <c r="G99" i="7"/>
  <c r="Q19" i="7"/>
  <c r="Q20" i="7"/>
  <c r="Q21" i="7"/>
  <c r="P21" i="7"/>
  <c r="BQ2" i="3"/>
  <c r="BP2" i="3"/>
  <c r="BN2" i="3"/>
  <c r="BM2" i="3"/>
  <c r="BI1" i="3"/>
  <c r="BC1" i="3"/>
  <c r="AE1" i="3"/>
  <c r="AD1" i="3"/>
  <c r="AC1" i="3"/>
  <c r="AA1" i="3"/>
  <c r="BO2" i="3" l="1"/>
  <c r="CW3" i="2"/>
  <c r="AB1" i="3" l="1"/>
  <c r="BO1" i="3"/>
  <c r="CQ3" i="2" l="1"/>
  <c r="B17" i="8" l="1"/>
  <c r="B16" i="8"/>
  <c r="B15" i="8"/>
  <c r="B14" i="8"/>
  <c r="B13" i="8"/>
  <c r="B12" i="8"/>
  <c r="B11" i="8"/>
  <c r="B10" i="8"/>
  <c r="B84" i="7" l="1"/>
  <c r="G84" i="7"/>
  <c r="B96" i="7" l="1"/>
  <c r="S21" i="7"/>
  <c r="S19" i="7"/>
  <c r="S20" i="7"/>
  <c r="H87" i="7"/>
  <c r="B99" i="7"/>
  <c r="H95" i="7"/>
  <c r="G87" i="7"/>
  <c r="H91" i="7"/>
  <c r="N7" i="7"/>
  <c r="H92" i="7"/>
  <c r="C99" i="7"/>
  <c r="M7" i="7"/>
  <c r="G91" i="7"/>
  <c r="H96" i="7"/>
  <c r="Q7" i="7"/>
  <c r="B92" i="7" s="1"/>
  <c r="H88" i="7"/>
  <c r="G95" i="7"/>
  <c r="B83" i="7" l="1"/>
  <c r="O9" i="7"/>
  <c r="O11" i="7"/>
  <c r="O10" i="7"/>
  <c r="N16" i="7"/>
  <c r="C98" i="7" s="1"/>
  <c r="N15" i="7"/>
  <c r="B98" i="7" s="1"/>
  <c r="N14" i="7"/>
  <c r="B95" i="7" s="1"/>
  <c r="P11" i="7"/>
  <c r="C89" i="7" s="1"/>
  <c r="P9" i="7"/>
  <c r="B86" i="7" s="1"/>
  <c r="P10" i="7"/>
  <c r="B89" i="7" s="1"/>
  <c r="H90" i="7"/>
  <c r="H94" i="7"/>
  <c r="H86" i="7"/>
  <c r="B8" i="8" l="1"/>
  <c r="B90" i="7"/>
  <c r="C8" i="8" s="1"/>
  <c r="B7" i="8"/>
  <c r="C90" i="7"/>
  <c r="C7" i="8" s="1"/>
  <c r="B9" i="8"/>
  <c r="B87" i="7"/>
  <c r="C9" i="8" s="1"/>
</calcChain>
</file>

<file path=xl/sharedStrings.xml><?xml version="1.0" encoding="utf-8"?>
<sst xmlns="http://schemas.openxmlformats.org/spreadsheetml/2006/main" count="419" uniqueCount="209">
  <si>
    <t>Promo ID &amp; EAN Code</t>
  </si>
  <si>
    <t>Promotion ID</t>
  </si>
  <si>
    <t>Promotion name</t>
  </si>
  <si>
    <t>Promo Mechanic Name</t>
  </si>
  <si>
    <t>Promo Feature</t>
  </si>
  <si>
    <t>Customer</t>
  </si>
  <si>
    <t>Account</t>
  </si>
  <si>
    <t>Clan</t>
  </si>
  <si>
    <t>Category</t>
  </si>
  <si>
    <t>Brand</t>
  </si>
  <si>
    <t>Size Pack Form</t>
  </si>
  <si>
    <t>INCLUDE/ EXCLUDE</t>
  </si>
  <si>
    <t>Planned ROI</t>
  </si>
  <si>
    <t>Actual ROI</t>
  </si>
  <si>
    <t>variance</t>
  </si>
  <si>
    <t>pre-eval colour</t>
  </si>
  <si>
    <t>post-eval colour</t>
  </si>
  <si>
    <t>colour move</t>
  </si>
  <si>
    <t>Primary Mechanic Name</t>
  </si>
  <si>
    <t>Promo Shipment Start Date</t>
  </si>
  <si>
    <t>Promo Shipment End Date</t>
  </si>
  <si>
    <t>Promo In Store Start Date</t>
  </si>
  <si>
    <t>Promo In Store End Date</t>
  </si>
  <si>
    <t>Actual Total GSV less Dip</t>
  </si>
  <si>
    <t>Actual Incremental GSV</t>
  </si>
  <si>
    <t>Actual Total Spend</t>
  </si>
  <si>
    <t>Actual Total Turnover</t>
  </si>
  <si>
    <t>Actual Incremental Turnover</t>
  </si>
  <si>
    <t>Actual Total Profit</t>
  </si>
  <si>
    <t>Actual Incremental Profit</t>
  </si>
  <si>
    <t>Actual Incremental Qty CU</t>
  </si>
  <si>
    <t>Actual Total Shipment Qty CU Promo Period</t>
  </si>
  <si>
    <t xml:space="preserve">Actual Total Consumption Qty CU Promo Period  </t>
  </si>
  <si>
    <t>Planned Total Shipment Quantity CU</t>
  </si>
  <si>
    <t>Actual EPOS/Shipment Qty CU less Planned Dip Qty CU</t>
  </si>
  <si>
    <t>difference</t>
  </si>
  <si>
    <t>Planned Promotion Baseline Qty CU</t>
  </si>
  <si>
    <t>Planned Volume Uplift</t>
  </si>
  <si>
    <t>Actual Volume Uplift</t>
  </si>
  <si>
    <t>Planned Total OLV Sell-In</t>
  </si>
  <si>
    <t>Actual Total GSV Sell In</t>
  </si>
  <si>
    <t>Planned Baseline OLV</t>
  </si>
  <si>
    <t>Planned Incremental GSV</t>
  </si>
  <si>
    <t>Planned Total Turnover Sell-In</t>
  </si>
  <si>
    <t>Planned Incremental Turnover</t>
  </si>
  <si>
    <t>Planned TTS Spend Amount</t>
  </si>
  <si>
    <t>Planned Total Profit</t>
  </si>
  <si>
    <t>Planned Incremental Profit</t>
  </si>
  <si>
    <t>Promo Pre-Evaluation Comments</t>
  </si>
  <si>
    <t>reporting comments</t>
  </si>
  <si>
    <t>promo count</t>
  </si>
  <si>
    <t>included incr profit only</t>
  </si>
  <si>
    <t>included spend only</t>
  </si>
  <si>
    <t>included promo count only</t>
  </si>
  <si>
    <t>iTO included</t>
  </si>
  <si>
    <t>AFM</t>
  </si>
  <si>
    <t>green</t>
  </si>
  <si>
    <t>amber</t>
  </si>
  <si>
    <t>red</t>
  </si>
  <si>
    <t>TABLEAU DATA</t>
  </si>
  <si>
    <t>Promo Details</t>
  </si>
  <si>
    <t>Promo P&amp;L</t>
  </si>
  <si>
    <t>Quantity Measures</t>
  </si>
  <si>
    <t>OLV/ GSV measures</t>
  </si>
  <si>
    <t>Turnover Measures</t>
  </si>
  <si>
    <t>Investment Measures</t>
  </si>
  <si>
    <t>Profit Measures</t>
  </si>
  <si>
    <t>Commentary</t>
  </si>
  <si>
    <t>Promo Feature2</t>
  </si>
  <si>
    <t>difference2</t>
  </si>
  <si>
    <t>variance2</t>
  </si>
  <si>
    <t>Actual Incremental GSV2</t>
  </si>
  <si>
    <t>Actual Total Turnover2</t>
  </si>
  <si>
    <t>variance3</t>
  </si>
  <si>
    <t>Actual Incremental Turnover2</t>
  </si>
  <si>
    <t>variance4</t>
  </si>
  <si>
    <t>Actual Total Spend2</t>
  </si>
  <si>
    <t>variance5</t>
  </si>
  <si>
    <t>Actual Total Profit2</t>
  </si>
  <si>
    <t>variance6</t>
  </si>
  <si>
    <t>Actual Incremental Profit2</t>
  </si>
  <si>
    <t>variance7</t>
  </si>
  <si>
    <t>Clan2</t>
  </si>
  <si>
    <t>Promotion</t>
  </si>
  <si>
    <t>CU EAN Code</t>
  </si>
  <si>
    <t>Time ~ Shipment Start Date</t>
  </si>
  <si>
    <t>Promo Status</t>
  </si>
  <si>
    <t>Planned Dip Qty CU</t>
  </si>
  <si>
    <t>Planned Cannibalised Qty CU</t>
  </si>
  <si>
    <t>Planned Sell-Out Qty CU</t>
  </si>
  <si>
    <t>Sell Out Adj Qty CU</t>
  </si>
  <si>
    <t>Planned Stock On Hand CU</t>
  </si>
  <si>
    <t>Actual ROI %</t>
  </si>
  <si>
    <t>Planned Total Product Cost ~ Sell-In</t>
  </si>
  <si>
    <t>Planned Total Product Cost ~ Sell-Out</t>
  </si>
  <si>
    <t>Planned Total OLV ~ Sell-Out</t>
  </si>
  <si>
    <t>Planned Dip OLV</t>
  </si>
  <si>
    <t>Planned Cannibalised OLV</t>
  </si>
  <si>
    <t>Planned Total Turnover ~ Sell-Out</t>
  </si>
  <si>
    <t>Planned Promoted TO Sell Out</t>
  </si>
  <si>
    <t>Planned Non-Promoted TO Price CU</t>
  </si>
  <si>
    <t>Planned Baseline Turnover</t>
  </si>
  <si>
    <t>Planned Dip TO</t>
  </si>
  <si>
    <t>Planned Cannibalised TO</t>
  </si>
  <si>
    <t>Planned Baseline Gross Profit</t>
  </si>
  <si>
    <t>Sell Out Adj Gross Profit</t>
  </si>
  <si>
    <t>Planned Dip Gross Profit</t>
  </si>
  <si>
    <t>Planned Cann Gross Profit</t>
  </si>
  <si>
    <t>Planned Total Promo Spend</t>
  </si>
  <si>
    <t>Actual Volume Uplift %</t>
  </si>
  <si>
    <t>Actual Total GSV ~ Sell-In</t>
  </si>
  <si>
    <t>Actual EPOS/Shipment Qty CU</t>
  </si>
  <si>
    <t>Planned Incremental Qty CU</t>
  </si>
  <si>
    <t>Planned Fixed Costs</t>
  </si>
  <si>
    <t>Planned Variable Costs</t>
  </si>
  <si>
    <t>Planned GSV per CU</t>
  </si>
  <si>
    <t>Planned Variable Costs per CU</t>
  </si>
  <si>
    <t>Actual Total Variable Spend</t>
  </si>
  <si>
    <t>Planned Variable Turnover</t>
  </si>
  <si>
    <t>Planned Variable Turnover per CU</t>
  </si>
  <si>
    <t>Actual Variable Turnover</t>
  </si>
  <si>
    <t>Planned Variable Profit</t>
  </si>
  <si>
    <t>Planned Variable Profit per CU</t>
  </si>
  <si>
    <t>Actual Variable Profit</t>
  </si>
  <si>
    <t>BLANK</t>
  </si>
  <si>
    <t>Promo Line Count</t>
  </si>
  <si>
    <t>-ve actual volume uplift</t>
  </si>
  <si>
    <t>-ve/0 GSV</t>
  </si>
  <si>
    <t>TTS%GSV&lt;5%</t>
  </si>
  <si>
    <t>pipefill</t>
  </si>
  <si>
    <t>EPOS&gt;130%</t>
  </si>
  <si>
    <t>hijackers</t>
  </si>
  <si>
    <t>systems issues</t>
  </si>
  <si>
    <t>CAM error</t>
  </si>
  <si>
    <t>obvious error</t>
  </si>
  <si>
    <t>exclusion reason</t>
  </si>
  <si>
    <t>POST</t>
  </si>
  <si>
    <t>Number of Promos</t>
  </si>
  <si>
    <t>Actual Promo spend</t>
  </si>
  <si>
    <t>% spend</t>
  </si>
  <si>
    <t>% number</t>
  </si>
  <si>
    <t>PRE</t>
  </si>
  <si>
    <t>number of promos</t>
  </si>
  <si>
    <t>planned promo spend</t>
  </si>
  <si>
    <t>actual green</t>
  </si>
  <si>
    <t>actual amber</t>
  </si>
  <si>
    <t>actual red</t>
  </si>
  <si>
    <t>actual green%</t>
  </si>
  <si>
    <t>actual amber%</t>
  </si>
  <si>
    <t>actual red%</t>
  </si>
  <si>
    <t>Check</t>
  </si>
  <si>
    <t>pre green</t>
  </si>
  <si>
    <t>pre amber</t>
  </si>
  <si>
    <t>pre red</t>
  </si>
  <si>
    <t>+ve iTO &amp; +ve iProfit</t>
  </si>
  <si>
    <t>-ve iTO &amp; +ve iProfit</t>
  </si>
  <si>
    <t>+ve iTO &amp; -ve iProfit</t>
  </si>
  <si>
    <t>-ve iTO &amp; -ve iProfit</t>
  </si>
  <si>
    <t>were as planned</t>
  </si>
  <si>
    <t>performed better than planned</t>
  </si>
  <si>
    <t>performed worse than planned</t>
  </si>
  <si>
    <t>ROI% actual</t>
  </si>
  <si>
    <t>ROI% pre-eval</t>
  </si>
  <si>
    <t>spend coverage</t>
  </si>
  <si>
    <t>promo coverage</t>
  </si>
  <si>
    <t>% spend in red</t>
  </si>
  <si>
    <t>% spend in amber</t>
  </si>
  <si>
    <t>% spend in green</t>
  </si>
  <si>
    <t>total iTO (incl)</t>
  </si>
  <si>
    <t>total iProfit (incl)</t>
  </si>
  <si>
    <t>total spend (incl)</t>
  </si>
  <si>
    <t>total iTO (tot)</t>
  </si>
  <si>
    <t>total iProfit (tot)</t>
  </si>
  <si>
    <t>total spend (tot)</t>
  </si>
  <si>
    <t>total promos</t>
  </si>
  <si>
    <t>total incl promos</t>
  </si>
  <si>
    <t>ROI% : ACTUALS</t>
  </si>
  <si>
    <t>Colours</t>
  </si>
  <si>
    <t>EXCLUSION ANALYSIS</t>
  </si>
  <si>
    <t>ROI% : PRE-EVALUATION</t>
  </si>
  <si>
    <t>ROI% : ACTUALS 'v' PRE-EVALUATION</t>
  </si>
  <si>
    <t>SPEND COVERAGE</t>
  </si>
  <si>
    <t>PROMO COVERAGE</t>
  </si>
  <si>
    <t>TOTAL SPEND</t>
  </si>
  <si>
    <t>ROI% : ACTUALS BY CLAN</t>
  </si>
  <si>
    <t>ROI% : PRE-EVALUATION BY CLAN</t>
  </si>
  <si>
    <t>ROI% : ACTUALS 'v' PRE-EVALUATION BY CLAN</t>
  </si>
  <si>
    <t>Promotion Analysis by Colour</t>
  </si>
  <si>
    <t>Movement in Promo Colour</t>
  </si>
  <si>
    <t>Row Labels</t>
  </si>
  <si>
    <t>(blank)</t>
  </si>
  <si>
    <t>Grand Total</t>
  </si>
  <si>
    <t>Column Labels</t>
  </si>
  <si>
    <t>(All)</t>
  </si>
  <si>
    <t>Count of Promotion</t>
  </si>
  <si>
    <t>Values</t>
  </si>
  <si>
    <t>Sum of Actual Total Spend</t>
  </si>
  <si>
    <t>Count of exclusion reason</t>
  </si>
  <si>
    <t>Sum of ROI%</t>
  </si>
  <si>
    <t>Sum of Actual Incremental Profit</t>
  </si>
  <si>
    <t>Sum of PRE-EVAL ROI%</t>
  </si>
  <si>
    <t>Sum of ROI% ACTUALS 'v' PRE-EVALUATION</t>
  </si>
  <si>
    <t>Sum of % SPEND COVERAGE</t>
  </si>
  <si>
    <t>Sum of % PROMO COVERAGE</t>
  </si>
  <si>
    <t>Sum of Actual Total Spend2</t>
  </si>
  <si>
    <t>Sum of Actual Incremental Turnover</t>
  </si>
  <si>
    <t>Sum of Planned TTS Spend Amount</t>
  </si>
  <si>
    <t>Sum of Planned Incremental Turnover</t>
  </si>
  <si>
    <t>Sum of Planned Incremental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</si>
</sst>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%"/>
    <numFmt numFmtId="165" formatCode="#,##0;[Red]\(#,##0\)"/>
    <numFmt numFmtId="166" formatCode="#,##0%"/>
    <numFmt numFmtId="167" formatCode="#,##0.0%;[Red]\-#,##0.0%"/>
    <numFmt numFmtId="168" formatCode="#,##0.0%;[Red]\(#,##0.0%\)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3" fillId="0" borderId="0" applyFon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ill="1"/>
    <xf numFmtId="165" fontId="0" fillId="0" borderId="0" xfId="0" applyNumberFormat="1"/>
    <xf numFmtId="0" fontId="4" fillId="4" borderId="0" xfId="0" applyFont="1" applyFill="1"/>
    <xf numFmtId="0" fontId="4" fillId="0" borderId="0" xfId="0" applyFont="1"/>
    <xf numFmtId="0" fontId="4" fillId="3" borderId="0" xfId="0" applyFont="1" applyFill="1"/>
    <xf numFmtId="0" fontId="4" fillId="0" borderId="0" xfId="0" applyFont="1" applyFill="1"/>
    <xf numFmtId="0" fontId="4" fillId="2" borderId="0" xfId="0" applyFont="1" applyFill="1"/>
    <xf numFmtId="0" fontId="5" fillId="7" borderId="7" xfId="0" applyFont="1" applyFill="1" applyBorder="1" applyAlignment="1">
      <alignment horizontal="center" wrapText="1"/>
    </xf>
    <xf numFmtId="0" fontId="5" fillId="7" borderId="0" xfId="0" applyFont="1" applyFill="1" applyBorder="1" applyAlignment="1">
      <alignment horizontal="center" wrapText="1"/>
    </xf>
    <xf numFmtId="0" fontId="5" fillId="7" borderId="8" xfId="0" applyFont="1" applyFill="1" applyBorder="1" applyAlignment="1">
      <alignment horizontal="center" wrapText="1"/>
    </xf>
    <xf numFmtId="0" fontId="7" fillId="8" borderId="15" xfId="0" quotePrefix="1" applyFont="1" applyFill="1" applyBorder="1" applyAlignment="1">
      <alignment horizontal="center" vertical="top"/>
    </xf>
    <xf numFmtId="0" fontId="7" fillId="7" borderId="9" xfId="0" quotePrefix="1" applyFont="1" applyFill="1" applyBorder="1" applyAlignment="1">
      <alignment horizontal="center" vertical="top"/>
    </xf>
    <xf numFmtId="0" fontId="8" fillId="7" borderId="1" xfId="0" applyFont="1" applyFill="1" applyBorder="1"/>
    <xf numFmtId="0" fontId="8" fillId="7" borderId="3" xfId="0" applyFont="1" applyFill="1" applyBorder="1"/>
    <xf numFmtId="166" fontId="6" fillId="8" borderId="16" xfId="0" quotePrefix="1" applyNumberFormat="1" applyFont="1" applyFill="1" applyBorder="1" applyAlignment="1">
      <alignment horizontal="center"/>
    </xf>
    <xf numFmtId="166" fontId="6" fillId="7" borderId="7" xfId="0" quotePrefix="1" applyNumberFormat="1" applyFont="1" applyFill="1" applyBorder="1" applyAlignment="1">
      <alignment horizontal="center"/>
    </xf>
    <xf numFmtId="0" fontId="8" fillId="7" borderId="7" xfId="0" applyFont="1" applyFill="1" applyBorder="1"/>
    <xf numFmtId="0" fontId="8" fillId="8" borderId="14" xfId="0" applyFont="1" applyFill="1" applyBorder="1" applyAlignment="1">
      <alignment horizontal="center"/>
    </xf>
    <xf numFmtId="9" fontId="6" fillId="8" borderId="17" xfId="0" quotePrefix="1" applyNumberFormat="1" applyFont="1" applyFill="1" applyBorder="1" applyAlignment="1">
      <alignment horizontal="center" vertical="top"/>
    </xf>
    <xf numFmtId="9" fontId="6" fillId="7" borderId="4" xfId="0" quotePrefix="1" applyNumberFormat="1" applyFont="1" applyFill="1" applyBorder="1" applyAlignment="1">
      <alignment horizontal="center" vertical="top"/>
    </xf>
    <xf numFmtId="0" fontId="8" fillId="8" borderId="7" xfId="0" applyFont="1" applyFill="1" applyBorder="1" applyAlignment="1">
      <alignment horizontal="left"/>
    </xf>
    <xf numFmtId="0" fontId="8" fillId="5" borderId="14" xfId="0" applyFont="1" applyFill="1" applyBorder="1" applyAlignment="1">
      <alignment horizontal="center"/>
    </xf>
    <xf numFmtId="0" fontId="9" fillId="5" borderId="15" xfId="0" quotePrefix="1" applyFont="1" applyFill="1" applyBorder="1" applyAlignment="1">
      <alignment horizontal="center" vertical="top"/>
    </xf>
    <xf numFmtId="0" fontId="9" fillId="9" borderId="1" xfId="0" quotePrefix="1" applyFont="1" applyFill="1" applyBorder="1" applyAlignment="1">
      <alignment horizontal="center" vertical="top"/>
    </xf>
    <xf numFmtId="0" fontId="8" fillId="9" borderId="14" xfId="0" applyFont="1" applyFill="1" applyBorder="1" applyAlignment="1">
      <alignment horizontal="center"/>
    </xf>
    <xf numFmtId="166" fontId="6" fillId="5" borderId="16" xfId="0" quotePrefix="1" applyNumberFormat="1" applyFont="1" applyFill="1" applyBorder="1" applyAlignment="1">
      <alignment horizontal="center"/>
    </xf>
    <xf numFmtId="166" fontId="6" fillId="9" borderId="7" xfId="0" quotePrefix="1" applyNumberFormat="1" applyFont="1" applyFill="1" applyBorder="1" applyAlignment="1">
      <alignment horizontal="center"/>
    </xf>
    <xf numFmtId="0" fontId="8" fillId="7" borderId="14" xfId="0" applyFont="1" applyFill="1" applyBorder="1" applyAlignment="1">
      <alignment horizontal="center"/>
    </xf>
    <xf numFmtId="9" fontId="6" fillId="5" borderId="17" xfId="0" quotePrefix="1" applyNumberFormat="1" applyFont="1" applyFill="1" applyBorder="1" applyAlignment="1">
      <alignment horizontal="center" vertical="top"/>
    </xf>
    <xf numFmtId="9" fontId="6" fillId="9" borderId="4" xfId="0" quotePrefix="1" applyNumberFormat="1" applyFont="1" applyFill="1" applyBorder="1" applyAlignment="1">
      <alignment horizontal="center" vertical="top"/>
    </xf>
    <xf numFmtId="0" fontId="8" fillId="7" borderId="8" xfId="0" applyFont="1" applyFill="1" applyBorder="1"/>
    <xf numFmtId="0" fontId="8" fillId="5" borderId="7" xfId="0" applyFont="1" applyFill="1" applyBorder="1" applyAlignment="1">
      <alignment horizontal="left"/>
    </xf>
    <xf numFmtId="0" fontId="8" fillId="9" borderId="7" xfId="0" applyFont="1" applyFill="1" applyBorder="1" applyAlignment="1">
      <alignment horizontal="left"/>
    </xf>
    <xf numFmtId="164" fontId="8" fillId="7" borderId="7" xfId="2" applyNumberFormat="1" applyFont="1" applyFill="1" applyBorder="1"/>
    <xf numFmtId="0" fontId="10" fillId="7" borderId="14" xfId="0" applyFont="1" applyFill="1" applyBorder="1"/>
    <xf numFmtId="164" fontId="8" fillId="7" borderId="4" xfId="2" applyNumberFormat="1" applyFont="1" applyFill="1" applyBorder="1"/>
    <xf numFmtId="0" fontId="10" fillId="7" borderId="6" xfId="0" applyFont="1" applyFill="1" applyBorder="1"/>
    <xf numFmtId="9" fontId="0" fillId="0" borderId="0" xfId="0" applyNumberFormat="1"/>
    <xf numFmtId="0" fontId="1" fillId="0" borderId="2" xfId="0" applyFont="1" applyBorder="1"/>
    <xf numFmtId="167" fontId="1" fillId="0" borderId="3" xfId="0" applyNumberFormat="1" applyFont="1" applyBorder="1"/>
    <xf numFmtId="0" fontId="1" fillId="0" borderId="0" xfId="0" applyFont="1" applyBorder="1"/>
    <xf numFmtId="167" fontId="1" fillId="0" borderId="14" xfId="0" applyNumberFormat="1" applyFont="1" applyBorder="1"/>
    <xf numFmtId="0" fontId="1" fillId="0" borderId="14" xfId="0" applyFont="1" applyFill="1" applyBorder="1"/>
    <xf numFmtId="38" fontId="1" fillId="0" borderId="14" xfId="0" applyNumberFormat="1" applyFont="1" applyBorder="1"/>
    <xf numFmtId="3" fontId="1" fillId="0" borderId="14" xfId="0" applyNumberFormat="1" applyFont="1" applyBorder="1"/>
    <xf numFmtId="0" fontId="1" fillId="0" borderId="5" xfId="0" applyFont="1" applyBorder="1"/>
    <xf numFmtId="38" fontId="1" fillId="0" borderId="6" xfId="0" applyNumberFormat="1" applyFont="1" applyBorder="1"/>
    <xf numFmtId="0" fontId="1" fillId="0" borderId="0" xfId="0" applyFont="1" applyAlignment="1">
      <alignment wrapText="1"/>
    </xf>
    <xf numFmtId="38" fontId="11" fillId="0" borderId="0" xfId="0" applyNumberFormat="1" applyFont="1" applyAlignment="1">
      <alignment horizontal="center"/>
    </xf>
    <xf numFmtId="164" fontId="11" fillId="0" borderId="0" xfId="2" applyNumberFormat="1" applyFont="1" applyAlignment="1">
      <alignment horizontal="center"/>
    </xf>
    <xf numFmtId="9" fontId="1" fillId="0" borderId="0" xfId="2" applyFont="1"/>
    <xf numFmtId="0" fontId="11" fillId="11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3" fontId="11" fillId="0" borderId="0" xfId="0" applyNumberFormat="1" applyFont="1" applyAlignment="1">
      <alignment horizontal="center"/>
    </xf>
    <xf numFmtId="38" fontId="11" fillId="0" borderId="0" xfId="0" applyNumberFormat="1" applyFont="1" applyFill="1" applyAlignment="1">
      <alignment horizontal="center"/>
    </xf>
    <xf numFmtId="0" fontId="1" fillId="0" borderId="0" xfId="0" applyFont="1" applyFill="1"/>
    <xf numFmtId="164" fontId="11" fillId="0" borderId="0" xfId="2" applyNumberFormat="1" applyFont="1" applyFill="1" applyAlignment="1">
      <alignment horizontal="center"/>
    </xf>
    <xf numFmtId="3" fontId="11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2" applyNumberFormat="1" applyFont="1"/>
    <xf numFmtId="168" fontId="0" fillId="0" borderId="0" xfId="0" applyNumberFormat="1" applyAlignment="1">
      <alignment wrapText="1"/>
    </xf>
    <xf numFmtId="168" fontId="1" fillId="0" borderId="0" xfId="0" applyNumberFormat="1" applyFont="1" applyAlignment="1">
      <alignment wrapText="1"/>
    </xf>
    <xf numFmtId="168" fontId="0" fillId="0" borderId="0" xfId="0" applyNumberFormat="1"/>
    <xf numFmtId="168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pivotButton="1" applyAlignment="1">
      <alignment wrapText="1"/>
    </xf>
    <xf numFmtId="0" fontId="13" fillId="8" borderId="15" xfId="0" quotePrefix="1" applyFont="1" applyFill="1" applyBorder="1" applyAlignment="1">
      <alignment horizontal="center" vertical="top"/>
    </xf>
    <xf numFmtId="0" fontId="13" fillId="7" borderId="9" xfId="0" quotePrefix="1" applyFont="1" applyFill="1" applyBorder="1" applyAlignment="1">
      <alignment horizontal="center" vertical="top"/>
    </xf>
    <xf numFmtId="166" fontId="4" fillId="8" borderId="16" xfId="0" quotePrefix="1" applyNumberFormat="1" applyFont="1" applyFill="1" applyBorder="1" applyAlignment="1">
      <alignment horizontal="center"/>
    </xf>
    <xf numFmtId="166" fontId="4" fillId="7" borderId="7" xfId="0" quotePrefix="1" applyNumberFormat="1" applyFont="1" applyFill="1" applyBorder="1" applyAlignment="1">
      <alignment horizontal="center"/>
    </xf>
    <xf numFmtId="9" fontId="4" fillId="8" borderId="17" xfId="0" quotePrefix="1" applyNumberFormat="1" applyFont="1" applyFill="1" applyBorder="1" applyAlignment="1">
      <alignment horizontal="center" vertical="top"/>
    </xf>
    <xf numFmtId="9" fontId="4" fillId="7" borderId="4" xfId="0" quotePrefix="1" applyNumberFormat="1" applyFont="1" applyFill="1" applyBorder="1" applyAlignment="1">
      <alignment horizontal="center" vertical="top"/>
    </xf>
    <xf numFmtId="0" fontId="4" fillId="5" borderId="15" xfId="0" quotePrefix="1" applyFont="1" applyFill="1" applyBorder="1" applyAlignment="1">
      <alignment horizontal="center" vertical="top"/>
    </xf>
    <xf numFmtId="0" fontId="4" fillId="9" borderId="1" xfId="0" quotePrefix="1" applyFont="1" applyFill="1" applyBorder="1" applyAlignment="1">
      <alignment horizontal="center" vertical="top"/>
    </xf>
    <xf numFmtId="166" fontId="4" fillId="5" borderId="16" xfId="0" quotePrefix="1" applyNumberFormat="1" applyFont="1" applyFill="1" applyBorder="1" applyAlignment="1">
      <alignment horizontal="center"/>
    </xf>
    <xf numFmtId="166" fontId="4" fillId="9" borderId="7" xfId="0" quotePrefix="1" applyNumberFormat="1" applyFont="1" applyFill="1" applyBorder="1" applyAlignment="1">
      <alignment horizontal="center"/>
    </xf>
    <xf numFmtId="9" fontId="4" fillId="5" borderId="17" xfId="0" quotePrefix="1" applyNumberFormat="1" applyFont="1" applyFill="1" applyBorder="1" applyAlignment="1">
      <alignment horizontal="center" vertical="top"/>
    </xf>
    <xf numFmtId="9" fontId="4" fillId="9" borderId="4" xfId="0" quotePrefix="1" applyNumberFormat="1" applyFont="1" applyFill="1" applyBorder="1" applyAlignment="1">
      <alignment horizontal="center" vertical="top"/>
    </xf>
    <xf numFmtId="0" fontId="0" fillId="7" borderId="8" xfId="0" applyFont="1" applyFill="1" applyBorder="1"/>
    <xf numFmtId="0" fontId="0" fillId="7" borderId="1" xfId="0" applyFont="1" applyFill="1" applyBorder="1"/>
    <xf numFmtId="0" fontId="0" fillId="7" borderId="3" xfId="0" applyFont="1" applyFill="1" applyBorder="1"/>
    <xf numFmtId="0" fontId="0" fillId="7" borderId="7" xfId="0" applyFont="1" applyFill="1" applyBorder="1"/>
    <xf numFmtId="0" fontId="0" fillId="8" borderId="14" xfId="0" applyFont="1" applyFill="1" applyBorder="1" applyAlignment="1">
      <alignment horizontal="center"/>
    </xf>
    <xf numFmtId="0" fontId="0" fillId="8" borderId="7" xfId="0" applyFont="1" applyFill="1" applyBorder="1" applyAlignment="1">
      <alignment horizontal="left"/>
    </xf>
    <xf numFmtId="0" fontId="0" fillId="5" borderId="14" xfId="0" applyFont="1" applyFill="1" applyBorder="1" applyAlignment="1">
      <alignment horizontal="center"/>
    </xf>
    <xf numFmtId="0" fontId="0" fillId="9" borderId="14" xfId="0" applyFont="1" applyFill="1" applyBorder="1" applyAlignment="1">
      <alignment horizontal="center"/>
    </xf>
    <xf numFmtId="0" fontId="0" fillId="7" borderId="14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left"/>
    </xf>
    <xf numFmtId="0" fontId="0" fillId="9" borderId="7" xfId="0" applyFont="1" applyFill="1" applyBorder="1" applyAlignment="1">
      <alignment horizontal="left"/>
    </xf>
    <xf numFmtId="164" fontId="0" fillId="7" borderId="7" xfId="2" applyNumberFormat="1" applyFont="1" applyFill="1" applyBorder="1"/>
    <xf numFmtId="0" fontId="14" fillId="7" borderId="14" xfId="0" applyFont="1" applyFill="1" applyBorder="1"/>
    <xf numFmtId="164" fontId="0" fillId="7" borderId="4" xfId="2" applyNumberFormat="1" applyFont="1" applyFill="1" applyBorder="1"/>
    <xf numFmtId="0" fontId="14" fillId="7" borderId="6" xfId="0" applyFont="1" applyFill="1" applyBorder="1"/>
    <xf numFmtId="0" fontId="11" fillId="2" borderId="18" xfId="0" applyFont="1" applyFill="1" applyBorder="1" applyAlignment="1">
      <alignment horizontal="center" wrapText="1"/>
    </xf>
    <xf numFmtId="0" fontId="11" fillId="15" borderId="18" xfId="0" applyFont="1" applyFill="1" applyBorder="1" applyAlignment="1">
      <alignment horizontal="center" wrapText="1"/>
    </xf>
    <xf numFmtId="0" fontId="11" fillId="16" borderId="18" xfId="0" applyFont="1" applyFill="1" applyBorder="1" applyAlignment="1">
      <alignment horizontal="center" wrapText="1"/>
    </xf>
    <xf numFmtId="0" fontId="11" fillId="11" borderId="0" xfId="0" applyFont="1" applyFill="1" applyAlignment="1">
      <alignment horizontal="center"/>
    </xf>
    <xf numFmtId="0" fontId="11" fillId="0" borderId="0" xfId="0" applyFont="1" applyAlignment="1">
      <alignment horizontal="center" wrapText="1"/>
    </xf>
    <xf numFmtId="0" fontId="12" fillId="12" borderId="18" xfId="0" applyFont="1" applyFill="1" applyBorder="1" applyAlignment="1">
      <alignment horizontal="center" wrapText="1"/>
    </xf>
    <xf numFmtId="0" fontId="11" fillId="13" borderId="18" xfId="0" applyFont="1" applyFill="1" applyBorder="1" applyAlignment="1">
      <alignment horizontal="center" wrapText="1"/>
    </xf>
    <xf numFmtId="9" fontId="11" fillId="13" borderId="18" xfId="2" applyFont="1" applyFill="1" applyBorder="1" applyAlignment="1">
      <alignment horizontal="center" wrapText="1"/>
    </xf>
    <xf numFmtId="0" fontId="11" fillId="3" borderId="18" xfId="0" applyFont="1" applyFill="1" applyBorder="1" applyAlignment="1">
      <alignment horizontal="center" wrapText="1"/>
    </xf>
    <xf numFmtId="0" fontId="11" fillId="14" borderId="18" xfId="0" applyFont="1" applyFill="1" applyBorder="1" applyAlignment="1">
      <alignment horizontal="center" wrapText="1"/>
    </xf>
    <xf numFmtId="0" fontId="4" fillId="10" borderId="7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 wrapText="1"/>
    </xf>
    <xf numFmtId="0" fontId="4" fillId="6" borderId="13" xfId="0" applyFont="1" applyFill="1" applyBorder="1" applyAlignment="1">
      <alignment horizontal="center" wrapText="1"/>
    </xf>
    <xf numFmtId="0" fontId="5" fillId="6" borderId="18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4" fillId="6" borderId="9" xfId="0" applyFont="1" applyFill="1" applyBorder="1" applyAlignment="1">
      <alignment horizontal="center" wrapText="1"/>
    </xf>
    <xf numFmtId="0" fontId="4" fillId="6" borderId="10" xfId="0" applyFont="1" applyFill="1" applyBorder="1" applyAlignment="1">
      <alignment horizontal="center" wrapText="1"/>
    </xf>
    <xf numFmtId="0" fontId="4" fillId="6" borderId="11" xfId="0" applyFont="1" applyFill="1" applyBorder="1" applyAlignment="1">
      <alignment horizontal="center" wrapText="1"/>
    </xf>
    <xf numFmtId="0" fontId="6" fillId="6" borderId="9" xfId="0" applyFont="1" applyFill="1" applyBorder="1" applyAlignment="1">
      <alignment horizontal="center" wrapText="1"/>
    </xf>
    <xf numFmtId="0" fontId="6" fillId="6" borderId="10" xfId="0" applyFont="1" applyFill="1" applyBorder="1" applyAlignment="1">
      <alignment horizontal="center" wrapText="1"/>
    </xf>
    <xf numFmtId="0" fontId="6" fillId="6" borderId="11" xfId="0" applyFont="1" applyFill="1" applyBorder="1" applyAlignment="1">
      <alignment horizontal="center" wrapText="1"/>
    </xf>
    <xf numFmtId="0" fontId="6" fillId="6" borderId="12" xfId="0" applyFont="1" applyFill="1" applyBorder="1" applyAlignment="1">
      <alignment horizontal="center" wrapText="1"/>
    </xf>
    <xf numFmtId="0" fontId="6" fillId="6" borderId="13" xfId="0" applyFont="1" applyFill="1" applyBorder="1" applyAlignment="1">
      <alignment horizontal="center" wrapText="1"/>
    </xf>
  </cellXfs>
  <cellStyles count="3">
    <cellStyle name="Normal" xfId="0" builtinId="0"/>
    <cellStyle name="Normal 5" xfId="1"/>
    <cellStyle name="Percent" xfId="2" builtinId="5"/>
  </cellStyles>
  <dxfs count="45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Nilesh Narkhede" refreshedDate="42669.473288773152" createdVersion="4" refreshedVersion="4" minRefreshableVersion="3" recordCount="1">
  <cacheSource type="worksheet">
    <worksheetSource ref="A3:BS1048576" sheet="Data for Pivots"/>
  </cacheSource>
  <cacheFields count="77">
    <cacheField name="Promo ID &amp; EAN Code" numFmtId="0">
      <sharedItems containsNonDate="0" containsString="0" containsBlank="1"/>
    </cacheField>
    <cacheField name="Promotion ID" numFmtId="0">
      <sharedItems containsNonDate="0" containsString="0" containsBlank="1"/>
    </cacheField>
    <cacheField name="Promotion name" numFmtId="0">
      <sharedItems containsNonDate="0" containsString="0" containsBlank="1"/>
    </cacheField>
    <cacheField name="Promo Mechanic Name" numFmtId="0">
      <sharedItems containsNonDate="0" containsString="0" containsBlank="1"/>
    </cacheField>
    <cacheField name="Promo Feature" numFmtId="0">
      <sharedItems containsNonDate="0" containsString="0" containsBlank="1"/>
    </cacheField>
    <cacheField name="Customer" numFmtId="0">
      <sharedItems containsNonDate="0" containsString="0" containsBlank="1" count="1">
        <m/>
      </sharedItems>
    </cacheField>
    <cacheField name="Account" numFmtId="0">
      <sharedItems containsNonDate="0" containsString="0" containsBlank="1"/>
    </cacheField>
    <cacheField name="Clan" numFmtId="0">
      <sharedItems containsNonDate="0" containsString="0" containsBlank="1" count="1">
        <m/>
      </sharedItems>
    </cacheField>
    <cacheField name="Category" numFmtId="0">
      <sharedItems containsNonDate="0" containsString="0" containsBlank="1" count="1">
        <m/>
      </sharedItems>
    </cacheField>
    <cacheField name="Brand" numFmtId="0">
      <sharedItems containsNonDate="0" containsString="0" containsBlank="1"/>
    </cacheField>
    <cacheField name="Size Pack Form" numFmtId="0">
      <sharedItems containsNonDate="0" containsString="0" containsBlank="1"/>
    </cacheField>
    <cacheField name="INCLUDE/ EXCLUDE" numFmtId="0">
      <sharedItems containsNonDate="0" containsString="0" containsBlank="1" count="1">
        <m/>
      </sharedItems>
    </cacheField>
    <cacheField name="Planned ROI" numFmtId="168">
      <sharedItems containsNonDate="0" containsString="0" containsBlank="1"/>
    </cacheField>
    <cacheField name="Actual ROI" numFmtId="168">
      <sharedItems containsNonDate="0" containsString="0" containsBlank="1"/>
    </cacheField>
    <cacheField name="variance" numFmtId="168">
      <sharedItems containsNonDate="0" containsString="0" containsBlank="1"/>
    </cacheField>
    <cacheField name="pre-eval colour" numFmtId="0">
      <sharedItems containsNonDate="0" containsString="0" containsBlank="1"/>
    </cacheField>
    <cacheField name="post-eval colour" numFmtId="0">
      <sharedItems containsNonDate="0" containsString="0" containsBlank="1"/>
    </cacheField>
    <cacheField name="colour move" numFmtId="0">
      <sharedItems containsNonDate="0" containsString="0" containsBlank="1"/>
    </cacheField>
    <cacheField name="Primary Mechanic Name" numFmtId="0">
      <sharedItems containsNonDate="0" containsString="0" containsBlank="1"/>
    </cacheField>
    <cacheField name="Promo Feature2" numFmtId="0">
      <sharedItems containsNonDate="0" containsString="0" containsBlank="1"/>
    </cacheField>
    <cacheField name="Promo Shipment Start Date" numFmtId="0">
      <sharedItems containsNonDate="0" containsString="0" containsBlank="1"/>
    </cacheField>
    <cacheField name="Promo Shipment End Date" numFmtId="0">
      <sharedItems containsNonDate="0" containsString="0" containsBlank="1"/>
    </cacheField>
    <cacheField name="Promo In Store Start Date" numFmtId="0">
      <sharedItems containsNonDate="0" containsString="0" containsBlank="1"/>
    </cacheField>
    <cacheField name="Promo In Store End Date" numFmtId="0">
      <sharedItems containsNonDate="0" containsString="0" containsBlank="1"/>
    </cacheField>
    <cacheField name="Actual Total GSV less Dip" numFmtId="0">
      <sharedItems containsNonDate="0" containsString="0" containsBlank="1"/>
    </cacheField>
    <cacheField name="Actual Incremental GSV" numFmtId="0">
      <sharedItems containsNonDate="0" containsString="0" containsBlank="1"/>
    </cacheField>
    <cacheField name="Actual Total Spend" numFmtId="0">
      <sharedItems containsNonDate="0" containsString="0" containsBlank="1"/>
    </cacheField>
    <cacheField name="Actual Total Turnover" numFmtId="0">
      <sharedItems containsNonDate="0" containsString="0" containsBlank="1"/>
    </cacheField>
    <cacheField name="Actual Incremental Turnover" numFmtId="0">
      <sharedItems containsNonDate="0" containsString="0" containsBlank="1"/>
    </cacheField>
    <cacheField name="Actual Total Profit" numFmtId="0">
      <sharedItems containsNonDate="0" containsString="0" containsBlank="1"/>
    </cacheField>
    <cacheField name="Actual Incremental Profit" numFmtId="0">
      <sharedItems containsNonDate="0" containsString="0" containsBlank="1"/>
    </cacheField>
    <cacheField name="Actual Incremental Qty CU" numFmtId="0">
      <sharedItems containsNonDate="0" containsString="0" containsBlank="1"/>
    </cacheField>
    <cacheField name="Actual Total Shipment Qty CU Promo Period" numFmtId="0">
      <sharedItems containsNonDate="0" containsString="0" containsBlank="1"/>
    </cacheField>
    <cacheField name="Actual Total Consumption Qty CU Promo Period  " numFmtId="0">
      <sharedItems containsNonDate="0" containsString="0" containsBlank="1"/>
    </cacheField>
    <cacheField name="Planned Total Shipment Quantity CU" numFmtId="0">
      <sharedItems containsNonDate="0" containsString="0" containsBlank="1"/>
    </cacheField>
    <cacheField name="Actual EPOS/Shipment Qty CU less Planned Dip Qty CU" numFmtId="0">
      <sharedItems containsNonDate="0" containsString="0" containsBlank="1"/>
    </cacheField>
    <cacheField name="difference" numFmtId="0">
      <sharedItems containsNonDate="0" containsString="0" containsBlank="1"/>
    </cacheField>
    <cacheField name="Planned Promotion Baseline Qty CU" numFmtId="0">
      <sharedItems containsNonDate="0" containsString="0" containsBlank="1"/>
    </cacheField>
    <cacheField name="Planned Volume Uplift" numFmtId="0">
      <sharedItems containsNonDate="0" containsString="0" containsBlank="1"/>
    </cacheField>
    <cacheField name="Actual Volume Uplift" numFmtId="0">
      <sharedItems containsNonDate="0" containsString="0" containsBlank="1"/>
    </cacheField>
    <cacheField name="difference2" numFmtId="0">
      <sharedItems containsNonDate="0" containsString="0" containsBlank="1"/>
    </cacheField>
    <cacheField name="Planned Total OLV Sell-In" numFmtId="0">
      <sharedItems containsNonDate="0" containsString="0" containsBlank="1"/>
    </cacheField>
    <cacheField name="Actual Total GSV Sell In" numFmtId="0">
      <sharedItems containsNonDate="0" containsString="0" containsBlank="1"/>
    </cacheField>
    <cacheField name="variance2" numFmtId="0">
      <sharedItems containsNonDate="0" containsString="0" containsBlank="1"/>
    </cacheField>
    <cacheField name="Planned Baseline OLV" numFmtId="0">
      <sharedItems containsNonDate="0" containsString="0" containsBlank="1"/>
    </cacheField>
    <cacheField name="Planned Incremental GSV" numFmtId="0">
      <sharedItems containsNonDate="0" containsString="0" containsBlank="1"/>
    </cacheField>
    <cacheField name="Actual Incremental GSV2" numFmtId="0">
      <sharedItems containsNonDate="0" containsString="0" containsBlank="1"/>
    </cacheField>
    <cacheField name="Planned Total Turnover Sell-In" numFmtId="0">
      <sharedItems containsNonDate="0" containsString="0" containsBlank="1"/>
    </cacheField>
    <cacheField name="Actual Total Turnover2" numFmtId="0">
      <sharedItems containsNonDate="0" containsString="0" containsBlank="1"/>
    </cacheField>
    <cacheField name="variance3" numFmtId="168">
      <sharedItems containsNonDate="0" containsString="0" containsBlank="1"/>
    </cacheField>
    <cacheField name="Planned Incremental Turnover" numFmtId="0">
      <sharedItems containsNonDate="0" containsString="0" containsBlank="1"/>
    </cacheField>
    <cacheField name="Actual Incremental Turnover2" numFmtId="0">
      <sharedItems containsNonDate="0" containsString="0" containsBlank="1"/>
    </cacheField>
    <cacheField name="variance4" numFmtId="168">
      <sharedItems containsNonDate="0" containsString="0" containsBlank="1"/>
    </cacheField>
    <cacheField name="Planned TTS Spend Amount" numFmtId="0">
      <sharedItems containsNonDate="0" containsString="0" containsBlank="1"/>
    </cacheField>
    <cacheField name="Actual Total Spend2" numFmtId="0">
      <sharedItems containsNonDate="0" containsString="0" containsBlank="1"/>
    </cacheField>
    <cacheField name="variance5" numFmtId="168">
      <sharedItems containsNonDate="0" containsString="0" containsBlank="1"/>
    </cacheField>
    <cacheField name="Planned Total Profit" numFmtId="0">
      <sharedItems containsNonDate="0" containsString="0" containsBlank="1"/>
    </cacheField>
    <cacheField name="Actual Total Profit2" numFmtId="0">
      <sharedItems containsNonDate="0" containsString="0" containsBlank="1"/>
    </cacheField>
    <cacheField name="variance6" numFmtId="168">
      <sharedItems containsNonDate="0" containsString="0" containsBlank="1"/>
    </cacheField>
    <cacheField name="Planned Incremental Profit" numFmtId="0">
      <sharedItems containsNonDate="0" containsString="0" containsBlank="1"/>
    </cacheField>
    <cacheField name="Actual Incremental Profit2" numFmtId="0">
      <sharedItems containsNonDate="0" containsString="0" containsBlank="1"/>
    </cacheField>
    <cacheField name="variance7" numFmtId="168">
      <sharedItems containsNonDate="0" containsString="0" containsBlank="1"/>
    </cacheField>
    <cacheField name="Promo Pre-Evaluation Comments" numFmtId="0">
      <sharedItems containsNonDate="0" containsString="0" containsBlank="1"/>
    </cacheField>
    <cacheField name="reporting comments" numFmtId="0">
      <sharedItems containsNonDate="0" containsString="0" containsBlank="1"/>
    </cacheField>
    <cacheField name="promo count" numFmtId="0">
      <sharedItems containsNonDate="0" containsString="0" containsBlank="1"/>
    </cacheField>
    <cacheField name="included incr profit only" numFmtId="0">
      <sharedItems containsNonDate="0" containsString="0" containsBlank="1"/>
    </cacheField>
    <cacheField name="included spend only" numFmtId="0">
      <sharedItems containsNonDate="0" containsString="0" containsBlank="1"/>
    </cacheField>
    <cacheField name="included promo count only" numFmtId="0">
      <sharedItems containsNonDate="0" containsString="0" containsBlank="1"/>
    </cacheField>
    <cacheField name="iTO included" numFmtId="0">
      <sharedItems containsNonDate="0" containsString="0" containsBlank="1"/>
    </cacheField>
    <cacheField name="Clan2" numFmtId="0">
      <sharedItems containsNonDate="0" containsString="0" containsBlank="1"/>
    </cacheField>
    <cacheField name="AFM" numFmtId="0">
      <sharedItems containsNonDate="0" containsString="0" containsBlank="1"/>
    </cacheField>
    <cacheField name="PRE-EVAL ROI%" numFmtId="0" formula="IFERROR('Planned Incremental Profit'/'Planned TTS Spend Amount', 0)" databaseField="0"/>
    <cacheField name="ROI% ACTUALS 'v' PRE-EVALUATION" numFmtId="0" formula="IFERROR((IFERROR('Actual Incremental Profit'/'Actual Total Spend', 0))-(IFERROR('Planned Incremental Profit'/'Planned TTS Spend Amount', 0)), 0)" databaseField="0"/>
    <cacheField name="% SPEND COVERAGE" numFmtId="0" formula="IFERROR('included spend only'/'Actual Total Spend2', 0)" databaseField="0"/>
    <cacheField name="% PROMO COVERAGE" numFmtId="0" formula="IFERROR('included promo count only'/'promo count', 0)" databaseField="0"/>
    <cacheField name="% Spend" numFmtId="0" formula="IFERROR('included spend only'/'Actual Total Spend', 0)" databaseField="0"/>
    <cacheField name="ROI%" numFmtId="0" formula="IFERROR('Actual Incremental Profit'/'Actual Total Spend', 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Nilesh Narkhede" refreshedDate="42669.473289583337" createdVersion="4" refreshedVersion="4" minRefreshableVersion="3" recordCount="15">
  <cacheSource type="worksheet">
    <worksheetSource ref="A2:CW1048576" sheet="Promo ID Data"/>
  </cacheSource>
  <cacheFields count="102">
    <cacheField name="Promotion" numFmtId="0">
      <sharedItems containsNonDate="0" containsString="0" containsBlank="1"/>
    </cacheField>
    <cacheField name="Promotion name" numFmtId="0">
      <sharedItems containsNonDate="0" containsString="0" containsBlank="1"/>
    </cacheField>
    <cacheField name="CU EAN Code" numFmtId="0">
      <sharedItems containsNonDate="0" containsString="0" containsBlank="1"/>
    </cacheField>
    <cacheField name="Time ~ Shipment Start Date" numFmtId="0">
      <sharedItems containsNonDate="0" containsString="0" containsBlank="1"/>
    </cacheField>
    <cacheField name="Account" numFmtId="0">
      <sharedItems containsNonDate="0" containsString="0" containsBlank="1"/>
    </cacheField>
    <cacheField name="Primary Mechanic Name" numFmtId="0">
      <sharedItems containsNonDate="0" containsString="0" containsBlank="1"/>
    </cacheField>
    <cacheField name="Promo Feature" numFmtId="0">
      <sharedItems containsNonDate="0" containsString="0" containsBlank="1"/>
    </cacheField>
    <cacheField name="Promo Status" numFmtId="0">
      <sharedItems containsNonDate="0" containsString="0" containsBlank="1"/>
    </cacheField>
    <cacheField name="Promo Shipment Start Date" numFmtId="0">
      <sharedItems containsNonDate="0" containsString="0" containsBlank="1"/>
    </cacheField>
    <cacheField name="Promo Shipment End Date" numFmtId="0">
      <sharedItems containsNonDate="0" containsString="0" containsBlank="1"/>
    </cacheField>
    <cacheField name="Promo In Store Start Date" numFmtId="0">
      <sharedItems containsNonDate="0" containsString="0" containsBlank="1"/>
    </cacheField>
    <cacheField name="Promo In Store End Date" numFmtId="0">
      <sharedItems containsNonDate="0" containsString="0" containsBlank="1" count="1">
        <m/>
      </sharedItems>
    </cacheField>
    <cacheField name="Planned Total Shipment Quantity CU" numFmtId="0">
      <sharedItems containsNonDate="0" containsString="0" containsBlank="1"/>
    </cacheField>
    <cacheField name="Planned Promotion Baseline Qty CU" numFmtId="0">
      <sharedItems containsNonDate="0" containsString="0" containsBlank="1"/>
    </cacheField>
    <cacheField name="Planned Dip Qty CU" numFmtId="0">
      <sharedItems containsNonDate="0" containsString="0" containsBlank="1"/>
    </cacheField>
    <cacheField name="Planned Cannibalised Qty CU" numFmtId="0">
      <sharedItems containsNonDate="0" containsString="0" containsBlank="1"/>
    </cacheField>
    <cacheField name="Planned Sell-Out Qty CU" numFmtId="0">
      <sharedItems containsNonDate="0" containsString="0" containsBlank="1"/>
    </cacheField>
    <cacheField name="Sell Out Adj Qty CU" numFmtId="0">
      <sharedItems containsNonDate="0" containsString="0" containsBlank="1"/>
    </cacheField>
    <cacheField name="Planned Stock On Hand CU" numFmtId="0">
      <sharedItems containsNonDate="0" containsString="0" containsBlank="1"/>
    </cacheField>
    <cacheField name="Actual Total Shipment Qty CU Promo Period" numFmtId="0">
      <sharedItems containsNonDate="0" containsString="0" containsBlank="1"/>
    </cacheField>
    <cacheField name="Actual Total Consumption Qty CU Promo Period  " numFmtId="0">
      <sharedItems containsNonDate="0" containsString="0" containsBlank="1"/>
    </cacheField>
    <cacheField name="Actual ROI %" numFmtId="0">
      <sharedItems containsNonDate="0" containsString="0" containsBlank="1"/>
    </cacheField>
    <cacheField name="Planned Total Product Cost ~ Sell-In" numFmtId="0">
      <sharedItems containsNonDate="0" containsString="0" containsBlank="1"/>
    </cacheField>
    <cacheField name="Planned Total Product Cost ~ Sell-Out" numFmtId="0">
      <sharedItems containsNonDate="0" containsString="0" containsBlank="1"/>
    </cacheField>
    <cacheField name="Planned Total OLV Sell-In" numFmtId="0">
      <sharedItems containsNonDate="0" containsString="0" containsBlank="1"/>
    </cacheField>
    <cacheField name="Planned Total OLV ~ Sell-Out" numFmtId="0">
      <sharedItems containsNonDate="0" containsString="0" containsBlank="1"/>
    </cacheField>
    <cacheField name="Planned Baseline OLV" numFmtId="0">
      <sharedItems containsNonDate="0" containsString="0" containsBlank="1"/>
    </cacheField>
    <cacheField name="Planned Dip OLV" numFmtId="0">
      <sharedItems containsNonDate="0" containsString="0" containsBlank="1"/>
    </cacheField>
    <cacheField name="Planned Cannibalised OLV" numFmtId="0">
      <sharedItems containsNonDate="0" containsString="0" containsBlank="1"/>
    </cacheField>
    <cacheField name="Planned TTS Spend Amount" numFmtId="0">
      <sharedItems containsNonDate="0" containsString="0" containsBlank="1"/>
    </cacheField>
    <cacheField name="Planned Total Turnover Sell-In" numFmtId="0">
      <sharedItems containsNonDate="0" containsString="0" containsBlank="1"/>
    </cacheField>
    <cacheField name="Planned Total Turnover ~ Sell-Out" numFmtId="0">
      <sharedItems containsNonDate="0" containsString="0" containsBlank="1"/>
    </cacheField>
    <cacheField name="Planned Promoted TO Sell Out" numFmtId="0">
      <sharedItems containsNonDate="0" containsString="0" containsBlank="1"/>
    </cacheField>
    <cacheField name="Planned Non-Promoted TO Price CU" numFmtId="0">
      <sharedItems containsNonDate="0" containsString="0" containsBlank="1"/>
    </cacheField>
    <cacheField name="Planned Baseline Turnover" numFmtId="0">
      <sharedItems containsNonDate="0" containsString="0" containsBlank="1"/>
    </cacheField>
    <cacheField name="Planned Dip TO" numFmtId="0">
      <sharedItems containsNonDate="0" containsString="0" containsBlank="1"/>
    </cacheField>
    <cacheField name="Planned Cannibalised TO" numFmtId="0">
      <sharedItems containsNonDate="0" containsString="0" containsBlank="1"/>
    </cacheField>
    <cacheField name="Planned Total Profit" numFmtId="0">
      <sharedItems containsNonDate="0" containsString="0" containsBlank="1"/>
    </cacheField>
    <cacheField name="Planned Baseline Gross Profit" numFmtId="0">
      <sharedItems containsNonDate="0" containsString="0" containsBlank="1"/>
    </cacheField>
    <cacheField name="Sell Out Adj Gross Profit" numFmtId="0">
      <sharedItems containsNonDate="0" containsString="0" containsBlank="1"/>
    </cacheField>
    <cacheField name="Planned Dip Gross Profit" numFmtId="0">
      <sharedItems containsNonDate="0" containsString="0" containsBlank="1"/>
    </cacheField>
    <cacheField name="Planned Cann Gross Profit" numFmtId="0">
      <sharedItems containsNonDate="0" containsString="0" containsBlank="1"/>
    </cacheField>
    <cacheField name="Planned ROI" numFmtId="0">
      <sharedItems containsNonDate="0" containsString="0" containsBlank="1"/>
    </cacheField>
    <cacheField name="Promo Pre-Evaluation Comments" numFmtId="0">
      <sharedItems containsNonDate="0" containsString="0" containsBlank="1"/>
    </cacheField>
    <cacheField name="Planned Total Promo Spend" numFmtId="0">
      <sharedItems containsNonDate="0" containsString="0" containsBlank="1"/>
    </cacheField>
    <cacheField name="Actual Volume Uplift %" numFmtId="0">
      <sharedItems containsNonDate="0" containsString="0" containsBlank="1"/>
    </cacheField>
    <cacheField name="Actual Total GSV ~ Sell-In" numFmtId="0">
      <sharedItems containsNonDate="0" containsString="0" containsBlank="1"/>
    </cacheField>
    <cacheField name="Promo Mechanic Name" numFmtId="0">
      <sharedItems containsNonDate="0" containsString="0" containsBlank="1"/>
    </cacheField>
    <cacheField name="Customer" numFmtId="0">
      <sharedItems containsNonDate="0" containsString="0" containsBlank="1" count="1">
        <m/>
      </sharedItems>
    </cacheField>
    <cacheField name="Category" numFmtId="0">
      <sharedItems containsNonDate="0" containsString="0" containsBlank="1" count="1">
        <m/>
      </sharedItems>
    </cacheField>
    <cacheField name="Brand" numFmtId="0">
      <sharedItems containsNonDate="0" containsString="0" containsBlank="1"/>
    </cacheField>
    <cacheField name="Size Pack Form" numFmtId="0">
      <sharedItems containsNonDate="0" containsString="0" containsBlank="1"/>
    </cacheField>
    <cacheField name="Clan" numFmtId="0">
      <sharedItems containsNonDate="0" containsString="0" containsBlank="1"/>
    </cacheField>
    <cacheField name="AFM" numFmtId="0">
      <sharedItems containsNonDate="0" containsString="0" containsBlank="1"/>
    </cacheField>
    <cacheField name="Actual EPOS/Shipment Qty CU" numFmtId="0">
      <sharedItems containsNonDate="0" containsString="0" containsBlank="1"/>
    </cacheField>
    <cacheField name="Actual EPOS/Shipment Qty CU less Planned Dip Qty CU" numFmtId="0">
      <sharedItems containsNonDate="0" containsString="0" containsBlank="1"/>
    </cacheField>
    <cacheField name="Planned Incremental Qty CU" numFmtId="0">
      <sharedItems containsNonDate="0" containsString="0" containsBlank="1"/>
    </cacheField>
    <cacheField name="Actual Incremental Qty CU" numFmtId="0">
      <sharedItems containsNonDate="0" containsString="0" containsBlank="1"/>
    </cacheField>
    <cacheField name="Planned Volume Uplift" numFmtId="0">
      <sharedItems containsNonDate="0" containsString="0" containsBlank="1"/>
    </cacheField>
    <cacheField name="Actual Volume Uplift" numFmtId="0">
      <sharedItems containsNonDate="0" containsString="0" containsBlank="1"/>
    </cacheField>
    <cacheField name="Planned Fixed Costs" numFmtId="0">
      <sharedItems containsNonDate="0" containsString="0" containsBlank="1"/>
    </cacheField>
    <cacheField name="Planned Variable Costs" numFmtId="0">
      <sharedItems containsNonDate="0" containsString="0" containsBlank="1"/>
    </cacheField>
    <cacheField name="Planned GSV per CU" numFmtId="0">
      <sharedItems containsNonDate="0" containsString="0" containsBlank="1"/>
    </cacheField>
    <cacheField name="Actual Total GSV Sell In" numFmtId="0">
      <sharedItems containsNonDate="0" containsString="0" containsBlank="1"/>
    </cacheField>
    <cacheField name="Actual Total GSV less Dip" numFmtId="0">
      <sharedItems containsNonDate="0" containsString="0" containsBlank="1"/>
    </cacheField>
    <cacheField name="Planned Incremental GSV" numFmtId="0">
      <sharedItems containsNonDate="0" containsString="0" containsBlank="1"/>
    </cacheField>
    <cacheField name="Actual Incremental GSV" numFmtId="0">
      <sharedItems containsNonDate="0" containsString="0" containsBlank="1"/>
    </cacheField>
    <cacheField name="Planned Variable Costs per CU" numFmtId="0">
      <sharedItems containsNonDate="0" containsString="0" containsBlank="1"/>
    </cacheField>
    <cacheField name="Actual Total Variable Spend" numFmtId="0">
      <sharedItems containsNonDate="0" containsString="0" containsBlank="1"/>
    </cacheField>
    <cacheField name="Actual Total Spend" numFmtId="0">
      <sharedItems containsNonDate="0" containsString="0" containsBlank="1"/>
    </cacheField>
    <cacheField name="Planned Incremental Turnover" numFmtId="0">
      <sharedItems containsNonDate="0" containsString="0" containsBlank="1"/>
    </cacheField>
    <cacheField name="Planned Variable Turnover" numFmtId="0">
      <sharedItems containsNonDate="0" containsString="0" containsBlank="1"/>
    </cacheField>
    <cacheField name="Planned Variable Turnover per CU" numFmtId="0">
      <sharedItems containsNonDate="0" containsString="0" containsBlank="1"/>
    </cacheField>
    <cacheField name="Actual Variable Turnover" numFmtId="0">
      <sharedItems containsNonDate="0" containsString="0" containsBlank="1"/>
    </cacheField>
    <cacheField name="Actual Total Turnover" numFmtId="0">
      <sharedItems containsNonDate="0" containsString="0" containsBlank="1"/>
    </cacheField>
    <cacheField name="Actual Incremental Turnover" numFmtId="0">
      <sharedItems containsNonDate="0" containsString="0" containsBlank="1"/>
    </cacheField>
    <cacheField name="Planned Variable Profit" numFmtId="0">
      <sharedItems containsNonDate="0" containsString="0" containsBlank="1"/>
    </cacheField>
    <cacheField name="Planned Incremental Profit" numFmtId="0">
      <sharedItems containsNonDate="0" containsString="0" containsBlank="1"/>
    </cacheField>
    <cacheField name="Planned Variable Profit per CU" numFmtId="0">
      <sharedItems containsNonDate="0" containsString="0" containsBlank="1"/>
    </cacheField>
    <cacheField name="Actual Variable Profit" numFmtId="0">
      <sharedItems containsNonDate="0" containsString="0" containsBlank="1"/>
    </cacheField>
    <cacheField name="Actual Total Profit" numFmtId="0">
      <sharedItems containsNonDate="0" containsString="0" containsBlank="1"/>
    </cacheField>
    <cacheField name="Actual Incremental Profit" numFmtId="0">
      <sharedItems containsNonDate="0" containsString="0" containsBlank="1"/>
    </cacheField>
    <cacheField name="Actual ROI" numFmtId="0">
      <sharedItems containsNonDate="0" containsString="0" containsBlank="1"/>
    </cacheField>
    <cacheField name="BLANK" numFmtId="0">
      <sharedItems containsNonDate="0" containsString="0" containsBlank="1"/>
    </cacheField>
    <cacheField name="Promo Line Count" numFmtId="0">
      <sharedItems containsNonDate="0" containsString="0" containsBlank="1"/>
    </cacheField>
    <cacheField name="-ve actual volume uplift" numFmtId="0">
      <sharedItems containsNonDate="0" containsString="0" containsBlank="1"/>
    </cacheField>
    <cacheField name="-ve/0 GSV" numFmtId="0">
      <sharedItems containsNonDate="0" containsString="0" containsBlank="1"/>
    </cacheField>
    <cacheField name="TTS%GSV&lt;5%" numFmtId="0">
      <sharedItems containsNonDate="0" containsString="0" containsBlank="1"/>
    </cacheField>
    <cacheField name="pipefill" numFmtId="0">
      <sharedItems containsNonDate="0" containsString="0" containsBlank="1"/>
    </cacheField>
    <cacheField name="EPOS&gt;130%" numFmtId="0">
      <sharedItems containsNonDate="0" containsString="0" containsBlank="1"/>
    </cacheField>
    <cacheField name="hijackers" numFmtId="0">
      <sharedItems containsNonDate="0" containsString="0" containsBlank="1"/>
    </cacheField>
    <cacheField name="systems issues" numFmtId="0">
      <sharedItems containsNonDate="0" containsString="0" containsBlank="1"/>
    </cacheField>
    <cacheField name="CAM error" numFmtId="0">
      <sharedItems containsNonDate="0" containsString="0" containsBlank="1"/>
    </cacheField>
    <cacheField name="obvious error" numFmtId="0">
      <sharedItems containsNonDate="0" containsString="0" containsBlank="1"/>
    </cacheField>
    <cacheField name="INCLUDE/ EXCLUDE" numFmtId="0">
      <sharedItems containsBlank="1" count="2">
        <s v="include"/>
        <m/>
      </sharedItems>
    </cacheField>
    <cacheField name="exclusion reason" numFmtId="0">
      <sharedItems containsNonDate="0" containsString="0" containsBlank="1" count="1">
        <m/>
      </sharedItems>
    </cacheField>
    <cacheField name="pre-eval colour" numFmtId="0">
      <sharedItems containsNonDate="0" containsString="0" containsBlank="1"/>
    </cacheField>
    <cacheField name="post-eval colour" numFmtId="0">
      <sharedItems containsNonDate="0" containsString="0" containsBlank="1" count="1">
        <m/>
      </sharedItems>
    </cacheField>
    <cacheField name="colour move" numFmtId="0">
      <sharedItems containsNonDate="0" containsString="0" containsBlank="1" count="1">
        <m/>
      </sharedItems>
    </cacheField>
    <cacheField name="reporting comments" numFmtId="0">
      <sharedItems containsNonDate="0" containsString="0" containsBlank="1"/>
    </cacheField>
    <cacheField name="included promo count only" numFmtId="0">
      <sharedItems containsString="0" containsBlank="1" containsNumber="1" containsInteger="1" minValue="0" maxValue="0"/>
    </cacheField>
    <cacheField name="ROI%" numFmtId="0" formula="IFERROR('Actual Incremental Profit'/'Actual Total Spend', 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m/>
    <m/>
    <m/>
    <m/>
    <m/>
    <x v="0"/>
    <m/>
    <x v="0"/>
    <x v="0"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x v="0"/>
    <x v="0"/>
    <m/>
    <n v="0"/>
  </r>
  <r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x v="0"/>
    <m/>
    <x v="0"/>
    <x v="0"/>
    <m/>
    <m/>
  </r>
  <r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x v="0"/>
    <m/>
    <x v="0"/>
    <x v="0"/>
    <m/>
    <m/>
  </r>
  <r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x v="0"/>
    <m/>
    <x v="0"/>
    <x v="0"/>
    <m/>
    <m/>
  </r>
  <r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x v="0"/>
    <m/>
    <x v="0"/>
    <x v="0"/>
    <m/>
    <m/>
  </r>
  <r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x v="0"/>
    <m/>
    <x v="0"/>
    <x v="0"/>
    <m/>
    <m/>
  </r>
  <r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x v="0"/>
    <m/>
    <x v="0"/>
    <x v="0"/>
    <m/>
    <m/>
  </r>
  <r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x v="0"/>
    <m/>
    <x v="0"/>
    <x v="0"/>
    <m/>
    <m/>
  </r>
  <r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x v="0"/>
    <m/>
    <x v="0"/>
    <x v="0"/>
    <m/>
    <m/>
  </r>
  <r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x v="0"/>
    <m/>
    <x v="0"/>
    <x v="0"/>
    <m/>
    <m/>
  </r>
  <r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x v="0"/>
    <m/>
    <x v="0"/>
    <x v="0"/>
    <m/>
    <m/>
  </r>
  <r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x v="0"/>
    <m/>
    <x v="0"/>
    <x v="0"/>
    <m/>
    <m/>
  </r>
  <r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x v="0"/>
    <m/>
    <x v="0"/>
    <x v="0"/>
    <m/>
    <m/>
  </r>
  <r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x v="0"/>
    <m/>
    <x v="0"/>
    <x v="0"/>
    <m/>
    <m/>
  </r>
  <r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x v="0"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55:F57" firstHeaderRow="0" firstDataRow="1" firstDataCol="1" rowPageCount="2" colPageCount="1"/>
  <pivotFields count="102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95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94" hier="-1"/>
    <pageField fld="11" hier="-1"/>
  </pageFields>
  <dataFields count="4">
    <dataField name="Count of exclusion reason" fld="0" subtotal="count" baseField="95" baseItem="0" numFmtId="165"/>
    <dataField name="Sum of Actual Incremental Profit" fld="81" baseField="95" baseItem="0" numFmtId="165"/>
    <dataField name="Sum of Actual Total Spend" fld="69" baseField="95" baseItem="0" numFmtId="165"/>
    <dataField name="Sum of ROI%" fld="101" baseField="95" baseItem="0" numFmtId="168"/>
  </dataFields>
  <formats count="3">
    <format dxfId="12">
      <pivotArea field="95" type="button" dataOnly="0" labelOnly="1" outline="0" axis="axisRow" fieldPosition="0"/>
    </format>
    <format dxfId="1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9" cacheId="9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205:D208" firstHeaderRow="1" firstDataRow="2" firstDataCol="1" rowPageCount="1" colPageCount="1"/>
  <pivotFields count="77">
    <pivotField showAll="0"/>
    <pivotField showAll="0"/>
    <pivotField showAll="0"/>
    <pivotField showAll="0"/>
    <pivotField showAll="0"/>
    <pivotField axis="axisCol" showAll="0">
      <items count="2">
        <item x="0"/>
        <item t="default"/>
      </items>
    </pivotField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7"/>
  </rowFields>
  <rowItems count="2">
    <i>
      <x/>
    </i>
    <i t="grand">
      <x/>
    </i>
  </rowItems>
  <colFields count="1">
    <field x="5"/>
  </colFields>
  <colItems count="2">
    <i>
      <x/>
    </i>
    <i t="grand">
      <x/>
    </i>
  </colItems>
  <pageFields count="1">
    <pageField fld="11" hier="-1"/>
  </pageFields>
  <dataFields count="1">
    <dataField name="Sum of ROI%" fld="76" baseField="7" baseItem="0" numFmtId="168"/>
  </dataFields>
  <formats count="3">
    <format dxfId="39">
      <pivotArea field="7" type="button" dataOnly="0" labelOnly="1" outline="0" axis="axisRow" fieldPosition="0"/>
    </format>
    <format dxfId="38">
      <pivotArea dataOnly="0" labelOnly="1" fieldPosition="0">
        <references count="1">
          <reference field="5" count="0"/>
        </references>
      </pivotArea>
    </format>
    <format dxfId="37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4" cacheId="9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80:D83" firstHeaderRow="1" firstDataRow="2" firstDataCol="1" rowPageCount="1" colPageCount="1"/>
  <pivotFields count="77">
    <pivotField showAll="0"/>
    <pivotField showAll="0"/>
    <pivotField showAll="0"/>
    <pivotField showAll="0"/>
    <pivotField showAll="0"/>
    <pivotField axis="axisCol" showAll="0">
      <items count="2">
        <item x="0"/>
        <item t="default"/>
      </items>
    </pivotField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8"/>
  </rowFields>
  <rowItems count="2">
    <i>
      <x/>
    </i>
    <i t="grand">
      <x/>
    </i>
  </rowItems>
  <colFields count="1">
    <field x="5"/>
  </colFields>
  <colItems count="2">
    <i>
      <x/>
    </i>
    <i t="grand">
      <x/>
    </i>
  </colItems>
  <pageFields count="1">
    <pageField fld="11" hier="-1"/>
  </pageFields>
  <dataFields count="1">
    <dataField name="Sum of PRE-EVAL ROI%" fld="71" baseField="8" baseItem="0" numFmtId="168"/>
  </dataFields>
  <formats count="3">
    <format dxfId="42">
      <pivotArea field="8" type="button" dataOnly="0" labelOnly="1" outline="0" axis="axisRow" fieldPosition="0"/>
    </format>
    <format dxfId="41">
      <pivotArea dataOnly="0" labelOnly="1" fieldPosition="0">
        <references count="1">
          <reference field="5" count="0"/>
        </references>
      </pivotArea>
    </format>
    <format dxfId="4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2" cacheId="10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5:I8" firstHeaderRow="0" firstDataRow="1" firstDataCol="1" rowPageCount="3" colPageCount="1"/>
  <pivotFields count="102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/>
    <pivotField showAll="0"/>
    <pivotField dragToRow="0" dragToCol="0" dragToPage="0" showAll="0" defaultSubtotal="0"/>
  </pivotFields>
  <rowFields count="2">
    <field x="97"/>
    <field x="98"/>
  </rowFields>
  <rowItems count="3">
    <i>
      <x/>
    </i>
    <i r="1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3">
    <pageField fld="94" hier="-1"/>
    <pageField fld="49" hier="-1"/>
    <pageField fld="48" hier="-1"/>
  </pageFields>
  <dataFields count="7">
    <dataField name="Count of Promotion" fld="0" subtotal="count" baseField="0" baseItem="0"/>
    <dataField name="Sum of Actual Total Spend" fld="69" baseField="97" baseItem="0" numFmtId="165"/>
    <dataField name="Sum of Actual Incremental Turnover" fld="75" baseField="97" baseItem="0" numFmtId="165"/>
    <dataField name="Sum of Actual Incremental Profit" fld="81" baseField="97" baseItem="0" numFmtId="165"/>
    <dataField name="Sum of Planned TTS Spend Amount" fld="29" baseField="97" baseItem="0" numFmtId="165"/>
    <dataField name="Sum of Planned Incremental Turnover" fld="70" baseField="97" baseItem="0" numFmtId="165"/>
    <dataField name="Sum of Planned Incremental Profit" fld="77" baseField="97" baseItem="0" numFmtId="165"/>
  </dataFields>
  <formats count="2">
    <format dxfId="9">
      <pivotArea field="97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9" cacheId="9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205:D208" firstHeaderRow="1" firstDataRow="2" firstDataCol="1" rowPageCount="1" colPageCount="1"/>
  <pivotFields count="77">
    <pivotField showAll="0"/>
    <pivotField showAll="0"/>
    <pivotField showAll="0"/>
    <pivotField showAll="0"/>
    <pivotField showAll="0"/>
    <pivotField axis="axisCol" showAll="0">
      <items count="2">
        <item x="0"/>
        <item t="default"/>
      </items>
    </pivotField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7"/>
  </rowFields>
  <rowItems count="2">
    <i>
      <x/>
    </i>
    <i t="grand">
      <x/>
    </i>
  </rowItems>
  <colFields count="1">
    <field x="5"/>
  </colFields>
  <colItems count="2">
    <i>
      <x/>
    </i>
    <i t="grand">
      <x/>
    </i>
  </colItems>
  <pageFields count="1">
    <pageField fld="11" hier="-1"/>
  </pageFields>
  <dataFields count="1">
    <dataField name="Sum of ROI%" fld="76" baseField="7" baseItem="0" numFmtId="16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9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180:D183" firstHeaderRow="1" firstDataRow="2" firstDataCol="1" rowPageCount="1" colPageCount="1"/>
  <pivotFields count="77">
    <pivotField showAll="0"/>
    <pivotField showAll="0"/>
    <pivotField showAll="0"/>
    <pivotField showAll="0"/>
    <pivotField showAll="0"/>
    <pivotField axis="axisCol" showAll="0">
      <items count="2">
        <item x="0"/>
        <item t="default"/>
      </items>
    </pivotField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8"/>
  </rowFields>
  <rowItems count="2">
    <i>
      <x/>
    </i>
    <i t="grand">
      <x/>
    </i>
  </rowItems>
  <colFields count="1">
    <field x="5"/>
  </colFields>
  <colItems count="2">
    <i>
      <x/>
    </i>
    <i t="grand">
      <x/>
    </i>
  </colItems>
  <pageFields count="1">
    <pageField fld="11" hier="-1"/>
  </pageFields>
  <dataFields count="1">
    <dataField name="Sum of Actual Total Spend2" fld="54" baseField="8" baseItem="0" numFmtId="165"/>
  </dataFields>
  <formats count="3">
    <format dxfId="15">
      <pivotArea field="8" type="button" dataOnly="0" labelOnly="1" outline="0" axis="axisRow" fieldPosition="0"/>
    </format>
    <format dxfId="14">
      <pivotArea dataOnly="0" labelOnly="1" fieldPosition="0">
        <references count="1">
          <reference field="5" count="0"/>
        </references>
      </pivotArea>
    </format>
    <format dxfId="1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04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30:D33" firstHeaderRow="1" firstDataRow="2" firstDataCol="1" rowPageCount="1" colPageCount="1"/>
  <pivotFields count="102">
    <pivotField dataField="1" showAll="0" defaultSubtotal="0"/>
    <pivotField showAll="0"/>
    <pivotField showAll="0" defaultSubtota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/>
    <pivotField showAll="0" defaultSubtotal="0"/>
    <pivotField showAl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  <pivotField showAl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 defaultSubtotal="0"/>
    <pivotField showAll="0" defaultSubtotal="0"/>
    <pivotField dataField="1" showAll="0"/>
    <pivotField showAll="0"/>
    <pivotField showAll="0" defaultSubtotal="0"/>
    <pivotField showAll="0" defaultSubtota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showAll="0">
      <items count="3">
        <item x="1"/>
        <item x="0"/>
        <item t="default"/>
      </items>
    </pivotField>
    <pivotField showAll="0" defaultSubtotal="0"/>
    <pivotField showAll="0"/>
    <pivotField axis="axisCol" showAll="0" sortType="ascending">
      <items count="2">
        <item x="0"/>
        <item t="default"/>
      </items>
    </pivotField>
    <pivotField showAll="0"/>
    <pivotField showAll="0"/>
    <pivotField showAll="0"/>
    <pivotField dragToRow="0" dragToCol="0" dragToPage="0" showAll="0" defaultSubtotal="0"/>
  </pivotFields>
  <rowFields count="1">
    <field x="-2"/>
  </rowFields>
  <rowItems count="2">
    <i>
      <x/>
    </i>
    <i i="1">
      <x v="1"/>
    </i>
  </rowItems>
  <colFields count="1">
    <field x="97"/>
  </colFields>
  <colItems count="2">
    <i>
      <x/>
    </i>
    <i t="grand">
      <x/>
    </i>
  </colItems>
  <pageFields count="1">
    <pageField fld="94" hier="-1"/>
  </pageFields>
  <dataFields count="2">
    <dataField name="Count of Promotion" fld="0" subtotal="count" baseField="97" baseItem="0" numFmtId="165"/>
    <dataField name="Sum of Actual Total Spend" fld="69" baseField="97" baseItem="0" numFmtId="165"/>
  </dataFields>
  <formats count="3">
    <format dxfId="18">
      <pivotArea field="-2" type="button" dataOnly="0" labelOnly="1" outline="0" axis="axisRow" fieldPosition="0"/>
    </format>
    <format dxfId="17">
      <pivotArea dataOnly="0" labelOnly="1" fieldPosition="0">
        <references count="1">
          <reference field="97" count="0"/>
        </references>
      </pivotArea>
    </format>
    <format dxfId="16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9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155:D158" firstHeaderRow="1" firstDataRow="2" firstDataCol="1"/>
  <pivotFields count="77">
    <pivotField showAll="0"/>
    <pivotField showAll="0"/>
    <pivotField showAll="0"/>
    <pivotField showAll="0"/>
    <pivotField showAll="0"/>
    <pivotField axis="axisCol" showAll="0">
      <items count="2">
        <item x="0"/>
        <item t="default"/>
      </items>
    </pivotField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8"/>
  </rowFields>
  <rowItems count="2">
    <i>
      <x/>
    </i>
    <i t="grand">
      <x/>
    </i>
  </rowItems>
  <colFields count="1">
    <field x="5"/>
  </colFields>
  <colItems count="2">
    <i>
      <x/>
    </i>
    <i t="grand">
      <x/>
    </i>
  </colItems>
  <dataFields count="1">
    <dataField name="Sum of % PROMO COVERAGE" fld="74" baseField="5" baseItem="0" numFmtId="168"/>
  </dataFields>
  <formats count="3">
    <format dxfId="21">
      <pivotArea field="8" type="button" dataOnly="0" labelOnly="1" outline="0" axis="axisRow" fieldPosition="0"/>
    </format>
    <format dxfId="20">
      <pivotArea dataOnly="0" labelOnly="1" fieldPosition="0">
        <references count="1">
          <reference field="5" count="0"/>
        </references>
      </pivotArea>
    </format>
    <format dxfId="1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9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5:D8" firstHeaderRow="1" firstDataRow="2" firstDataCol="1" rowPageCount="1" colPageCount="1"/>
  <pivotFields count="77">
    <pivotField showAll="0"/>
    <pivotField showAll="0"/>
    <pivotField showAll="0"/>
    <pivotField showAll="0"/>
    <pivotField showAll="0"/>
    <pivotField axis="axisCol" showAll="0" sortType="ascending">
      <items count="2">
        <item x="0"/>
        <item t="default"/>
      </items>
    </pivotField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8"/>
  </rowFields>
  <rowItems count="2">
    <i>
      <x/>
    </i>
    <i t="grand">
      <x/>
    </i>
  </rowItems>
  <colFields count="1">
    <field x="5"/>
  </colFields>
  <colItems count="2">
    <i>
      <x/>
    </i>
    <i t="grand">
      <x/>
    </i>
  </colItems>
  <pageFields count="1">
    <pageField fld="11" hier="-1"/>
  </pageFields>
  <dataFields count="1">
    <dataField name="Sum of ROI%" fld="76" baseField="8" baseItem="0" numFmtId="168"/>
  </dataFields>
  <formats count="3">
    <format dxfId="24">
      <pivotArea field="8" type="button" dataOnly="0" labelOnly="1" outline="0" axis="axisRow" fieldPosition="0"/>
    </format>
    <format dxfId="23">
      <pivotArea dataOnly="0" labelOnly="1" fieldPosition="0">
        <references count="1">
          <reference field="5" count="0"/>
        </references>
      </pivotArea>
    </format>
    <format dxfId="2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9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130:D133" firstHeaderRow="1" firstDataRow="2" firstDataCol="1"/>
  <pivotFields count="77">
    <pivotField showAll="0"/>
    <pivotField showAll="0"/>
    <pivotField showAll="0"/>
    <pivotField showAll="0"/>
    <pivotField showAll="0"/>
    <pivotField axis="axisCol" showAll="0">
      <items count="2">
        <item x="0"/>
        <item t="default"/>
      </items>
    </pivotField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8"/>
  </rowFields>
  <rowItems count="2">
    <i>
      <x/>
    </i>
    <i t="grand">
      <x/>
    </i>
  </rowItems>
  <colFields count="1">
    <field x="5"/>
  </colFields>
  <colItems count="2">
    <i>
      <x/>
    </i>
    <i t="grand">
      <x/>
    </i>
  </colItems>
  <dataFields count="1">
    <dataField name="Sum of % SPEND COVERAGE" fld="73" baseField="5" baseItem="0" numFmtId="168"/>
  </dataFields>
  <formats count="3">
    <format dxfId="27">
      <pivotArea field="8" type="button" dataOnly="0" labelOnly="1" outline="0" axis="axisRow" fieldPosition="0"/>
    </format>
    <format dxfId="26">
      <pivotArea dataOnly="0" labelOnly="1" fieldPosition="0">
        <references count="1">
          <reference field="5" count="0"/>
        </references>
      </pivotArea>
    </format>
    <format dxfId="2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1" cacheId="9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255:D258" firstHeaderRow="1" firstDataRow="2" firstDataCol="1" rowPageCount="1" colPageCount="1"/>
  <pivotFields count="77">
    <pivotField showAll="0"/>
    <pivotField showAll="0"/>
    <pivotField showAll="0"/>
    <pivotField showAll="0"/>
    <pivotField showAll="0"/>
    <pivotField axis="axisCol" showAll="0">
      <items count="2">
        <item x="0"/>
        <item t="default"/>
      </items>
    </pivotField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7"/>
  </rowFields>
  <rowItems count="2">
    <i>
      <x/>
    </i>
    <i t="grand">
      <x/>
    </i>
  </rowItems>
  <colFields count="1">
    <field x="5"/>
  </colFields>
  <colItems count="2">
    <i>
      <x/>
    </i>
    <i t="grand">
      <x/>
    </i>
  </colItems>
  <pageFields count="1">
    <pageField fld="11" hier="-1"/>
  </pageFields>
  <dataFields count="1">
    <dataField name="Sum of ROI% ACTUALS 'v' PRE-EVALUATION" fld="72" baseField="7" baseItem="0" numFmtId="168"/>
  </dataFields>
  <formats count="3">
    <format dxfId="30">
      <pivotArea field="7" type="button" dataOnly="0" labelOnly="1" outline="0" axis="axisRow" fieldPosition="0"/>
    </format>
    <format dxfId="29">
      <pivotArea dataOnly="0" labelOnly="1" fieldPosition="0">
        <references count="1">
          <reference field="5" count="0"/>
        </references>
      </pivotArea>
    </format>
    <format dxfId="28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0" cacheId="9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230:D233" firstHeaderRow="1" firstDataRow="2" firstDataCol="1" rowPageCount="1" colPageCount="1"/>
  <pivotFields count="77">
    <pivotField showAll="0"/>
    <pivotField showAll="0"/>
    <pivotField showAll="0"/>
    <pivotField showAll="0"/>
    <pivotField showAll="0"/>
    <pivotField axis="axisCol" showAll="0">
      <items count="2">
        <item x="0"/>
        <item t="default"/>
      </items>
    </pivotField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7"/>
  </rowFields>
  <rowItems count="2">
    <i>
      <x/>
    </i>
    <i t="grand">
      <x/>
    </i>
  </rowItems>
  <colFields count="1">
    <field x="5"/>
  </colFields>
  <colItems count="2">
    <i>
      <x/>
    </i>
    <i t="grand">
      <x/>
    </i>
  </colItems>
  <pageFields count="1">
    <pageField fld="11" hier="-1"/>
  </pageFields>
  <dataFields count="1">
    <dataField name="Sum of PRE-EVAL ROI%" fld="71" baseField="7" baseItem="0" numFmtId="168"/>
  </dataFields>
  <formats count="3">
    <format dxfId="33">
      <pivotArea field="7" type="button" dataOnly="0" labelOnly="1" outline="0" axis="axisRow" fieldPosition="0"/>
    </format>
    <format dxfId="32">
      <pivotArea dataOnly="0" labelOnly="1" fieldPosition="0">
        <references count="1">
          <reference field="5" count="0"/>
        </references>
      </pivotArea>
    </format>
    <format dxfId="3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5" cacheId="9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105:D108" firstHeaderRow="1" firstDataRow="2" firstDataCol="1" rowPageCount="1" colPageCount="1"/>
  <pivotFields count="77">
    <pivotField showAll="0"/>
    <pivotField showAll="0"/>
    <pivotField showAll="0"/>
    <pivotField showAll="0"/>
    <pivotField showAll="0"/>
    <pivotField axis="axisCol" showAll="0">
      <items count="2">
        <item x="0"/>
        <item t="default"/>
      </items>
    </pivotField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8"/>
  </rowFields>
  <rowItems count="2">
    <i>
      <x/>
    </i>
    <i t="grand">
      <x/>
    </i>
  </rowItems>
  <colFields count="1">
    <field x="5"/>
  </colFields>
  <colItems count="2">
    <i>
      <x/>
    </i>
    <i t="grand">
      <x/>
    </i>
  </colItems>
  <pageFields count="1">
    <pageField fld="11" hier="-1"/>
  </pageFields>
  <dataFields count="1">
    <dataField name="Sum of ROI% ACTUALS 'v' PRE-EVALUATION" fld="72" baseField="8" baseItem="0" numFmtId="168"/>
  </dataFields>
  <formats count="3">
    <format dxfId="36">
      <pivotArea field="8" type="button" dataOnly="0" labelOnly="1" outline="0" axis="axisRow" fieldPosition="0"/>
    </format>
    <format dxfId="35">
      <pivotArea dataOnly="0" labelOnly="1" fieldPosition="0">
        <references count="1">
          <reference field="5" count="0"/>
        </references>
      </pivotArea>
    </format>
    <format dxfId="3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X22"/>
  <sheetViews>
    <sheetView topLeftCell="CC1" zoomScale="85" zoomScaleNormal="85" workbookViewId="0">
      <pane ySplit="2" topLeftCell="A1048549" activePane="bottomLeft" state="frozen"/>
      <selection pane="bottomLeft" activeCell="CR5" sqref="CR5"/>
    </sheetView>
  </sheetViews>
  <sheetFormatPr defaultColWidth="11.85546875" defaultRowHeight="15" x14ac:dyDescent="0.25"/>
  <cols>
    <col min="1" max="1" width="17.5703125" customWidth="1"/>
    <col min="2" max="2" width="85.5703125" bestFit="1" customWidth="1"/>
    <col min="3" max="3" width="12.5703125" bestFit="1" customWidth="1"/>
    <col min="4" max="4" width="10.28515625" bestFit="1" customWidth="1"/>
    <col min="5" max="5" width="24.7109375" bestFit="1" customWidth="1"/>
    <col min="6" max="6" width="31.28515625" bestFit="1" customWidth="1"/>
    <col min="7" max="7" width="18.42578125" bestFit="1" customWidth="1"/>
    <col min="8" max="8" width="13.140625" bestFit="1" customWidth="1"/>
    <col min="9" max="9" width="10.28515625" bestFit="1" customWidth="1"/>
    <col min="10" max="10" width="13.85546875" bestFit="1" customWidth="1"/>
    <col min="11" max="11" width="10.5703125" bestFit="1" customWidth="1"/>
    <col min="12" max="12" width="9.7109375" bestFit="1" customWidth="1"/>
    <col min="13" max="13" width="14.140625" bestFit="1" customWidth="1"/>
    <col min="14" max="14" width="15.7109375" bestFit="1" customWidth="1"/>
    <col min="15" max="15" width="12.42578125" bestFit="1" customWidth="1"/>
    <col min="16" max="17" width="13.5703125" bestFit="1" customWidth="1"/>
    <col min="18" max="18" width="11.7109375" bestFit="1" customWidth="1"/>
    <col min="19" max="19" width="8.85546875" bestFit="1" customWidth="1"/>
    <col min="20" max="20" width="16.28515625" bestFit="1" customWidth="1"/>
    <col min="21" max="21" width="16.7109375" bestFit="1" customWidth="1"/>
    <col min="22" max="22" width="12.5703125" bestFit="1" customWidth="1"/>
    <col min="23" max="23" width="13.140625" bestFit="1" customWidth="1"/>
    <col min="24" max="24" width="14.140625" bestFit="1" customWidth="1"/>
    <col min="25" max="25" width="13.85546875" bestFit="1" customWidth="1"/>
    <col min="26" max="26" width="11.28515625" bestFit="1" customWidth="1"/>
    <col min="27" max="27" width="13.42578125" bestFit="1" customWidth="1"/>
    <col min="28" max="28" width="12.42578125" bestFit="1" customWidth="1"/>
    <col min="29" max="29" width="13.5703125" bestFit="1" customWidth="1"/>
    <col min="30" max="30" width="12.28515625" bestFit="1" customWidth="1"/>
    <col min="31" max="32" width="14.140625" bestFit="1" customWidth="1"/>
    <col min="33" max="33" width="12.7109375" bestFit="1" customWidth="1"/>
    <col min="34" max="34" width="13.7109375" bestFit="1" customWidth="1"/>
    <col min="35" max="35" width="9.42578125" bestFit="1" customWidth="1"/>
    <col min="36" max="36" width="12.42578125" bestFit="1" customWidth="1"/>
    <col min="37" max="37" width="13.5703125" bestFit="1" customWidth="1"/>
    <col min="38" max="38" width="11.28515625" bestFit="1" customWidth="1"/>
    <col min="39" max="40" width="11.7109375" bestFit="1" customWidth="1"/>
    <col min="41" max="41" width="12.42578125" bestFit="1" customWidth="1"/>
    <col min="42" max="42" width="13.85546875" bestFit="1" customWidth="1"/>
    <col min="43" max="43" width="12.42578125" bestFit="1" customWidth="1"/>
    <col min="44" max="44" width="255.7109375" bestFit="1" customWidth="1"/>
    <col min="45" max="45" width="12.140625" bestFit="1" customWidth="1"/>
    <col min="46" max="46" width="8.42578125" bestFit="1" customWidth="1"/>
    <col min="47" max="47" width="12.7109375" bestFit="1" customWidth="1"/>
    <col min="48" max="48" width="27" bestFit="1" customWidth="1"/>
    <col min="49" max="49" width="12.7109375" bestFit="1" customWidth="1"/>
    <col min="50" max="50" width="32.42578125" bestFit="1" customWidth="1"/>
    <col min="51" max="51" width="6.5703125" bestFit="1" customWidth="1"/>
    <col min="52" max="52" width="9.42578125" bestFit="1" customWidth="1"/>
    <col min="53" max="53" width="5.140625" bestFit="1" customWidth="1"/>
    <col min="54" max="54" width="5" bestFit="1" customWidth="1"/>
    <col min="55" max="55" width="13.42578125" bestFit="1" customWidth="1"/>
    <col min="56" max="56" width="21.85546875" bestFit="1" customWidth="1"/>
    <col min="57" max="58" width="12.28515625" bestFit="1" customWidth="1"/>
    <col min="59" max="60" width="12.85546875" bestFit="1" customWidth="1"/>
    <col min="61" max="61" width="11.42578125" bestFit="1" customWidth="1"/>
    <col min="62" max="62" width="9" bestFit="1" customWidth="1"/>
    <col min="63" max="63" width="12.7109375" bestFit="1" customWidth="1"/>
    <col min="64" max="64" width="12.28515625" bestFit="1" customWidth="1"/>
    <col min="65" max="65" width="12.7109375" bestFit="1" customWidth="1"/>
    <col min="66" max="66" width="12.28515625" bestFit="1" customWidth="1"/>
    <col min="67" max="67" width="12.85546875" bestFit="1" customWidth="1"/>
    <col min="68" max="68" width="12.42578125" bestFit="1" customWidth="1"/>
    <col min="69" max="70" width="12.85546875" bestFit="1" customWidth="1"/>
    <col min="71" max="71" width="12.28515625" bestFit="1" customWidth="1"/>
    <col min="72" max="72" width="9" bestFit="1" customWidth="1"/>
    <col min="73" max="73" width="13.85546875" bestFit="1" customWidth="1"/>
    <col min="74" max="74" width="13.42578125" bestFit="1" customWidth="1"/>
    <col min="75" max="76" width="12.85546875" bestFit="1" customWidth="1"/>
    <col min="77" max="77" width="12.5703125" bestFit="1" customWidth="1"/>
    <col min="78" max="78" width="10.85546875" bestFit="1" customWidth="1"/>
    <col min="79" max="79" width="12.5703125" bestFit="1" customWidth="1"/>
    <col min="80" max="80" width="13.42578125" bestFit="1" customWidth="1"/>
    <col min="81" max="83" width="12.85546875" bestFit="1" customWidth="1"/>
    <col min="84" max="84" width="17.5703125" bestFit="1" customWidth="1"/>
    <col min="85" max="85" width="10" bestFit="1" customWidth="1"/>
    <col min="86" max="86" width="11.5703125" bestFit="1" customWidth="1"/>
    <col min="87" max="87" width="8.5703125" bestFit="1" customWidth="1"/>
    <col min="88" max="88" width="11.28515625" bestFit="1" customWidth="1"/>
    <col min="89" max="89" width="8.140625" bestFit="1" customWidth="1"/>
    <col min="90" max="90" width="10.28515625" bestFit="1" customWidth="1"/>
    <col min="91" max="91" width="8.42578125" bestFit="1" customWidth="1"/>
    <col min="92" max="92" width="13.140625" bestFit="1" customWidth="1"/>
    <col min="93" max="93" width="9" bestFit="1" customWidth="1"/>
    <col min="94" max="94" width="11.7109375" bestFit="1" customWidth="1"/>
    <col min="95" max="95" width="8.5703125" bestFit="1" customWidth="1"/>
    <col min="96" max="96" width="17.140625" bestFit="1" customWidth="1"/>
    <col min="97" max="97" width="13.140625" bestFit="1" customWidth="1"/>
    <col min="98" max="98" width="8.5703125" bestFit="1" customWidth="1"/>
    <col min="99" max="99" width="16" bestFit="1" customWidth="1"/>
    <col min="100" max="100" width="9.5703125" bestFit="1" customWidth="1"/>
    <col min="101" max="101" width="13.7109375" bestFit="1" customWidth="1"/>
    <col min="102" max="102" width="12.28515625" bestFit="1" customWidth="1"/>
  </cols>
  <sheetData>
    <row r="1" spans="1:102" s="1" customFormat="1" ht="34.5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 s="64">
        <f>SUM(CG3:CG811)</f>
        <v>0</v>
      </c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 s="64">
        <f>SUM(CW3:CW811)</f>
        <v>0</v>
      </c>
      <c r="CX1" s="65" t="e">
        <f>CW1/CG1</f>
        <v>#DIV/0!</v>
      </c>
    </row>
    <row r="2" spans="1:102" s="50" customFormat="1" ht="50.25" customHeight="1" x14ac:dyDescent="0.25">
      <c r="A2" s="2" t="s">
        <v>83</v>
      </c>
      <c r="B2" s="2" t="s">
        <v>2</v>
      </c>
      <c r="C2" s="2" t="s">
        <v>84</v>
      </c>
      <c r="D2" s="2" t="s">
        <v>85</v>
      </c>
      <c r="E2" s="2" t="s">
        <v>6</v>
      </c>
      <c r="F2" s="2" t="s">
        <v>18</v>
      </c>
      <c r="G2" s="2" t="s">
        <v>4</v>
      </c>
      <c r="H2" s="2" t="s">
        <v>86</v>
      </c>
      <c r="I2" s="2" t="s">
        <v>19</v>
      </c>
      <c r="J2" s="2" t="s">
        <v>20</v>
      </c>
      <c r="K2" s="2" t="s">
        <v>21</v>
      </c>
      <c r="L2" s="2" t="s">
        <v>22</v>
      </c>
      <c r="M2" s="2" t="s">
        <v>33</v>
      </c>
      <c r="N2" s="2" t="s">
        <v>36</v>
      </c>
      <c r="O2" s="2" t="s">
        <v>87</v>
      </c>
      <c r="P2" s="2" t="s">
        <v>88</v>
      </c>
      <c r="Q2" s="2" t="s">
        <v>89</v>
      </c>
      <c r="R2" s="2" t="s">
        <v>90</v>
      </c>
      <c r="S2" s="2" t="s">
        <v>91</v>
      </c>
      <c r="T2" s="2" t="s">
        <v>31</v>
      </c>
      <c r="U2" s="2" t="s">
        <v>32</v>
      </c>
      <c r="V2" s="2" t="s">
        <v>92</v>
      </c>
      <c r="W2" s="2" t="s">
        <v>93</v>
      </c>
      <c r="X2" s="2" t="s">
        <v>94</v>
      </c>
      <c r="Y2" s="2" t="s">
        <v>39</v>
      </c>
      <c r="Z2" s="2" t="s">
        <v>95</v>
      </c>
      <c r="AA2" s="2" t="s">
        <v>41</v>
      </c>
      <c r="AB2" s="2" t="s">
        <v>96</v>
      </c>
      <c r="AC2" s="2" t="s">
        <v>97</v>
      </c>
      <c r="AD2" s="2" t="s">
        <v>45</v>
      </c>
      <c r="AE2" s="2" t="s">
        <v>43</v>
      </c>
      <c r="AF2" s="2" t="s">
        <v>98</v>
      </c>
      <c r="AG2" s="2" t="s">
        <v>99</v>
      </c>
      <c r="AH2" s="2" t="s">
        <v>100</v>
      </c>
      <c r="AI2" s="2" t="s">
        <v>101</v>
      </c>
      <c r="AJ2" s="2" t="s">
        <v>102</v>
      </c>
      <c r="AK2" s="2" t="s">
        <v>103</v>
      </c>
      <c r="AL2" s="2" t="s">
        <v>46</v>
      </c>
      <c r="AM2" s="2" t="s">
        <v>104</v>
      </c>
      <c r="AN2" s="2" t="s">
        <v>105</v>
      </c>
      <c r="AO2" s="2" t="s">
        <v>106</v>
      </c>
      <c r="AP2" s="2" t="s">
        <v>107</v>
      </c>
      <c r="AQ2" s="2" t="s">
        <v>12</v>
      </c>
      <c r="AR2" s="2" t="s">
        <v>48</v>
      </c>
      <c r="AS2" s="2" t="s">
        <v>108</v>
      </c>
      <c r="AT2" s="2" t="s">
        <v>109</v>
      </c>
      <c r="AU2" s="2" t="s">
        <v>110</v>
      </c>
      <c r="AV2" s="2" t="s">
        <v>3</v>
      </c>
      <c r="AW2" s="2" t="s">
        <v>5</v>
      </c>
      <c r="AX2" s="2" t="s">
        <v>8</v>
      </c>
      <c r="AY2" s="2" t="s">
        <v>9</v>
      </c>
      <c r="AZ2" s="2" t="s">
        <v>10</v>
      </c>
      <c r="BA2" s="2" t="s">
        <v>7</v>
      </c>
      <c r="BB2" s="2" t="s">
        <v>55</v>
      </c>
      <c r="BC2" s="2" t="s">
        <v>111</v>
      </c>
      <c r="BD2" s="2" t="s">
        <v>34</v>
      </c>
      <c r="BE2" s="2" t="s">
        <v>112</v>
      </c>
      <c r="BF2" s="2" t="s">
        <v>30</v>
      </c>
      <c r="BG2" s="2" t="s">
        <v>37</v>
      </c>
      <c r="BH2" s="2" t="s">
        <v>38</v>
      </c>
      <c r="BI2" s="2" t="s">
        <v>113</v>
      </c>
      <c r="BJ2" s="2" t="s">
        <v>114</v>
      </c>
      <c r="BK2" s="2" t="s">
        <v>115</v>
      </c>
      <c r="BL2" s="2" t="s">
        <v>40</v>
      </c>
      <c r="BM2" s="2" t="s">
        <v>23</v>
      </c>
      <c r="BN2" s="2" t="s">
        <v>42</v>
      </c>
      <c r="BO2" s="2" t="s">
        <v>24</v>
      </c>
      <c r="BP2" s="2" t="s">
        <v>116</v>
      </c>
      <c r="BQ2" s="2" t="s">
        <v>117</v>
      </c>
      <c r="BR2" s="2" t="s">
        <v>25</v>
      </c>
      <c r="BS2" s="2" t="s">
        <v>44</v>
      </c>
      <c r="BT2" s="2" t="s">
        <v>118</v>
      </c>
      <c r="BU2" s="50" t="s">
        <v>119</v>
      </c>
      <c r="BV2" s="50" t="s">
        <v>120</v>
      </c>
      <c r="BW2" s="50" t="s">
        <v>26</v>
      </c>
      <c r="BX2" s="50" t="s">
        <v>27</v>
      </c>
      <c r="BY2" s="50" t="s">
        <v>121</v>
      </c>
      <c r="BZ2" s="50" t="s">
        <v>47</v>
      </c>
      <c r="CA2" s="50" t="s">
        <v>122</v>
      </c>
      <c r="CB2" s="50" t="s">
        <v>123</v>
      </c>
      <c r="CC2" s="50" t="s">
        <v>28</v>
      </c>
      <c r="CD2" s="50" t="s">
        <v>29</v>
      </c>
      <c r="CE2" s="50" t="s">
        <v>13</v>
      </c>
      <c r="CF2" s="50" t="s">
        <v>124</v>
      </c>
      <c r="CG2" s="50" t="s">
        <v>125</v>
      </c>
      <c r="CH2" s="50" t="s">
        <v>126</v>
      </c>
      <c r="CI2" s="50" t="s">
        <v>127</v>
      </c>
      <c r="CJ2" s="50" t="s">
        <v>128</v>
      </c>
      <c r="CK2" s="50" t="s">
        <v>129</v>
      </c>
      <c r="CL2" s="50" t="s">
        <v>130</v>
      </c>
      <c r="CM2" s="50" t="s">
        <v>131</v>
      </c>
      <c r="CN2" s="50" t="s">
        <v>132</v>
      </c>
      <c r="CO2" s="50" t="s">
        <v>133</v>
      </c>
      <c r="CP2" s="50" t="s">
        <v>134</v>
      </c>
      <c r="CQ2" s="50" t="s">
        <v>11</v>
      </c>
      <c r="CR2" s="50" t="s">
        <v>135</v>
      </c>
      <c r="CS2" s="50" t="s">
        <v>15</v>
      </c>
      <c r="CT2" s="50" t="s">
        <v>16</v>
      </c>
      <c r="CU2" s="50" t="s">
        <v>17</v>
      </c>
      <c r="CV2" s="50" t="s">
        <v>49</v>
      </c>
      <c r="CW2" s="50" t="s">
        <v>53</v>
      </c>
    </row>
    <row r="3" spans="1:102" s="1" customFormat="1" ht="12.75" x14ac:dyDescent="0.2">
      <c r="CQ3" s="1" t="str">
        <f>IF(ISNUMBER(SEARCH("exclude",CONCATENATE(CH3,CI3,CJ3,CK3,CL3,CM3,CN3,CO3,CP3))), "exclude", "include")</f>
        <v>include</v>
      </c>
      <c r="CW3" s="1">
        <f>IF(CQ3="include",CG3,"")</f>
        <v>0</v>
      </c>
    </row>
    <row r="4" spans="1:102" s="1" customFormat="1" ht="12.75" x14ac:dyDescent="0.2"/>
    <row r="5" spans="1:102" s="1" customFormat="1" ht="12.75" x14ac:dyDescent="0.2"/>
    <row r="6" spans="1:102" s="1" customFormat="1" ht="12.75" x14ac:dyDescent="0.2"/>
    <row r="7" spans="1:102" s="1" customFormat="1" ht="12.75" x14ac:dyDescent="0.2"/>
    <row r="8" spans="1:102" s="1" customFormat="1" ht="12.75" x14ac:dyDescent="0.2"/>
    <row r="9" spans="1:102" s="1" customFormat="1" ht="12.75" x14ac:dyDescent="0.2"/>
    <row r="10" spans="1:102" s="1" customFormat="1" ht="12.75" x14ac:dyDescent="0.2"/>
    <row r="11" spans="1:102" s="1" customFormat="1" ht="12.75" x14ac:dyDescent="0.2"/>
    <row r="12" spans="1:102" s="1" customFormat="1" ht="12.75" x14ac:dyDescent="0.2"/>
    <row r="13" spans="1:102" s="1" customFormat="1" ht="12.75" x14ac:dyDescent="0.2"/>
    <row r="14" spans="1:102" s="1" customFormat="1" ht="12.75" x14ac:dyDescent="0.2"/>
    <row r="15" spans="1:102" s="1" customFormat="1" ht="12.75" x14ac:dyDescent="0.2"/>
    <row r="16" spans="1:102" s="1" customFormat="1" ht="12.75" x14ac:dyDescent="0.2"/>
    <row r="17" s="1" customFormat="1" ht="12.75" x14ac:dyDescent="0.2"/>
    <row r="18" s="1" customFormat="1" ht="12.75" x14ac:dyDescent="0.2"/>
    <row r="19" s="1" customFormat="1" ht="12.75" x14ac:dyDescent="0.2"/>
    <row r="20" s="1" customFormat="1" ht="12.75" x14ac:dyDescent="0.2"/>
    <row r="21" s="1" customFormat="1" ht="12.75" x14ac:dyDescent="0.2"/>
    <row r="22" s="1" customFormat="1" ht="12.75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Z3"/>
  <sheetViews>
    <sheetView topLeftCell="BL1048543" zoomScale="85" zoomScaleNormal="85" workbookViewId="0"/>
  </sheetViews>
  <sheetFormatPr defaultRowHeight="15" x14ac:dyDescent="0.25"/>
  <cols>
    <col min="1" max="1" width="25.7109375" bestFit="1" customWidth="1"/>
    <col min="2" max="2" width="12.7109375" bestFit="1" customWidth="1"/>
    <col min="3" max="3" width="83.5703125" bestFit="1" customWidth="1"/>
    <col min="4" max="4" width="26.28515625" bestFit="1" customWidth="1"/>
    <col min="5" max="5" width="17.5703125" bestFit="1" customWidth="1"/>
    <col min="6" max="6" width="12.5703125" bestFit="1" customWidth="1"/>
    <col min="7" max="7" width="24.42578125" bestFit="1" customWidth="1"/>
    <col min="8" max="8" width="13.28515625" bestFit="1" customWidth="1"/>
    <col min="9" max="9" width="32.42578125" bestFit="1" customWidth="1"/>
    <col min="10" max="10" width="16.7109375" bestFit="1" customWidth="1"/>
    <col min="11" max="11" width="45.5703125" bestFit="1" customWidth="1"/>
    <col min="12" max="12" width="17.85546875" bestFit="1" customWidth="1"/>
    <col min="13" max="13" width="11.85546875" style="68" bestFit="1" customWidth="1"/>
    <col min="14" max="15" width="12.7109375" style="68" bestFit="1" customWidth="1"/>
    <col min="16" max="16" width="14.5703125" bestFit="1" customWidth="1"/>
    <col min="17" max="17" width="15.42578125" bestFit="1" customWidth="1"/>
    <col min="18" max="18" width="15.28515625" bestFit="1" customWidth="1"/>
    <col min="19" max="19" width="30" bestFit="1" customWidth="1"/>
    <col min="20" max="20" width="17.5703125" bestFit="1" customWidth="1"/>
    <col min="21" max="21" width="25.5703125" bestFit="1" customWidth="1"/>
    <col min="22" max="22" width="24.5703125" bestFit="1" customWidth="1"/>
    <col min="23" max="23" width="23.7109375" bestFit="1" customWidth="1"/>
    <col min="24" max="24" width="22.85546875" bestFit="1" customWidth="1"/>
    <col min="25" max="25" width="23.140625" bestFit="1" customWidth="1"/>
    <col min="26" max="26" width="22.140625" bestFit="1" customWidth="1"/>
    <col min="27" max="27" width="17.7109375" style="3" bestFit="1" customWidth="1"/>
    <col min="28" max="28" width="20.140625" bestFit="1" customWidth="1"/>
    <col min="29" max="29" width="26.7109375" bestFit="1" customWidth="1"/>
    <col min="30" max="30" width="17" bestFit="1" customWidth="1"/>
    <col min="31" max="31" width="23.5703125" style="3" bestFit="1" customWidth="1"/>
    <col min="32" max="32" width="24.5703125" bestFit="1" customWidth="1"/>
    <col min="33" max="33" width="40.42578125" bestFit="1" customWidth="1"/>
    <col min="34" max="34" width="44.7109375" bestFit="1" customWidth="1"/>
    <col min="35" max="35" width="34" bestFit="1" customWidth="1"/>
    <col min="36" max="36" width="50.140625" bestFit="1" customWidth="1"/>
    <col min="37" max="37" width="12" bestFit="1" customWidth="1"/>
    <col min="38" max="38" width="33.28515625" bestFit="1" customWidth="1"/>
    <col min="39" max="39" width="21.5703125" bestFit="1" customWidth="1"/>
    <col min="40" max="40" width="19.7109375" bestFit="1" customWidth="1"/>
    <col min="41" max="41" width="12.7109375" bestFit="1" customWidth="1"/>
    <col min="42" max="42" width="23.7109375" bestFit="1" customWidth="1"/>
    <col min="43" max="43" width="21.7109375" bestFit="1" customWidth="1"/>
    <col min="44" max="44" width="12.7109375" bestFit="1" customWidth="1"/>
    <col min="45" max="45" width="20.5703125" bestFit="1" customWidth="1"/>
    <col min="46" max="46" width="23.85546875" bestFit="1" customWidth="1"/>
    <col min="47" max="47" width="22.140625" bestFit="1" customWidth="1"/>
    <col min="48" max="48" width="28.28515625" bestFit="1" customWidth="1"/>
    <col min="49" max="49" width="20.140625" bestFit="1" customWidth="1"/>
    <col min="50" max="50" width="12.7109375" style="68" bestFit="1" customWidth="1"/>
    <col min="51" max="51" width="28.42578125" bestFit="1" customWidth="1"/>
    <col min="52" max="52" width="26.7109375" bestFit="1" customWidth="1"/>
    <col min="53" max="53" width="12.7109375" style="68" bestFit="1" customWidth="1"/>
    <col min="54" max="54" width="25.85546875" style="3" bestFit="1" customWidth="1"/>
    <col min="55" max="55" width="17.7109375" bestFit="1" customWidth="1"/>
    <col min="56" max="56" width="12.7109375" style="68" bestFit="1" customWidth="1"/>
    <col min="57" max="57" width="18.85546875" bestFit="1" customWidth="1"/>
    <col min="58" max="58" width="17" bestFit="1" customWidth="1"/>
    <col min="59" max="59" width="12.7109375" style="68" bestFit="1" customWidth="1"/>
    <col min="60" max="60" width="25.28515625" style="3" bestFit="1" customWidth="1"/>
    <col min="61" max="61" width="23.5703125" bestFit="1" customWidth="1"/>
    <col min="62" max="62" width="12.7109375" style="68" bestFit="1" customWidth="1"/>
    <col min="63" max="63" width="255.7109375" bestFit="1" customWidth="1"/>
    <col min="64" max="64" width="19.28515625" bestFit="1" customWidth="1"/>
    <col min="65" max="65" width="12.28515625" bestFit="1" customWidth="1"/>
    <col min="66" max="66" width="22.5703125" bestFit="1" customWidth="1"/>
    <col min="67" max="67" width="19.140625" style="3" bestFit="1" customWidth="1"/>
    <col min="68" max="68" width="25.140625" bestFit="1" customWidth="1"/>
    <col min="69" max="69" width="12.7109375" bestFit="1" customWidth="1"/>
    <col min="70" max="70" width="13.28515625" bestFit="1" customWidth="1"/>
    <col min="71" max="71" width="48" bestFit="1" customWidth="1"/>
    <col min="72" max="77" width="48" customWidth="1"/>
    <col min="78" max="78" width="12.7109375" customWidth="1"/>
    <col min="79" max="79" width="14.7109375" bestFit="1" customWidth="1"/>
    <col min="80" max="80" width="32.85546875" bestFit="1" customWidth="1"/>
    <col min="81" max="81" width="19.140625" bestFit="1" customWidth="1"/>
    <col min="82" max="82" width="20.140625" bestFit="1" customWidth="1"/>
  </cols>
  <sheetData>
    <row r="1" spans="1:78" ht="51.75" customHeight="1" x14ac:dyDescent="0.25">
      <c r="A1" s="2" t="s">
        <v>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66"/>
      <c r="N1" s="66"/>
      <c r="O1" s="66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60">
        <f>SUM(AA3:AA9998)</f>
        <v>0</v>
      </c>
      <c r="AB1" s="52" t="e">
        <f>+BO2/AA1</f>
        <v>#DIV/0!</v>
      </c>
      <c r="AC1" s="51">
        <f>SUM(AC3:AC9998)</f>
        <v>0</v>
      </c>
      <c r="AD1" s="51">
        <f>SUM(AD3:AD9998)</f>
        <v>0</v>
      </c>
      <c r="AE1" s="60">
        <f>SUM(AE3:AE9998)</f>
        <v>0</v>
      </c>
      <c r="AF1" s="51"/>
      <c r="AG1" s="1"/>
      <c r="AH1" s="1"/>
      <c r="AI1" s="1"/>
      <c r="AJ1" s="1"/>
      <c r="AK1" s="53"/>
      <c r="AL1" s="53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69"/>
      <c r="AY1" s="1"/>
      <c r="AZ1" s="1"/>
      <c r="BA1" s="69"/>
      <c r="BB1" s="61"/>
      <c r="BC1" s="51">
        <f>SUM(BC3:BC9998)</f>
        <v>0</v>
      </c>
      <c r="BD1" s="69"/>
      <c r="BE1" s="1"/>
      <c r="BF1" s="1"/>
      <c r="BG1" s="69"/>
      <c r="BH1" s="61"/>
      <c r="BI1" s="51">
        <f>SUM(BI3:BI9998)</f>
        <v>0</v>
      </c>
      <c r="BJ1" s="69"/>
      <c r="BK1" s="1"/>
      <c r="BL1" s="1"/>
      <c r="BM1" s="1"/>
      <c r="BN1" s="1"/>
      <c r="BO1" s="62" t="e">
        <f>BN2/BO2</f>
        <v>#DIV/0!</v>
      </c>
      <c r="BP1" s="1"/>
      <c r="BQ1" s="1"/>
      <c r="BR1" s="1"/>
      <c r="BS1" s="1"/>
      <c r="BT1" s="2"/>
      <c r="BU1" s="2"/>
      <c r="BV1" s="2"/>
      <c r="BW1" s="2"/>
      <c r="BX1" s="2"/>
      <c r="BY1" s="2"/>
      <c r="BZ1" s="2"/>
    </row>
    <row r="2" spans="1:78" x14ac:dyDescent="0.25">
      <c r="A2" s="105" t="s">
        <v>60</v>
      </c>
      <c r="B2" s="105"/>
      <c r="C2" s="105"/>
      <c r="D2" s="105"/>
      <c r="E2" s="105"/>
      <c r="F2" s="105"/>
      <c r="G2" s="105"/>
      <c r="H2" s="54"/>
      <c r="I2" s="55"/>
      <c r="J2" s="56"/>
      <c r="K2" s="56"/>
      <c r="L2" s="56"/>
      <c r="M2" s="67"/>
      <c r="N2" s="67"/>
      <c r="O2" s="67"/>
      <c r="P2" s="50"/>
      <c r="Q2" s="50"/>
      <c r="R2" s="50"/>
      <c r="S2" s="57"/>
      <c r="T2" s="106"/>
      <c r="U2" s="106"/>
      <c r="V2" s="106"/>
      <c r="W2" s="106"/>
      <c r="X2" s="106"/>
      <c r="Y2" s="107" t="s">
        <v>61</v>
      </c>
      <c r="Z2" s="107"/>
      <c r="AA2" s="107"/>
      <c r="AB2" s="107"/>
      <c r="AC2" s="107"/>
      <c r="AD2" s="107"/>
      <c r="AE2" s="107"/>
      <c r="AF2" s="58"/>
      <c r="AG2" s="108" t="s">
        <v>62</v>
      </c>
      <c r="AH2" s="108"/>
      <c r="AI2" s="108"/>
      <c r="AJ2" s="108"/>
      <c r="AK2" s="109"/>
      <c r="AL2" s="109"/>
      <c r="AM2" s="108"/>
      <c r="AN2" s="108"/>
      <c r="AO2" s="108"/>
      <c r="AP2" s="110" t="s">
        <v>63</v>
      </c>
      <c r="AQ2" s="110"/>
      <c r="AR2" s="110"/>
      <c r="AS2" s="110"/>
      <c r="AT2" s="110"/>
      <c r="AU2" s="110"/>
      <c r="AV2" s="111" t="s">
        <v>64</v>
      </c>
      <c r="AW2" s="111"/>
      <c r="AX2" s="111"/>
      <c r="AY2" s="111"/>
      <c r="AZ2" s="111"/>
      <c r="BA2" s="111"/>
      <c r="BB2" s="102" t="s">
        <v>65</v>
      </c>
      <c r="BC2" s="102"/>
      <c r="BD2" s="102"/>
      <c r="BE2" s="103" t="s">
        <v>66</v>
      </c>
      <c r="BF2" s="103"/>
      <c r="BG2" s="103"/>
      <c r="BH2" s="103"/>
      <c r="BI2" s="103"/>
      <c r="BJ2" s="103"/>
      <c r="BK2" s="104" t="s">
        <v>67</v>
      </c>
      <c r="BL2" s="104"/>
      <c r="BM2" s="59">
        <f>SUM(BM3:BM9998)</f>
        <v>0</v>
      </c>
      <c r="BN2" s="59">
        <f>SUM(BN3:BN9998)</f>
        <v>0</v>
      </c>
      <c r="BO2" s="63">
        <f>SUM(BO3:BO9998)</f>
        <v>0</v>
      </c>
      <c r="BP2" s="59">
        <f>SUM(BP3:BP9998)</f>
        <v>0</v>
      </c>
      <c r="BQ2" s="59">
        <f>SUM(BQ3:BQ9998)</f>
        <v>0</v>
      </c>
      <c r="BR2" s="55"/>
      <c r="BS2" s="55"/>
    </row>
    <row r="3" spans="1:78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s="68" t="s">
        <v>12</v>
      </c>
      <c r="N3" s="68" t="s">
        <v>13</v>
      </c>
      <c r="O3" s="68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68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s="3" t="s">
        <v>25</v>
      </c>
      <c r="AB3" t="s">
        <v>26</v>
      </c>
      <c r="AC3" t="s">
        <v>27</v>
      </c>
      <c r="AD3" t="s">
        <v>28</v>
      </c>
      <c r="AE3" s="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69</v>
      </c>
      <c r="AP3" t="s">
        <v>39</v>
      </c>
      <c r="AQ3" t="s">
        <v>40</v>
      </c>
      <c r="AR3" t="s">
        <v>70</v>
      </c>
      <c r="AS3" t="s">
        <v>41</v>
      </c>
      <c r="AT3" t="s">
        <v>42</v>
      </c>
      <c r="AU3" t="s">
        <v>71</v>
      </c>
      <c r="AV3" t="s">
        <v>43</v>
      </c>
      <c r="AW3" t="s">
        <v>72</v>
      </c>
      <c r="AX3" s="68" t="s">
        <v>73</v>
      </c>
      <c r="AY3" t="s">
        <v>44</v>
      </c>
      <c r="AZ3" t="s">
        <v>74</v>
      </c>
      <c r="BA3" s="68" t="s">
        <v>75</v>
      </c>
      <c r="BB3" s="3" t="s">
        <v>45</v>
      </c>
      <c r="BC3" t="s">
        <v>76</v>
      </c>
      <c r="BD3" s="68" t="s">
        <v>77</v>
      </c>
      <c r="BE3" t="s">
        <v>46</v>
      </c>
      <c r="BF3" t="s">
        <v>78</v>
      </c>
      <c r="BG3" s="68" t="s">
        <v>79</v>
      </c>
      <c r="BH3" s="3" t="s">
        <v>47</v>
      </c>
      <c r="BI3" t="s">
        <v>80</v>
      </c>
      <c r="BJ3" s="68" t="s">
        <v>81</v>
      </c>
      <c r="BK3" t="s">
        <v>48</v>
      </c>
      <c r="BL3" t="s">
        <v>49</v>
      </c>
      <c r="BM3" t="s">
        <v>50</v>
      </c>
      <c r="BN3" t="s">
        <v>51</v>
      </c>
      <c r="BO3" s="3" t="s">
        <v>52</v>
      </c>
      <c r="BP3" t="s">
        <v>53</v>
      </c>
      <c r="BQ3" t="s">
        <v>54</v>
      </c>
      <c r="BR3" t="s">
        <v>82</v>
      </c>
      <c r="BS3" t="s">
        <v>55</v>
      </c>
    </row>
  </sheetData>
  <mergeCells count="9">
    <mergeCell ref="BB2:BD2"/>
    <mergeCell ref="BE2:BJ2"/>
    <mergeCell ref="BK2:BL2"/>
    <mergeCell ref="A2:G2"/>
    <mergeCell ref="T2:X2"/>
    <mergeCell ref="Y2:AE2"/>
    <mergeCell ref="AG2:AO2"/>
    <mergeCell ref="AP2:AU2"/>
    <mergeCell ref="AV2:BA2"/>
  </mergeCells>
  <conditionalFormatting sqref="BP1 BN1">
    <cfRule type="cellIs" dxfId="44" priority="1" operator="equal">
      <formula>"FAIL!"</formula>
    </cfRule>
    <cfRule type="cellIs" dxfId="43" priority="2" operator="equal">
      <formula>"EXCELLENT"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N258"/>
  <sheetViews>
    <sheetView topLeftCell="A139" workbookViewId="0">
      <selection activeCell="F152" sqref="F152"/>
    </sheetView>
  </sheetViews>
  <sheetFormatPr defaultColWidth="7.85546875" defaultRowHeight="15" x14ac:dyDescent="0.25"/>
  <cols>
    <col min="2" max="2" width="24.42578125" customWidth="1"/>
    <col min="3" max="3" width="16.28515625" customWidth="1"/>
    <col min="4" max="4" width="11.28515625" customWidth="1"/>
    <col min="5" max="5" width="13.28515625" customWidth="1"/>
    <col min="6" max="6" width="12.28515625" customWidth="1"/>
    <col min="7" max="7" width="32.28515625" bestFit="1" customWidth="1"/>
    <col min="8" max="8" width="20.28515625" bestFit="1" customWidth="1"/>
  </cols>
  <sheetData>
    <row r="1" spans="2:14" x14ac:dyDescent="0.25">
      <c r="B1" s="112" t="s">
        <v>176</v>
      </c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</row>
    <row r="3" spans="2:14" x14ac:dyDescent="0.25">
      <c r="B3" s="70" t="s">
        <v>11</v>
      </c>
      <c r="C3" t="s">
        <v>193</v>
      </c>
    </row>
    <row r="5" spans="2:14" x14ac:dyDescent="0.25">
      <c r="B5" s="70" t="s">
        <v>198</v>
      </c>
      <c r="C5" s="70" t="s">
        <v>192</v>
      </c>
    </row>
    <row r="6" spans="2:14" s="2" customFormat="1" ht="30.75" customHeight="1" x14ac:dyDescent="0.25">
      <c r="B6" s="74" t="s">
        <v>189</v>
      </c>
      <c r="C6" s="2" t="s">
        <v>190</v>
      </c>
      <c r="D6" s="2" t="s">
        <v>191</v>
      </c>
    </row>
    <row r="7" spans="2:14" x14ac:dyDescent="0.25">
      <c r="B7" s="71" t="s">
        <v>190</v>
      </c>
      <c r="C7" s="68">
        <v>0</v>
      </c>
      <c r="D7" s="68">
        <v>0</v>
      </c>
    </row>
    <row r="8" spans="2:14" x14ac:dyDescent="0.25">
      <c r="B8" s="71" t="s">
        <v>191</v>
      </c>
      <c r="C8" s="68">
        <v>0</v>
      </c>
      <c r="D8" s="68">
        <v>0</v>
      </c>
    </row>
    <row r="26" spans="2:14" x14ac:dyDescent="0.25">
      <c r="B26" s="112" t="s">
        <v>177</v>
      </c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</row>
    <row r="28" spans="2:14" x14ac:dyDescent="0.25">
      <c r="B28" s="70" t="s">
        <v>11</v>
      </c>
      <c r="C28" t="s">
        <v>193</v>
      </c>
    </row>
    <row r="30" spans="2:14" x14ac:dyDescent="0.25">
      <c r="C30" s="70" t="s">
        <v>192</v>
      </c>
    </row>
    <row r="31" spans="2:14" s="2" customFormat="1" ht="30.75" customHeight="1" x14ac:dyDescent="0.25">
      <c r="B31" s="74" t="s">
        <v>195</v>
      </c>
      <c r="C31" s="2" t="s">
        <v>190</v>
      </c>
      <c r="D31" s="2" t="s">
        <v>191</v>
      </c>
    </row>
    <row r="32" spans="2:14" x14ac:dyDescent="0.25">
      <c r="B32" s="71" t="s">
        <v>194</v>
      </c>
      <c r="C32" s="4"/>
      <c r="D32" s="4"/>
    </row>
    <row r="33" spans="2:5" x14ac:dyDescent="0.25">
      <c r="B33" s="71" t="s">
        <v>196</v>
      </c>
      <c r="C33" s="4"/>
      <c r="D33" s="4"/>
    </row>
    <row r="35" spans="2:5" x14ac:dyDescent="0.25">
      <c r="C35">
        <f>IFERROR(GETPIVOTDATA("Sum of Actual Total Spend",$B$30,"post-eval colour","Amber")/GETPIVOTDATA("Sum of Actual Total Spend",$B$30), 0)</f>
        <v>0</v>
      </c>
      <c r="D35">
        <f>IFERROR(GETPIVOTDATA("Sum of Actual Total Spend",$B$30,"post-eval colour","Green")/GETPIVOTDATA("Sum of Actual Total Spend",$B$30), 0)</f>
        <v>0</v>
      </c>
      <c r="E35">
        <f>IFERROR(GETPIVOTDATA("Sum of Actual Total Spend",$B$30,"post-eval colour","Red")/GETPIVOTDATA("Sum of Actual Total Spend",$B$30), 0)</f>
        <v>0</v>
      </c>
    </row>
    <row r="50" spans="2:14" x14ac:dyDescent="0.25">
      <c r="B50" s="112" t="s">
        <v>178</v>
      </c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</row>
    <row r="52" spans="2:14" x14ac:dyDescent="0.25">
      <c r="B52" s="70" t="s">
        <v>11</v>
      </c>
      <c r="C52" t="s">
        <v>193</v>
      </c>
    </row>
    <row r="53" spans="2:14" x14ac:dyDescent="0.25">
      <c r="B53" s="70" t="s">
        <v>22</v>
      </c>
      <c r="C53" t="s">
        <v>193</v>
      </c>
    </row>
    <row r="55" spans="2:14" s="2" customFormat="1" ht="30.75" customHeight="1" x14ac:dyDescent="0.25">
      <c r="B55" s="74" t="s">
        <v>189</v>
      </c>
      <c r="C55" s="2" t="s">
        <v>197</v>
      </c>
      <c r="D55" s="2" t="s">
        <v>199</v>
      </c>
      <c r="E55" s="2" t="s">
        <v>196</v>
      </c>
      <c r="F55" s="2" t="s">
        <v>198</v>
      </c>
    </row>
    <row r="56" spans="2:14" x14ac:dyDescent="0.25">
      <c r="B56" s="71" t="s">
        <v>190</v>
      </c>
      <c r="C56" s="4"/>
      <c r="D56" s="4"/>
      <c r="E56" s="4"/>
      <c r="F56" s="68">
        <v>0</v>
      </c>
    </row>
    <row r="57" spans="2:14" x14ac:dyDescent="0.25">
      <c r="B57" s="71" t="s">
        <v>191</v>
      </c>
      <c r="C57" s="4"/>
      <c r="D57" s="4"/>
      <c r="E57" s="4"/>
      <c r="F57" s="68">
        <v>0</v>
      </c>
    </row>
    <row r="76" spans="2:14" x14ac:dyDescent="0.25">
      <c r="B76" s="112" t="s">
        <v>179</v>
      </c>
      <c r="C76" s="113"/>
      <c r="D76" s="113"/>
      <c r="E76" s="113"/>
      <c r="F76" s="113"/>
      <c r="G76" s="113"/>
      <c r="H76" s="113"/>
      <c r="I76" s="113"/>
      <c r="J76" s="113"/>
      <c r="K76" s="113"/>
      <c r="L76" s="113"/>
      <c r="M76" s="113"/>
      <c r="N76" s="113"/>
    </row>
    <row r="78" spans="2:14" x14ac:dyDescent="0.25">
      <c r="B78" s="70" t="s">
        <v>11</v>
      </c>
      <c r="C78" t="s">
        <v>193</v>
      </c>
    </row>
    <row r="80" spans="2:14" x14ac:dyDescent="0.25">
      <c r="B80" s="70" t="s">
        <v>200</v>
      </c>
      <c r="C80" s="70" t="s">
        <v>192</v>
      </c>
    </row>
    <row r="81" spans="2:4" s="2" customFormat="1" ht="30.75" customHeight="1" x14ac:dyDescent="0.25">
      <c r="B81" s="74" t="s">
        <v>189</v>
      </c>
      <c r="C81" s="2" t="s">
        <v>190</v>
      </c>
      <c r="D81" s="2" t="s">
        <v>191</v>
      </c>
    </row>
    <row r="82" spans="2:4" x14ac:dyDescent="0.25">
      <c r="B82" s="71" t="s">
        <v>190</v>
      </c>
      <c r="C82" s="68">
        <v>0</v>
      </c>
      <c r="D82" s="68">
        <v>0</v>
      </c>
    </row>
    <row r="83" spans="2:4" x14ac:dyDescent="0.25">
      <c r="B83" s="71" t="s">
        <v>191</v>
      </c>
      <c r="C83" s="68">
        <v>0</v>
      </c>
      <c r="D83" s="68">
        <v>0</v>
      </c>
    </row>
    <row r="101" spans="2:14" x14ac:dyDescent="0.25">
      <c r="B101" s="112" t="s">
        <v>180</v>
      </c>
      <c r="C101" s="113"/>
      <c r="D101" s="113"/>
      <c r="E101" s="113"/>
      <c r="F101" s="113"/>
      <c r="G101" s="113"/>
      <c r="H101" s="113"/>
      <c r="I101" s="113"/>
      <c r="J101" s="113"/>
      <c r="K101" s="113"/>
      <c r="L101" s="113"/>
      <c r="M101" s="113"/>
      <c r="N101" s="113"/>
    </row>
    <row r="103" spans="2:14" x14ac:dyDescent="0.25">
      <c r="B103" s="70" t="s">
        <v>11</v>
      </c>
      <c r="C103" t="s">
        <v>193</v>
      </c>
    </row>
    <row r="105" spans="2:14" x14ac:dyDescent="0.25">
      <c r="B105" s="70" t="s">
        <v>201</v>
      </c>
      <c r="C105" s="70" t="s">
        <v>192</v>
      </c>
    </row>
    <row r="106" spans="2:14" s="2" customFormat="1" ht="30.75" customHeight="1" x14ac:dyDescent="0.25">
      <c r="B106" s="74" t="s">
        <v>189</v>
      </c>
      <c r="C106" s="2" t="s">
        <v>190</v>
      </c>
      <c r="D106" s="2" t="s">
        <v>191</v>
      </c>
    </row>
    <row r="107" spans="2:14" x14ac:dyDescent="0.25">
      <c r="B107" s="71" t="s">
        <v>190</v>
      </c>
      <c r="C107" s="68">
        <v>0</v>
      </c>
      <c r="D107" s="68">
        <v>0</v>
      </c>
    </row>
    <row r="108" spans="2:14" x14ac:dyDescent="0.25">
      <c r="B108" s="71" t="s">
        <v>191</v>
      </c>
      <c r="C108" s="68">
        <v>0</v>
      </c>
      <c r="D108" s="68">
        <v>0</v>
      </c>
    </row>
    <row r="128" spans="2:14" x14ac:dyDescent="0.25">
      <c r="B128" s="112" t="s">
        <v>181</v>
      </c>
      <c r="C128" s="113"/>
      <c r="D128" s="113"/>
      <c r="E128" s="113"/>
      <c r="F128" s="113"/>
      <c r="G128" s="113"/>
      <c r="H128" s="113"/>
      <c r="I128" s="113"/>
      <c r="J128" s="113"/>
      <c r="K128" s="113"/>
      <c r="L128" s="113"/>
      <c r="M128" s="113"/>
      <c r="N128" s="113"/>
    </row>
    <row r="130" spans="2:4" x14ac:dyDescent="0.25">
      <c r="B130" s="70" t="s">
        <v>202</v>
      </c>
      <c r="C130" s="70" t="s">
        <v>192</v>
      </c>
    </row>
    <row r="131" spans="2:4" s="2" customFormat="1" ht="30.75" customHeight="1" x14ac:dyDescent="0.25">
      <c r="B131" s="74" t="s">
        <v>189</v>
      </c>
      <c r="C131" s="2" t="s">
        <v>190</v>
      </c>
      <c r="D131" s="2" t="s">
        <v>191</v>
      </c>
    </row>
    <row r="132" spans="2:4" x14ac:dyDescent="0.25">
      <c r="B132" s="71" t="s">
        <v>190</v>
      </c>
      <c r="C132" s="68">
        <v>0</v>
      </c>
      <c r="D132" s="68">
        <v>0</v>
      </c>
    </row>
    <row r="133" spans="2:4" x14ac:dyDescent="0.25">
      <c r="B133" s="71" t="s">
        <v>191</v>
      </c>
      <c r="C133" s="68">
        <v>0</v>
      </c>
      <c r="D133" s="68">
        <v>0</v>
      </c>
    </row>
    <row r="153" spans="2:14" x14ac:dyDescent="0.25">
      <c r="B153" s="112" t="s">
        <v>182</v>
      </c>
      <c r="C153" s="113"/>
      <c r="D153" s="113"/>
      <c r="E153" s="113"/>
      <c r="F153" s="113"/>
      <c r="G153" s="113"/>
      <c r="H153" s="113"/>
      <c r="I153" s="113"/>
      <c r="J153" s="113"/>
      <c r="K153" s="113"/>
      <c r="L153" s="113"/>
      <c r="M153" s="113"/>
      <c r="N153" s="113"/>
    </row>
    <row r="155" spans="2:14" x14ac:dyDescent="0.25">
      <c r="B155" s="70" t="s">
        <v>203</v>
      </c>
      <c r="C155" s="70" t="s">
        <v>192</v>
      </c>
    </row>
    <row r="156" spans="2:14" s="2" customFormat="1" ht="30.75" customHeight="1" x14ac:dyDescent="0.25">
      <c r="B156" s="74" t="s">
        <v>189</v>
      </c>
      <c r="C156" s="2" t="s">
        <v>190</v>
      </c>
      <c r="D156" s="2" t="s">
        <v>191</v>
      </c>
    </row>
    <row r="157" spans="2:14" x14ac:dyDescent="0.25">
      <c r="B157" s="71" t="s">
        <v>190</v>
      </c>
      <c r="C157" s="68">
        <v>0</v>
      </c>
      <c r="D157" s="68">
        <v>0</v>
      </c>
    </row>
    <row r="158" spans="2:14" x14ac:dyDescent="0.25">
      <c r="B158" s="71" t="s">
        <v>191</v>
      </c>
      <c r="C158" s="68">
        <v>0</v>
      </c>
      <c r="D158" s="68">
        <v>0</v>
      </c>
    </row>
    <row r="176" spans="2:14" x14ac:dyDescent="0.25">
      <c r="B176" s="113" t="s">
        <v>183</v>
      </c>
      <c r="C176" s="113"/>
      <c r="D176" s="113"/>
      <c r="E176" s="113"/>
      <c r="F176" s="113"/>
      <c r="G176" s="113"/>
      <c r="H176" s="113"/>
      <c r="I176" s="113"/>
      <c r="J176" s="113"/>
      <c r="K176" s="113"/>
      <c r="L176" s="113"/>
      <c r="M176" s="113"/>
      <c r="N176" s="113"/>
    </row>
    <row r="178" spans="2:4" x14ac:dyDescent="0.25">
      <c r="B178" s="70" t="s">
        <v>11</v>
      </c>
      <c r="C178" t="s">
        <v>193</v>
      </c>
    </row>
    <row r="180" spans="2:4" x14ac:dyDescent="0.25">
      <c r="B180" s="70" t="s">
        <v>204</v>
      </c>
      <c r="C180" s="70" t="s">
        <v>192</v>
      </c>
    </row>
    <row r="181" spans="2:4" s="2" customFormat="1" ht="30.75" customHeight="1" x14ac:dyDescent="0.25">
      <c r="B181" s="74" t="s">
        <v>189</v>
      </c>
      <c r="C181" s="2" t="s">
        <v>190</v>
      </c>
      <c r="D181" s="2" t="s">
        <v>191</v>
      </c>
    </row>
    <row r="182" spans="2:4" x14ac:dyDescent="0.25">
      <c r="B182" s="71" t="s">
        <v>190</v>
      </c>
      <c r="C182" s="4"/>
      <c r="D182" s="4"/>
    </row>
    <row r="183" spans="2:4" x14ac:dyDescent="0.25">
      <c r="B183" s="71" t="s">
        <v>191</v>
      </c>
      <c r="C183" s="4"/>
      <c r="D183" s="4"/>
    </row>
    <row r="201" spans="2:14" x14ac:dyDescent="0.25">
      <c r="B201" s="112" t="s">
        <v>184</v>
      </c>
      <c r="C201" s="113"/>
      <c r="D201" s="113"/>
      <c r="E201" s="113"/>
      <c r="F201" s="113"/>
      <c r="G201" s="113"/>
      <c r="H201" s="113"/>
      <c r="I201" s="113"/>
      <c r="J201" s="113"/>
      <c r="K201" s="113"/>
      <c r="L201" s="113"/>
      <c r="M201" s="113"/>
      <c r="N201" s="113"/>
    </row>
    <row r="203" spans="2:14" x14ac:dyDescent="0.25">
      <c r="B203" s="70" t="s">
        <v>11</v>
      </c>
      <c r="C203" t="s">
        <v>193</v>
      </c>
    </row>
    <row r="205" spans="2:14" x14ac:dyDescent="0.25">
      <c r="B205" s="70" t="s">
        <v>198</v>
      </c>
      <c r="C205" s="70" t="s">
        <v>192</v>
      </c>
    </row>
    <row r="206" spans="2:14" s="2" customFormat="1" ht="30.75" customHeight="1" x14ac:dyDescent="0.25">
      <c r="B206" s="74" t="s">
        <v>189</v>
      </c>
      <c r="C206" s="2" t="s">
        <v>190</v>
      </c>
      <c r="D206" s="2" t="s">
        <v>191</v>
      </c>
    </row>
    <row r="207" spans="2:14" x14ac:dyDescent="0.25">
      <c r="B207" s="71" t="s">
        <v>190</v>
      </c>
      <c r="C207" s="68">
        <v>0</v>
      </c>
      <c r="D207" s="68">
        <v>0</v>
      </c>
    </row>
    <row r="208" spans="2:14" x14ac:dyDescent="0.25">
      <c r="B208" s="71" t="s">
        <v>191</v>
      </c>
      <c r="C208" s="68">
        <v>0</v>
      </c>
      <c r="D208" s="68">
        <v>0</v>
      </c>
    </row>
    <row r="226" spans="2:14" x14ac:dyDescent="0.25">
      <c r="B226" s="112" t="s">
        <v>185</v>
      </c>
      <c r="C226" s="113"/>
      <c r="D226" s="113"/>
      <c r="E226" s="113"/>
      <c r="F226" s="113"/>
      <c r="G226" s="113"/>
      <c r="H226" s="113"/>
      <c r="I226" s="113"/>
      <c r="J226" s="113"/>
      <c r="K226" s="113"/>
      <c r="L226" s="113"/>
      <c r="M226" s="113"/>
      <c r="N226" s="113"/>
    </row>
    <row r="228" spans="2:14" x14ac:dyDescent="0.25">
      <c r="B228" s="70" t="s">
        <v>11</v>
      </c>
      <c r="C228" t="s">
        <v>193</v>
      </c>
    </row>
    <row r="230" spans="2:14" x14ac:dyDescent="0.25">
      <c r="B230" s="70" t="s">
        <v>200</v>
      </c>
      <c r="C230" s="70" t="s">
        <v>192</v>
      </c>
    </row>
    <row r="231" spans="2:14" s="2" customFormat="1" ht="30.75" customHeight="1" x14ac:dyDescent="0.25">
      <c r="B231" s="74" t="s">
        <v>189</v>
      </c>
      <c r="C231" s="2" t="s">
        <v>190</v>
      </c>
      <c r="D231" s="2" t="s">
        <v>191</v>
      </c>
    </row>
    <row r="232" spans="2:14" x14ac:dyDescent="0.25">
      <c r="B232" s="71" t="s">
        <v>190</v>
      </c>
      <c r="C232" s="68">
        <v>0</v>
      </c>
      <c r="D232" s="68">
        <v>0</v>
      </c>
    </row>
    <row r="233" spans="2:14" x14ac:dyDescent="0.25">
      <c r="B233" s="71" t="s">
        <v>191</v>
      </c>
      <c r="C233" s="68">
        <v>0</v>
      </c>
      <c r="D233" s="68">
        <v>0</v>
      </c>
    </row>
    <row r="251" spans="2:14" x14ac:dyDescent="0.25">
      <c r="B251" s="112" t="s">
        <v>186</v>
      </c>
      <c r="C251" s="113"/>
      <c r="D251" s="113"/>
      <c r="E251" s="113"/>
      <c r="F251" s="113"/>
      <c r="G251" s="113"/>
      <c r="H251" s="113"/>
      <c r="I251" s="113"/>
      <c r="J251" s="113"/>
      <c r="K251" s="113"/>
      <c r="L251" s="113"/>
      <c r="M251" s="113"/>
      <c r="N251" s="113"/>
    </row>
    <row r="253" spans="2:14" x14ac:dyDescent="0.25">
      <c r="B253" s="70" t="s">
        <v>11</v>
      </c>
      <c r="C253" t="s">
        <v>193</v>
      </c>
    </row>
    <row r="255" spans="2:14" x14ac:dyDescent="0.25">
      <c r="B255" s="70" t="s">
        <v>201</v>
      </c>
      <c r="C255" s="70" t="s">
        <v>192</v>
      </c>
    </row>
    <row r="256" spans="2:14" s="2" customFormat="1" ht="30.75" customHeight="1" x14ac:dyDescent="0.25">
      <c r="B256" s="74" t="s">
        <v>189</v>
      </c>
      <c r="C256" s="2" t="s">
        <v>190</v>
      </c>
      <c r="D256" s="2" t="s">
        <v>191</v>
      </c>
    </row>
    <row r="257" spans="2:4" x14ac:dyDescent="0.25">
      <c r="B257" s="71" t="s">
        <v>190</v>
      </c>
      <c r="C257" s="68">
        <v>0</v>
      </c>
      <c r="D257" s="68">
        <v>0</v>
      </c>
    </row>
    <row r="258" spans="2:4" x14ac:dyDescent="0.25">
      <c r="B258" s="71" t="s">
        <v>191</v>
      </c>
      <c r="C258" s="68">
        <v>0</v>
      </c>
      <c r="D258" s="68">
        <v>0</v>
      </c>
    </row>
  </sheetData>
  <mergeCells count="11">
    <mergeCell ref="B128:N128"/>
    <mergeCell ref="B1:N1"/>
    <mergeCell ref="B26:N26"/>
    <mergeCell ref="B50:N50"/>
    <mergeCell ref="B76:N76"/>
    <mergeCell ref="B101:N101"/>
    <mergeCell ref="B153:N153"/>
    <mergeCell ref="B176:N176"/>
    <mergeCell ref="B201:N201"/>
    <mergeCell ref="B226:N226"/>
    <mergeCell ref="B251:N251"/>
  </mergeCells>
  <pageMargins left="0.7" right="0.7" top="0.75" bottom="0.75" header="0.3" footer="0.3"/>
  <pageSetup paperSize="9" orientation="portrait" verticalDpi="0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S99"/>
  <sheetViews>
    <sheetView zoomScale="85" zoomScaleNormal="85" workbookViewId="0">
      <selection activeCell="H88" sqref="H88"/>
    </sheetView>
  </sheetViews>
  <sheetFormatPr defaultColWidth="18" defaultRowHeight="15" x14ac:dyDescent="0.25"/>
  <cols>
    <col min="2" max="2" width="18" customWidth="1"/>
    <col min="3" max="3" width="18.7109375" customWidth="1"/>
    <col min="4" max="4" width="17.85546875" bestFit="1" customWidth="1"/>
    <col min="5" max="5" width="19.28515625" bestFit="1" customWidth="1"/>
    <col min="6" max="6" width="17.42578125" bestFit="1" customWidth="1"/>
    <col min="7" max="7" width="31" bestFit="1" customWidth="1"/>
    <col min="8" max="8" width="33.28515625" customWidth="1"/>
    <col min="9" max="9" width="17.42578125" bestFit="1" customWidth="1"/>
    <col min="12" max="12" width="10.140625" bestFit="1" customWidth="1"/>
    <col min="14" max="14" width="19" bestFit="1" customWidth="1"/>
    <col min="15" max="15" width="20.7109375" bestFit="1" customWidth="1"/>
    <col min="16" max="16" width="13.5703125" bestFit="1" customWidth="1"/>
    <col min="17" max="17" width="14.140625" bestFit="1" customWidth="1"/>
    <col min="18" max="18" width="11.28515625" bestFit="1" customWidth="1"/>
    <col min="19" max="19" width="6.28515625" bestFit="1" customWidth="1"/>
  </cols>
  <sheetData>
    <row r="1" spans="2:17" x14ac:dyDescent="0.25">
      <c r="B1" s="70" t="s">
        <v>11</v>
      </c>
      <c r="C1" t="s">
        <v>193</v>
      </c>
    </row>
    <row r="2" spans="2:17" x14ac:dyDescent="0.25">
      <c r="B2" s="70" t="s">
        <v>8</v>
      </c>
      <c r="C2" t="s">
        <v>193</v>
      </c>
    </row>
    <row r="3" spans="2:17" x14ac:dyDescent="0.25">
      <c r="B3" s="70" t="s">
        <v>5</v>
      </c>
      <c r="C3" t="s">
        <v>193</v>
      </c>
    </row>
    <row r="5" spans="2:17" s="2" customFormat="1" ht="65.25" customHeight="1" x14ac:dyDescent="0.25">
      <c r="B5" s="74" t="s">
        <v>189</v>
      </c>
      <c r="C5" s="2" t="s">
        <v>194</v>
      </c>
      <c r="D5" s="2" t="s">
        <v>196</v>
      </c>
      <c r="E5" s="2" t="s">
        <v>205</v>
      </c>
      <c r="F5" s="2" t="s">
        <v>199</v>
      </c>
      <c r="G5" s="2" t="s">
        <v>206</v>
      </c>
      <c r="H5" s="2" t="s">
        <v>207</v>
      </c>
      <c r="I5" s="2" t="s">
        <v>208</v>
      </c>
    </row>
    <row r="6" spans="2:17" x14ac:dyDescent="0.25">
      <c r="B6" s="71" t="s">
        <v>190</v>
      </c>
      <c r="C6" s="72"/>
      <c r="D6" s="4"/>
      <c r="E6" s="4"/>
      <c r="F6" s="4"/>
      <c r="G6" s="4"/>
      <c r="H6" s="4"/>
      <c r="I6" s="4"/>
    </row>
    <row r="7" spans="2:17" x14ac:dyDescent="0.25">
      <c r="B7" s="73" t="s">
        <v>190</v>
      </c>
      <c r="C7" s="72"/>
      <c r="D7" s="4"/>
      <c r="E7" s="4"/>
      <c r="F7" s="4"/>
      <c r="G7" s="4"/>
      <c r="H7" s="4"/>
      <c r="I7" s="4"/>
      <c r="L7" s="3"/>
      <c r="M7" s="9">
        <f>M9+M10+M11</f>
        <v>0</v>
      </c>
      <c r="N7" s="9">
        <f>N9+N10+N11</f>
        <v>0</v>
      </c>
      <c r="O7" s="9">
        <f>ROUND((IFERROR(GETPIVOTDATA("Planned TTS Spend Amount",$B$5,"post-eval colour","green"), 0)+IFERROR(GETPIVOTDATA("Planned TTS Spend Amount",$B$5,"post-eval colour","amber"), 0)+IFERROR(GETPIVOTDATA("Planned TTS Spend Amount",$B$5,"post-eval colour","red"), 0))/1000000, 1)</f>
        <v>0</v>
      </c>
      <c r="P7" s="8"/>
      <c r="Q7" s="9">
        <f>O7</f>
        <v>0</v>
      </c>
    </row>
    <row r="8" spans="2:17" x14ac:dyDescent="0.25">
      <c r="B8" s="71" t="s">
        <v>191</v>
      </c>
      <c r="C8" s="72"/>
      <c r="D8" s="4"/>
      <c r="E8" s="4"/>
      <c r="F8" s="4"/>
      <c r="G8" s="4"/>
      <c r="H8" s="4"/>
      <c r="I8" s="4"/>
      <c r="L8" s="5" t="s">
        <v>136</v>
      </c>
      <c r="M8" s="5" t="s">
        <v>137</v>
      </c>
      <c r="N8" s="5" t="s">
        <v>138</v>
      </c>
      <c r="O8" s="5" t="s">
        <v>139</v>
      </c>
      <c r="P8" s="5" t="s">
        <v>140</v>
      </c>
    </row>
    <row r="9" spans="2:17" x14ac:dyDescent="0.25">
      <c r="H9" s="4"/>
      <c r="I9" s="4"/>
      <c r="L9" s="5" t="s">
        <v>56</v>
      </c>
      <c r="M9">
        <f>IFERROR(GETPIVOTDATA("Count of Promotion",$B$5,"post-eval colour","green"), 0)</f>
        <v>0</v>
      </c>
      <c r="N9">
        <f>ROUND(IFERROR(GETPIVOTDATA("Actual Total Spend",$B$5,"post-eval colour","green"), 0)/1000000,1)</f>
        <v>0</v>
      </c>
      <c r="O9">
        <f>ROUND(IFERROR((N9/$N$7), 0)*100,1)</f>
        <v>0</v>
      </c>
      <c r="P9">
        <f>ROUND(IFERROR((M9/$M$7), 0)*100,1)</f>
        <v>0</v>
      </c>
    </row>
    <row r="10" spans="2:17" x14ac:dyDescent="0.25">
      <c r="F10" s="4"/>
      <c r="G10" s="4"/>
      <c r="H10" s="4"/>
      <c r="I10" s="4"/>
      <c r="L10" s="5" t="s">
        <v>57</v>
      </c>
      <c r="M10">
        <f>IFERROR(GETPIVOTDATA("Count of Promotion",$B$5,"post-eval colour","amber"), 0)</f>
        <v>0</v>
      </c>
      <c r="N10">
        <f>ROUND(IFERROR(GETPIVOTDATA("Actual Total Spend",$B$5,"post-eval colour","amber"), 0)/1000000,1)</f>
        <v>0</v>
      </c>
      <c r="O10">
        <f>ROUND(IFERROR((N10/$N$7), 0)*100,1)</f>
        <v>0</v>
      </c>
      <c r="P10">
        <f>ROUND(IFERROR((M10/$M$7), 0)*100,1)</f>
        <v>0</v>
      </c>
    </row>
    <row r="11" spans="2:17" x14ac:dyDescent="0.25">
      <c r="E11" s="4"/>
      <c r="F11" s="4"/>
      <c r="G11" s="4"/>
      <c r="H11" s="4"/>
      <c r="I11" s="4"/>
      <c r="L11" s="5" t="s">
        <v>58</v>
      </c>
      <c r="M11">
        <f>IFERROR(GETPIVOTDATA("Count of Promotion",$B$5,"post-eval colour","red"), 0)</f>
        <v>0</v>
      </c>
      <c r="N11">
        <f>ROUND(IFERROR(GETPIVOTDATA("Actual Total Spend",$B$5,"post-eval colour","red"), 0)/1000000,1)</f>
        <v>0</v>
      </c>
      <c r="O11">
        <f>ROUND(IFERROR((N11/$N$7), 0)*100,1)</f>
        <v>0</v>
      </c>
      <c r="P11">
        <f>ROUND(IFERROR((M11/$M$7), 0)*100,1)</f>
        <v>0</v>
      </c>
    </row>
    <row r="12" spans="2:17" x14ac:dyDescent="0.25">
      <c r="E12" s="4"/>
      <c r="F12" s="4"/>
      <c r="G12" s="4"/>
      <c r="H12" s="4"/>
      <c r="I12" s="4"/>
    </row>
    <row r="13" spans="2:17" x14ac:dyDescent="0.25">
      <c r="E13" s="4"/>
      <c r="F13" s="4"/>
      <c r="G13" s="4"/>
      <c r="H13" s="4"/>
      <c r="I13" s="4"/>
      <c r="L13" s="5" t="s">
        <v>141</v>
      </c>
      <c r="M13" s="5" t="s">
        <v>142</v>
      </c>
      <c r="N13" s="5" t="s">
        <v>140</v>
      </c>
      <c r="O13" s="5" t="s">
        <v>143</v>
      </c>
      <c r="P13" s="5" t="s">
        <v>139</v>
      </c>
    </row>
    <row r="14" spans="2:17" x14ac:dyDescent="0.25">
      <c r="E14" s="4"/>
      <c r="F14" s="4"/>
      <c r="G14" s="4"/>
      <c r="H14" s="4"/>
      <c r="I14" s="4"/>
      <c r="L14" s="5" t="s">
        <v>56</v>
      </c>
      <c r="M14">
        <f>ROUND(IFERROR(GETPIVOTDATA("Count of Promotion",$B$5,"post-eval colour","green","colour move","green to green"), 0)+IFERROR(GETPIVOTDATA("Count of Promotion",$B$5,"post-eval colour","amber","colour move","green to amber"), 0)+IFERROR(GETPIVOTDATA("Count of Promotion",$B$5,"post-eval colour","red","colour move","green to red"), 0), 1)</f>
        <v>0</v>
      </c>
      <c r="N14">
        <f>ROUND(IFERROR((M14/M7), 0)*100,1)</f>
        <v>0</v>
      </c>
      <c r="O14">
        <f>ROUND((IFERROR(GETPIVOTDATA("Planned TTS Spend Amount",$B$5,"post-eval colour","green","colour move","green to green"), 0)+IFERROR(GETPIVOTDATA("Planned TTS Spend Amount",$B$5,"post-eval colour","amber","colour move","green to amber"), 0)+IFERROR(GETPIVOTDATA("Planned TTS Spend Amount",$B$5,"post-eval colour","red","colour move","green to red"), 0))/1000000,1)</f>
        <v>0</v>
      </c>
      <c r="P14">
        <f>ROUND(IFERROR((O14/O7), 0)*100,1)</f>
        <v>0</v>
      </c>
    </row>
    <row r="15" spans="2:17" x14ac:dyDescent="0.25">
      <c r="E15" s="4"/>
      <c r="F15" s="4"/>
      <c r="G15" s="4"/>
      <c r="H15" s="4"/>
      <c r="I15" s="4"/>
      <c r="L15" s="5" t="s">
        <v>57</v>
      </c>
      <c r="M15">
        <f>ROUND(IFERROR(GETPIVOTDATA("Count of Promotion",$B$5,"post-eval colour","green","colour move","amber to green"), 0)+IFERROR(GETPIVOTDATA("Count of Promotion",$B$5,"post-eval colour","amber","colour move","amber to amber"), 0)+IFERROR(GETPIVOTDATA("Count of Promotion",$B$5,"post-eval colour","red","colour move","amber to red"), 0),1)</f>
        <v>0</v>
      </c>
      <c r="N15">
        <f>ROUND(IFERROR((M15/M7), 0)*100,1)</f>
        <v>0</v>
      </c>
      <c r="O15">
        <f>ROUND((IFERROR(GETPIVOTDATA("Planned TTS Spend Amount",$B$5,"post-eval colour","green","colour move","amber to green"), 0)+IFERROR(GETPIVOTDATA("Planned TTS Spend Amount",$B$5,"post-eval colour","amber","colour move","amber to amber"), 0)+IFERROR(GETPIVOTDATA("Planned TTS Spend Amount",$B$5,"post-eval colour","red","colour move","amber to red"), 0))/1000000,1)</f>
        <v>0</v>
      </c>
      <c r="P15">
        <f>ROUND(IFERROR((O15/O7), 0)*100,1)</f>
        <v>0</v>
      </c>
    </row>
    <row r="16" spans="2:17" x14ac:dyDescent="0.25">
      <c r="E16" s="4"/>
      <c r="F16" s="4"/>
      <c r="G16" s="4"/>
      <c r="H16" s="4"/>
      <c r="I16" s="4"/>
      <c r="L16" s="5" t="s">
        <v>58</v>
      </c>
      <c r="M16">
        <f>ROUND(IFERROR(GETPIVOTDATA("Count of Promotion",$B$5,"post-eval colour","green","colour move","red to green"), 0)+IFERROR(GETPIVOTDATA("Count of Promotion",$B$5,"post-eval colour","amber","colour move","red to amber"), 0)+IFERROR(GETPIVOTDATA("Count of Promotion",$B$5,"post-eval colour","red","colour move","red to red"), 0),1)</f>
        <v>0</v>
      </c>
      <c r="N16">
        <f>ROUND(IFERROR((M16/M7), 0)*100,1)</f>
        <v>0</v>
      </c>
      <c r="O16">
        <f>ROUND((IFERROR(GETPIVOTDATA("Planned TTS Spend Amount",$B$5,"post-eval colour","green","colour move","red to green"), 0)+IFERROR(GETPIVOTDATA("Planned TTS Spend Amount",$B$5,"post-eval colour","amber","colour move","red to amber"),0)+IFERROR(GETPIVOTDATA("Planned TTS Spend Amount",$B$5,"post-eval colour","red","colour move","red to red"), 0))/1000000,1)</f>
        <v>0</v>
      </c>
      <c r="P16">
        <f>ROUND(IFERROR((O16/O7), 0)*100,1)</f>
        <v>0</v>
      </c>
    </row>
    <row r="17" spans="5:19" x14ac:dyDescent="0.25">
      <c r="E17" s="4"/>
      <c r="F17" s="4"/>
      <c r="G17" s="4"/>
      <c r="H17" s="4"/>
      <c r="I17" s="4"/>
    </row>
    <row r="18" spans="5:19" x14ac:dyDescent="0.25">
      <c r="E18" s="4"/>
      <c r="F18" s="4"/>
      <c r="G18" s="4"/>
      <c r="H18" s="4"/>
      <c r="I18" s="4"/>
      <c r="M18" s="5" t="s">
        <v>144</v>
      </c>
      <c r="N18" s="5" t="s">
        <v>145</v>
      </c>
      <c r="O18" s="5" t="s">
        <v>146</v>
      </c>
      <c r="P18" s="5" t="s">
        <v>147</v>
      </c>
      <c r="Q18" s="5" t="s">
        <v>148</v>
      </c>
      <c r="R18" s="5" t="s">
        <v>149</v>
      </c>
      <c r="S18" s="7" t="s">
        <v>150</v>
      </c>
    </row>
    <row r="19" spans="5:19" x14ac:dyDescent="0.25">
      <c r="E19" s="4"/>
      <c r="F19" s="4"/>
      <c r="G19" s="4"/>
      <c r="H19" s="4"/>
      <c r="I19" s="4"/>
      <c r="L19" s="5" t="s">
        <v>151</v>
      </c>
      <c r="M19">
        <f>IFERROR(GETPIVOTDATA("Count of Promotion",$B$5,"post-eval colour","green","colour move","green to green"), 0)</f>
        <v>0</v>
      </c>
      <c r="N19">
        <f>IFERROR(GETPIVOTDATA("Count of Promotion",$B$5,"post-eval colour","amber","colour move","green to amber"), 0)</f>
        <v>0</v>
      </c>
      <c r="O19">
        <f>IFERROR(GETPIVOTDATA("Count of Promotion",$B$5,"post-eval colour","red","colour move","green to red"), 0)</f>
        <v>0</v>
      </c>
      <c r="P19">
        <f>ROUND(IFERROR((M19/M14), 0)*100,1)</f>
        <v>0</v>
      </c>
      <c r="Q19">
        <f>ROUND(IFERROR((N19/M14), 0)*100,1)</f>
        <v>0</v>
      </c>
      <c r="R19">
        <f>ROUND(IFERROR((O19/M14), 0)*100,1)</f>
        <v>0</v>
      </c>
      <c r="S19" s="6">
        <f>SUM(P19:R19)</f>
        <v>0</v>
      </c>
    </row>
    <row r="20" spans="5:19" x14ac:dyDescent="0.25">
      <c r="E20" s="4"/>
      <c r="F20" s="4"/>
      <c r="G20" s="4"/>
      <c r="H20" s="4"/>
      <c r="I20" s="4"/>
      <c r="L20" s="5" t="s">
        <v>152</v>
      </c>
      <c r="M20">
        <f>IFERROR(GETPIVOTDATA("Count of Promotion",$B$5,"post-eval colour","green","colour move","amber to green"), 0)</f>
        <v>0</v>
      </c>
      <c r="N20">
        <f>IFERROR(GETPIVOTDATA("Count of Promotion",$B$5,"post-eval colour","amber","colour move","amber to amber"), 0)</f>
        <v>0</v>
      </c>
      <c r="O20">
        <f>IFERROR(GETPIVOTDATA("Count of Promotion",$B$5,"post-eval colour","red","colour move","amber to red"), 0)</f>
        <v>0</v>
      </c>
      <c r="P20">
        <f>ROUND(IFERROR((M20/M15), 0)*100,1)</f>
        <v>0</v>
      </c>
      <c r="Q20">
        <f>ROUND(IFERROR((N20/M15), 0)*100,1)</f>
        <v>0</v>
      </c>
      <c r="R20">
        <f>ROUND(IFERROR((O20/M15), 0)*100,1)</f>
        <v>0</v>
      </c>
      <c r="S20" s="6">
        <f>SUM(P20:R20)</f>
        <v>0</v>
      </c>
    </row>
    <row r="21" spans="5:19" x14ac:dyDescent="0.25">
      <c r="E21" s="4"/>
      <c r="F21" s="4"/>
      <c r="G21" s="4"/>
      <c r="H21" s="4"/>
      <c r="I21" s="4"/>
      <c r="L21" s="5" t="s">
        <v>153</v>
      </c>
      <c r="M21">
        <f>IFERROR(GETPIVOTDATA("Count of Promotion",$B$5,"post-eval colour","green","colour move","red to green"), 0)</f>
        <v>0</v>
      </c>
      <c r="N21">
        <f>IFERROR(GETPIVOTDATA("Count of Promotion",$B$5,"post-eval colour","amber","colour move","red to amber"), 0)</f>
        <v>0</v>
      </c>
      <c r="O21">
        <f>IFERROR(GETPIVOTDATA("Count of Promotion",$B$5,"post-eval colour","red","colour move","red to red"), 0)</f>
        <v>0</v>
      </c>
      <c r="P21">
        <f>ROUND(IFERROR((M21/M16), 0)*100,1)</f>
        <v>0</v>
      </c>
      <c r="Q21">
        <f>ROUND(IFERROR((N21/M16), 0)*100,1)</f>
        <v>0</v>
      </c>
      <c r="R21">
        <f>ROUND(IFERROR((O21/M16), 0)*100,1)</f>
        <v>0</v>
      </c>
      <c r="S21" s="6">
        <f>SUM(P21:R21)</f>
        <v>0</v>
      </c>
    </row>
    <row r="80" spans="2:8" x14ac:dyDescent="0.25">
      <c r="B80" s="116" t="s">
        <v>187</v>
      </c>
      <c r="C80" s="116"/>
      <c r="D80" s="116"/>
      <c r="E80" s="116"/>
      <c r="F80" s="116"/>
      <c r="G80" s="116"/>
      <c r="H80" s="116"/>
    </row>
    <row r="81" spans="2:8" x14ac:dyDescent="0.25">
      <c r="B81" s="116"/>
      <c r="C81" s="116"/>
      <c r="D81" s="116"/>
      <c r="E81" s="116"/>
      <c r="F81" s="116"/>
      <c r="G81" s="116"/>
      <c r="H81" s="116"/>
    </row>
    <row r="82" spans="2:8" ht="20.25" customHeight="1" x14ac:dyDescent="0.5">
      <c r="B82" s="10"/>
      <c r="C82" s="11"/>
      <c r="D82" s="11"/>
      <c r="E82" s="11"/>
      <c r="F82" s="11"/>
      <c r="G82" s="11"/>
      <c r="H82" s="11"/>
    </row>
    <row r="83" spans="2:8" x14ac:dyDescent="0.25">
      <c r="B83" s="126" t="str">
        <f>"Actuals - Evaluated Spend £"&amp;N7&amp;"m"</f>
        <v>Actuals - Evaluated Spend £0m</v>
      </c>
      <c r="C83" s="127"/>
      <c r="D83" s="117"/>
      <c r="E83" s="118"/>
      <c r="F83" s="119"/>
      <c r="G83" s="126" t="s">
        <v>188</v>
      </c>
      <c r="H83" s="128"/>
    </row>
    <row r="84" spans="2:8" x14ac:dyDescent="0.25">
      <c r="B84" s="114" t="str">
        <f>C3&amp;" Customer &amp; "&amp;C2&amp;" Category"</f>
        <v>(All) Customer &amp; (All) Category</v>
      </c>
      <c r="C84" s="115"/>
      <c r="D84" s="120"/>
      <c r="E84" s="121"/>
      <c r="F84" s="122"/>
      <c r="G84" s="114" t="str">
        <f>C3&amp;" Customer &amp; "&amp;C2&amp;" Category"</f>
        <v>(All) Customer &amp; (All) Category</v>
      </c>
      <c r="H84" s="115"/>
    </row>
    <row r="85" spans="2:8" x14ac:dyDescent="0.25">
      <c r="B85" s="75" t="s">
        <v>154</v>
      </c>
      <c r="C85" s="76" t="s">
        <v>155</v>
      </c>
      <c r="D85" s="120"/>
      <c r="E85" s="121"/>
      <c r="F85" s="122"/>
      <c r="G85" s="88"/>
      <c r="H85" s="89"/>
    </row>
    <row r="86" spans="2:8" x14ac:dyDescent="0.25">
      <c r="B86" s="77" t="str">
        <f>M9&amp;" ("&amp;P9&amp;"%) of promos"</f>
        <v>0 (0%) of promos</v>
      </c>
      <c r="C86" s="78"/>
      <c r="D86" s="120"/>
      <c r="E86" s="121"/>
      <c r="F86" s="122"/>
      <c r="G86" s="90"/>
      <c r="H86" s="91" t="str">
        <f>M19&amp;" promos, "&amp;P19&amp; "%, were actually green"</f>
        <v>0 promos, 0%, were actually green</v>
      </c>
    </row>
    <row r="87" spans="2:8" x14ac:dyDescent="0.25">
      <c r="B87" s="79" t="str">
        <f>"£"&amp;N9&amp;"m ("&amp;O9&amp;"%) of evaluated spend"</f>
        <v>£0m (0%) of evaluated spend</v>
      </c>
      <c r="C87" s="80"/>
      <c r="D87" s="120"/>
      <c r="E87" s="121"/>
      <c r="F87" s="122"/>
      <c r="G87" s="92" t="str">
        <f>"of "&amp;M14&amp;" green promos planned"</f>
        <v>of 0 green promos planned</v>
      </c>
      <c r="H87" s="93" t="str">
        <f>N19&amp;" promos, "&amp;Q19&amp; "%, were actually amber"</f>
        <v>0 promos, 0%, were actually amber</v>
      </c>
    </row>
    <row r="88" spans="2:8" x14ac:dyDescent="0.25">
      <c r="B88" s="81" t="s">
        <v>156</v>
      </c>
      <c r="C88" s="82" t="s">
        <v>157</v>
      </c>
      <c r="D88" s="120"/>
      <c r="E88" s="121"/>
      <c r="F88" s="122"/>
      <c r="G88" s="90"/>
      <c r="H88" s="94" t="str">
        <f>O19&amp;" promos, "&amp;R19&amp; "%, were actually red"</f>
        <v>0 promos, 0%, were actually red</v>
      </c>
    </row>
    <row r="89" spans="2:8" x14ac:dyDescent="0.25">
      <c r="B89" s="83" t="str">
        <f>M10&amp;" ("&amp;P10&amp;"%) of promos"</f>
        <v>0 (0%) of promos</v>
      </c>
      <c r="C89" s="84" t="str">
        <f>M11&amp;" ("&amp;P11&amp;"%) of promos"</f>
        <v>0 (0%) of promos</v>
      </c>
      <c r="D89" s="120"/>
      <c r="E89" s="121"/>
      <c r="F89" s="122"/>
      <c r="G89" s="90"/>
      <c r="H89" s="95"/>
    </row>
    <row r="90" spans="2:8" x14ac:dyDescent="0.25">
      <c r="B90" s="85" t="str">
        <f>"£"&amp;N10&amp;"m ("&amp;O10&amp;"%) of evaluated spend"</f>
        <v>£0m (0%) of evaluated spend</v>
      </c>
      <c r="C90" s="86" t="str">
        <f>"£"&amp;N11&amp;"m ("&amp;O11&amp;"%) of evaluated spend"</f>
        <v>£0m (0%) of evaluated spend</v>
      </c>
      <c r="D90" s="120"/>
      <c r="E90" s="121"/>
      <c r="F90" s="122"/>
      <c r="G90" s="90"/>
      <c r="H90" s="91" t="str">
        <f>M20&amp;" promos, "&amp;P20&amp; "%, were actually green"</f>
        <v>0 promos, 0%, were actually green</v>
      </c>
    </row>
    <row r="91" spans="2:8" x14ac:dyDescent="0.25">
      <c r="B91" s="87"/>
      <c r="C91" s="87"/>
      <c r="D91" s="120"/>
      <c r="E91" s="121"/>
      <c r="F91" s="122"/>
      <c r="G91" s="96" t="str">
        <f>"of "&amp;M15&amp;" amber promos planned"</f>
        <v>of 0 amber promos planned</v>
      </c>
      <c r="H91" s="93" t="str">
        <f>N20&amp;" promos, "&amp;Q20&amp; "%, were actually amber"</f>
        <v>0 promos, 0%, were actually amber</v>
      </c>
    </row>
    <row r="92" spans="2:8" x14ac:dyDescent="0.25">
      <c r="B92" s="126" t="str">
        <f>"Pre-Evaluation - Evaluated Spend £"&amp;Q7&amp;"m"</f>
        <v>Pre-Evaluation - Evaluated Spend £0m</v>
      </c>
      <c r="C92" s="127"/>
      <c r="D92" s="120"/>
      <c r="E92" s="121"/>
      <c r="F92" s="122"/>
      <c r="G92" s="90"/>
      <c r="H92" s="94" t="str">
        <f>O20&amp;" promos, "&amp;R20&amp; "%, were actually red"</f>
        <v>0 promos, 0%, were actually red</v>
      </c>
    </row>
    <row r="93" spans="2:8" x14ac:dyDescent="0.25">
      <c r="B93" s="114" t="str">
        <f>IFERROR(GETPIVOTDATA("Count of Promotion",$B$5,"post-eval colour","green","colour move","green to green"), 0)&amp;" Customer &amp; "&amp;IFERROR(GETPIVOTDATA("Count of Promotion",$B$5,"post-eval colour","green","colour move","green to amber"), 0)&amp;" Category"</f>
        <v>0 Customer &amp; 0 Category</v>
      </c>
      <c r="C93" s="115"/>
      <c r="D93" s="120"/>
      <c r="E93" s="121"/>
      <c r="F93" s="122"/>
      <c r="G93" s="90"/>
      <c r="H93" s="95"/>
    </row>
    <row r="94" spans="2:8" x14ac:dyDescent="0.25">
      <c r="B94" s="75" t="s">
        <v>154</v>
      </c>
      <c r="C94" s="76" t="s">
        <v>155</v>
      </c>
      <c r="D94" s="120"/>
      <c r="E94" s="121"/>
      <c r="F94" s="122"/>
      <c r="G94" s="90"/>
      <c r="H94" s="91" t="str">
        <f>M21&amp;" promos, "&amp;P21&amp; "%, were actually green"</f>
        <v>0 promos, 0%, were actually green</v>
      </c>
    </row>
    <row r="95" spans="2:8" x14ac:dyDescent="0.25">
      <c r="B95" s="77" t="str">
        <f>M14&amp;" ("&amp;N14&amp;"%) of promos"</f>
        <v>0 (0%) of promos</v>
      </c>
      <c r="C95" s="78"/>
      <c r="D95" s="120"/>
      <c r="E95" s="121"/>
      <c r="F95" s="122"/>
      <c r="G95" s="97" t="str">
        <f>"of "&amp;M16&amp;" red promos planned"</f>
        <v>of 0 red promos planned</v>
      </c>
      <c r="H95" s="93" t="str">
        <f>N21&amp;" promos, "&amp;Q21&amp; "%, were actually amber"</f>
        <v>0 promos, 0%, were actually amber</v>
      </c>
    </row>
    <row r="96" spans="2:8" x14ac:dyDescent="0.25">
      <c r="B96" s="79" t="str">
        <f>"£"&amp;O14&amp;"m ("&amp;P14&amp;"%) of evaluated spend"</f>
        <v>£0m (0%) of evaluated spend</v>
      </c>
      <c r="C96" s="80"/>
      <c r="D96" s="120"/>
      <c r="E96" s="121"/>
      <c r="F96" s="122"/>
      <c r="G96" s="90"/>
      <c r="H96" s="94" t="str">
        <f>O21&amp;" promos, "&amp;R21&amp; "%, were actually red"</f>
        <v>0 promos, 0%, were actually red</v>
      </c>
    </row>
    <row r="97" spans="2:8" x14ac:dyDescent="0.25">
      <c r="B97" s="81" t="s">
        <v>156</v>
      </c>
      <c r="C97" s="82" t="s">
        <v>157</v>
      </c>
      <c r="D97" s="120"/>
      <c r="E97" s="121"/>
      <c r="F97" s="122"/>
      <c r="G97" s="98">
        <f>IFERROR((M19+N20+O21)/SUM(M19:O21), 0)</f>
        <v>0</v>
      </c>
      <c r="H97" s="99" t="s">
        <v>158</v>
      </c>
    </row>
    <row r="98" spans="2:8" x14ac:dyDescent="0.25">
      <c r="B98" s="83" t="str">
        <f>M15&amp;" ("&amp;N15&amp;"%) of promos"</f>
        <v>0 (0%) of promos</v>
      </c>
      <c r="C98" s="84" t="str">
        <f>M16&amp;" ("&amp;N16&amp;"%) of promos"</f>
        <v>0 (0%) of promos</v>
      </c>
      <c r="D98" s="120"/>
      <c r="E98" s="121"/>
      <c r="F98" s="122"/>
      <c r="G98" s="98">
        <f>IFERROR((M20+M21+N21)/SUM(M19:O21), 0)</f>
        <v>0</v>
      </c>
      <c r="H98" s="99" t="s">
        <v>159</v>
      </c>
    </row>
    <row r="99" spans="2:8" x14ac:dyDescent="0.25">
      <c r="B99" s="85" t="str">
        <f>"£"&amp;O15&amp;"m ("&amp;P15&amp;"%) of evaluated spend"</f>
        <v>£0m (0%) of evaluated spend</v>
      </c>
      <c r="C99" s="86" t="str">
        <f>"£"&amp;O16&amp;"m ("&amp;P16&amp;"%) of evaluated spend"</f>
        <v>£0m (0%) of evaluated spend</v>
      </c>
      <c r="D99" s="123"/>
      <c r="E99" s="124"/>
      <c r="F99" s="125"/>
      <c r="G99" s="100">
        <f>IFERROR((N19+O19+O20)/SUM(M19:O21), 0)</f>
        <v>0</v>
      </c>
      <c r="H99" s="101" t="s">
        <v>160</v>
      </c>
    </row>
  </sheetData>
  <mergeCells count="8">
    <mergeCell ref="B93:C93"/>
    <mergeCell ref="B80:H81"/>
    <mergeCell ref="D83:F99"/>
    <mergeCell ref="B83:C83"/>
    <mergeCell ref="G83:H83"/>
    <mergeCell ref="B84:C84"/>
    <mergeCell ref="G84:H84"/>
    <mergeCell ref="B92:C92"/>
  </mergeCells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"/>
  <sheetViews>
    <sheetView tabSelected="1" workbookViewId="0">
      <selection activeCell="G13" sqref="G13"/>
    </sheetView>
  </sheetViews>
  <sheetFormatPr defaultRowHeight="15" x14ac:dyDescent="0.25"/>
  <cols>
    <col min="2" max="2" width="10.28515625" bestFit="1" customWidth="1"/>
  </cols>
  <sheetData>
    <row r="2" spans="1:3" x14ac:dyDescent="0.25">
      <c r="A2" s="41" t="s">
        <v>161</v>
      </c>
      <c r="B2" s="42">
        <f>IFERROR(GETPIVOTDATA("ROI%",Pivot!$B$5), 0)</f>
        <v>0</v>
      </c>
    </row>
    <row r="3" spans="1:3" x14ac:dyDescent="0.25">
      <c r="A3" s="43" t="s">
        <v>162</v>
      </c>
      <c r="B3" s="44">
        <f>IFERROR(GETPIVOTDATA("PRE-EVAL ROI%",Pivot!$B$80), 0)</f>
        <v>0</v>
      </c>
    </row>
    <row r="4" spans="1:3" x14ac:dyDescent="0.25">
      <c r="A4" s="43" t="s">
        <v>35</v>
      </c>
      <c r="B4" s="44">
        <f>IFERROR(GETPIVOTDATA("ROI% ACTUALS 'v' PRE-EVALUATION",Pivot!$B$105), 0)</f>
        <v>0</v>
      </c>
    </row>
    <row r="5" spans="1:3" x14ac:dyDescent="0.25">
      <c r="A5" s="43" t="s">
        <v>163</v>
      </c>
      <c r="B5" s="44">
        <f>IFERROR(GETPIVOTDATA("% SPEND COVERAGE",Pivot!$B$130), 0)</f>
        <v>0</v>
      </c>
    </row>
    <row r="6" spans="1:3" x14ac:dyDescent="0.25">
      <c r="A6" s="43" t="s">
        <v>164</v>
      </c>
      <c r="B6" s="44">
        <f>IFERROR(GETPIVOTDATA("% PROMO COVERAGE",Pivot!$B$155), 0)</f>
        <v>0</v>
      </c>
    </row>
    <row r="7" spans="1:3" x14ac:dyDescent="0.25">
      <c r="A7" s="43" t="s">
        <v>165</v>
      </c>
      <c r="B7" s="45">
        <f>'Promo Colour Matrix'!O11</f>
        <v>0</v>
      </c>
      <c r="C7" s="40" t="str">
        <f>'Promo Colour Matrix'!C90</f>
        <v>£0m (0%) of evaluated spend</v>
      </c>
    </row>
    <row r="8" spans="1:3" x14ac:dyDescent="0.25">
      <c r="A8" s="43" t="s">
        <v>166</v>
      </c>
      <c r="B8" s="45">
        <f>'Promo Colour Matrix'!O10</f>
        <v>0</v>
      </c>
      <c r="C8" s="40" t="str">
        <f>'Promo Colour Matrix'!B90</f>
        <v>£0m (0%) of evaluated spend</v>
      </c>
    </row>
    <row r="9" spans="1:3" x14ac:dyDescent="0.25">
      <c r="A9" s="43" t="s">
        <v>167</v>
      </c>
      <c r="B9" s="45">
        <f>'Promo Colour Matrix'!O9</f>
        <v>0</v>
      </c>
      <c r="C9" s="40" t="str">
        <f>'Promo Colour Matrix'!B87</f>
        <v>£0m (0%) of evaluated spend</v>
      </c>
    </row>
    <row r="10" spans="1:3" x14ac:dyDescent="0.25">
      <c r="A10" s="43" t="s">
        <v>168</v>
      </c>
      <c r="B10" s="46">
        <f>'Data for Pivots'!BQ2</f>
        <v>0</v>
      </c>
    </row>
    <row r="11" spans="1:3" x14ac:dyDescent="0.25">
      <c r="A11" s="43" t="s">
        <v>169</v>
      </c>
      <c r="B11" s="46">
        <f>'Data for Pivots'!BN2</f>
        <v>0</v>
      </c>
    </row>
    <row r="12" spans="1:3" x14ac:dyDescent="0.25">
      <c r="A12" s="43" t="s">
        <v>170</v>
      </c>
      <c r="B12" s="46">
        <f>'Data for Pivots'!BO2</f>
        <v>0</v>
      </c>
    </row>
    <row r="13" spans="1:3" x14ac:dyDescent="0.25">
      <c r="A13" s="43" t="s">
        <v>171</v>
      </c>
      <c r="B13" s="46">
        <f>'Data for Pivots'!AC1</f>
        <v>0</v>
      </c>
    </row>
    <row r="14" spans="1:3" x14ac:dyDescent="0.25">
      <c r="A14" s="43" t="s">
        <v>172</v>
      </c>
      <c r="B14" s="46">
        <f>'Data for Pivots'!AE1</f>
        <v>0</v>
      </c>
    </row>
    <row r="15" spans="1:3" x14ac:dyDescent="0.25">
      <c r="A15" s="43" t="s">
        <v>173</v>
      </c>
      <c r="B15" s="46">
        <f>'Data for Pivots'!AA1</f>
        <v>0</v>
      </c>
    </row>
    <row r="16" spans="1:3" x14ac:dyDescent="0.25">
      <c r="A16" s="43" t="s">
        <v>174</v>
      </c>
      <c r="B16" s="47">
        <f>'Promo ID Data'!CG1</f>
        <v>0</v>
      </c>
    </row>
    <row r="17" spans="1:2" x14ac:dyDescent="0.25">
      <c r="A17" s="48" t="s">
        <v>175</v>
      </c>
      <c r="B17" s="49">
        <f>'Promo ID Data'!CW1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58"/>
  <sheetViews>
    <sheetView topLeftCell="A304" workbookViewId="0">
      <selection activeCell="B253" sqref="B253:D258"/>
    </sheetView>
  </sheetViews>
  <sheetFormatPr defaultColWidth="7.85546875" defaultRowHeight="15" x14ac:dyDescent="0.25"/>
  <cols>
    <col min="2" max="2" width="17.85546875" customWidth="1"/>
    <col min="3" max="3" width="16.28515625" customWidth="1"/>
    <col min="4" max="5" width="11.28515625" customWidth="1"/>
    <col min="6" max="7" width="32.28515625" bestFit="1" customWidth="1"/>
    <col min="8" max="8" width="20.28515625" bestFit="1" customWidth="1"/>
  </cols>
  <sheetData>
    <row r="1" spans="2:14" x14ac:dyDescent="0.25">
      <c r="B1" s="112" t="s">
        <v>176</v>
      </c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</row>
    <row r="7" spans="2:14" x14ac:dyDescent="0.25">
      <c r="B7" s="71"/>
      <c r="C7" s="68"/>
      <c r="D7" s="68"/>
    </row>
    <row r="8" spans="2:14" x14ac:dyDescent="0.25">
      <c r="B8" s="71"/>
      <c r="C8" s="68"/>
      <c r="D8" s="68"/>
    </row>
    <row r="26" spans="2:14" x14ac:dyDescent="0.25">
      <c r="B26" s="112" t="s">
        <v>177</v>
      </c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</row>
    <row r="32" spans="2:14" x14ac:dyDescent="0.25">
      <c r="B32" s="71"/>
      <c r="C32" s="4"/>
      <c r="D32" s="4"/>
    </row>
    <row r="33" spans="2:4" x14ac:dyDescent="0.25">
      <c r="B33" s="71"/>
      <c r="C33" s="4"/>
      <c r="D33" s="4"/>
    </row>
    <row r="50" spans="2:14" x14ac:dyDescent="0.25">
      <c r="B50" s="112" t="s">
        <v>178</v>
      </c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</row>
    <row r="56" spans="2:14" x14ac:dyDescent="0.25">
      <c r="B56" s="71"/>
      <c r="C56" s="4"/>
      <c r="D56" s="4"/>
      <c r="E56" s="4"/>
      <c r="F56" s="68"/>
    </row>
    <row r="57" spans="2:14" x14ac:dyDescent="0.25">
      <c r="B57" s="71"/>
      <c r="C57" s="4"/>
      <c r="D57" s="4"/>
      <c r="E57" s="4"/>
      <c r="F57" s="68"/>
    </row>
    <row r="76" spans="2:14" x14ac:dyDescent="0.25">
      <c r="B76" s="112" t="s">
        <v>179</v>
      </c>
      <c r="C76" s="113"/>
      <c r="D76" s="113"/>
      <c r="E76" s="113"/>
      <c r="F76" s="113"/>
      <c r="G76" s="113"/>
      <c r="H76" s="113"/>
      <c r="I76" s="113"/>
      <c r="J76" s="113"/>
      <c r="K76" s="113"/>
      <c r="L76" s="113"/>
      <c r="M76" s="113"/>
      <c r="N76" s="113"/>
    </row>
    <row r="82" spans="2:4" x14ac:dyDescent="0.25">
      <c r="B82" s="71"/>
      <c r="C82" s="68"/>
      <c r="D82" s="68"/>
    </row>
    <row r="83" spans="2:4" x14ac:dyDescent="0.25">
      <c r="B83" s="71"/>
      <c r="C83" s="68"/>
      <c r="D83" s="68"/>
    </row>
    <row r="101" spans="2:14" x14ac:dyDescent="0.25">
      <c r="B101" s="112" t="s">
        <v>180</v>
      </c>
      <c r="C101" s="113"/>
      <c r="D101" s="113"/>
      <c r="E101" s="113"/>
      <c r="F101" s="113"/>
      <c r="G101" s="113"/>
      <c r="H101" s="113"/>
      <c r="I101" s="113"/>
      <c r="J101" s="113"/>
      <c r="K101" s="113"/>
      <c r="L101" s="113"/>
      <c r="M101" s="113"/>
      <c r="N101" s="113"/>
    </row>
    <row r="107" spans="2:14" x14ac:dyDescent="0.25">
      <c r="B107" s="71"/>
      <c r="C107" s="68"/>
      <c r="D107" s="68"/>
    </row>
    <row r="108" spans="2:14" x14ac:dyDescent="0.25">
      <c r="B108" s="71"/>
      <c r="C108" s="68"/>
      <c r="D108" s="68"/>
    </row>
    <row r="128" spans="2:14" x14ac:dyDescent="0.25">
      <c r="B128" s="112" t="s">
        <v>181</v>
      </c>
      <c r="C128" s="113"/>
      <c r="D128" s="113"/>
      <c r="E128" s="113"/>
      <c r="F128" s="113"/>
      <c r="G128" s="113"/>
      <c r="H128" s="113"/>
      <c r="I128" s="113"/>
      <c r="J128" s="113"/>
      <c r="K128" s="113"/>
      <c r="L128" s="113"/>
      <c r="M128" s="113"/>
      <c r="N128" s="113"/>
    </row>
    <row r="132" spans="2:4" x14ac:dyDescent="0.25">
      <c r="B132" s="71"/>
      <c r="C132" s="68"/>
      <c r="D132" s="68"/>
    </row>
    <row r="133" spans="2:4" x14ac:dyDescent="0.25">
      <c r="B133" s="71"/>
      <c r="C133" s="68"/>
      <c r="D133" s="68"/>
    </row>
    <row r="153" spans="2:14" x14ac:dyDescent="0.25">
      <c r="B153" s="112" t="s">
        <v>182</v>
      </c>
      <c r="C153" s="113"/>
      <c r="D153" s="113"/>
      <c r="E153" s="113"/>
      <c r="F153" s="113"/>
      <c r="G153" s="113"/>
      <c r="H153" s="113"/>
      <c r="I153" s="113"/>
      <c r="J153" s="113"/>
      <c r="K153" s="113"/>
      <c r="L153" s="113"/>
      <c r="M153" s="113"/>
      <c r="N153" s="113"/>
    </row>
    <row r="157" spans="2:14" x14ac:dyDescent="0.25">
      <c r="B157" s="71"/>
      <c r="C157" s="68"/>
      <c r="D157" s="68"/>
    </row>
    <row r="158" spans="2:14" x14ac:dyDescent="0.25">
      <c r="B158" s="71"/>
      <c r="C158" s="68"/>
      <c r="D158" s="68"/>
    </row>
    <row r="176" spans="2:14" x14ac:dyDescent="0.25">
      <c r="B176" s="113" t="s">
        <v>183</v>
      </c>
      <c r="C176" s="113"/>
      <c r="D176" s="113"/>
      <c r="E176" s="113"/>
      <c r="F176" s="113"/>
      <c r="G176" s="113"/>
      <c r="H176" s="113"/>
      <c r="I176" s="113"/>
      <c r="J176" s="113"/>
      <c r="K176" s="113"/>
      <c r="L176" s="113"/>
      <c r="M176" s="113"/>
      <c r="N176" s="113"/>
    </row>
    <row r="182" spans="2:4" x14ac:dyDescent="0.25">
      <c r="B182" s="71"/>
      <c r="C182" s="4"/>
      <c r="D182" s="4"/>
    </row>
    <row r="183" spans="2:4" x14ac:dyDescent="0.25">
      <c r="B183" s="71"/>
      <c r="C183" s="4"/>
      <c r="D183" s="4"/>
    </row>
    <row r="201" spans="2:14" x14ac:dyDescent="0.25">
      <c r="B201" s="112" t="s">
        <v>184</v>
      </c>
      <c r="C201" s="113"/>
      <c r="D201" s="113"/>
      <c r="E201" s="113"/>
      <c r="F201" s="113"/>
      <c r="G201" s="113"/>
      <c r="H201" s="113"/>
      <c r="I201" s="113"/>
      <c r="J201" s="113"/>
      <c r="K201" s="113"/>
      <c r="L201" s="113"/>
      <c r="M201" s="113"/>
      <c r="N201" s="113"/>
    </row>
    <row r="203" spans="2:14" x14ac:dyDescent="0.25">
      <c r="B203" s="70" t="s">
        <v>11</v>
      </c>
      <c r="C203" t="s">
        <v>193</v>
      </c>
    </row>
    <row r="205" spans="2:14" x14ac:dyDescent="0.25">
      <c r="B205" s="70" t="s">
        <v>198</v>
      </c>
      <c r="C205" s="70" t="s">
        <v>192</v>
      </c>
    </row>
    <row r="206" spans="2:14" x14ac:dyDescent="0.25">
      <c r="B206" s="70" t="s">
        <v>189</v>
      </c>
      <c r="C206" t="s">
        <v>190</v>
      </c>
      <c r="D206" t="s">
        <v>191</v>
      </c>
    </row>
    <row r="207" spans="2:14" x14ac:dyDescent="0.25">
      <c r="B207" s="71" t="s">
        <v>190</v>
      </c>
      <c r="C207" s="68">
        <v>0</v>
      </c>
      <c r="D207" s="68">
        <v>0</v>
      </c>
    </row>
    <row r="208" spans="2:14" x14ac:dyDescent="0.25">
      <c r="B208" s="71" t="s">
        <v>191</v>
      </c>
      <c r="C208" s="68">
        <v>0</v>
      </c>
      <c r="D208" s="68">
        <v>0</v>
      </c>
    </row>
    <row r="226" spans="2:14" x14ac:dyDescent="0.25">
      <c r="B226" s="112" t="s">
        <v>185</v>
      </c>
      <c r="C226" s="113"/>
      <c r="D226" s="113"/>
      <c r="E226" s="113"/>
      <c r="F226" s="113"/>
      <c r="G226" s="113"/>
      <c r="H226" s="113"/>
      <c r="I226" s="113"/>
      <c r="J226" s="113"/>
      <c r="K226" s="113"/>
      <c r="L226" s="113"/>
      <c r="M226" s="113"/>
      <c r="N226" s="113"/>
    </row>
    <row r="232" spans="2:14" x14ac:dyDescent="0.25">
      <c r="B232" s="71"/>
      <c r="C232" s="68"/>
      <c r="D232" s="68"/>
    </row>
    <row r="233" spans="2:14" x14ac:dyDescent="0.25">
      <c r="B233" s="71"/>
      <c r="C233" s="68"/>
      <c r="D233" s="68"/>
    </row>
    <row r="251" spans="2:14" x14ac:dyDescent="0.25">
      <c r="B251" s="112" t="s">
        <v>186</v>
      </c>
      <c r="C251" s="113"/>
      <c r="D251" s="113"/>
      <c r="E251" s="113"/>
      <c r="F251" s="113"/>
      <c r="G251" s="113"/>
      <c r="H251" s="113"/>
      <c r="I251" s="113"/>
      <c r="J251" s="113"/>
      <c r="K251" s="113"/>
      <c r="L251" s="113"/>
      <c r="M251" s="113"/>
      <c r="N251" s="113"/>
    </row>
    <row r="257" spans="2:4" x14ac:dyDescent="0.25">
      <c r="B257" s="71"/>
      <c r="C257" s="68"/>
      <c r="D257" s="68"/>
    </row>
    <row r="258" spans="2:4" x14ac:dyDescent="0.25">
      <c r="B258" s="71"/>
      <c r="C258" s="68"/>
      <c r="D258" s="68"/>
    </row>
  </sheetData>
  <mergeCells count="11">
    <mergeCell ref="B128:N128"/>
    <mergeCell ref="B1:N1"/>
    <mergeCell ref="B26:N26"/>
    <mergeCell ref="B50:N50"/>
    <mergeCell ref="B76:N76"/>
    <mergeCell ref="B101:N101"/>
    <mergeCell ref="B153:N153"/>
    <mergeCell ref="B176:N176"/>
    <mergeCell ref="B201:N201"/>
    <mergeCell ref="B226:N226"/>
    <mergeCell ref="B251:N251"/>
  </mergeCells>
  <pageMargins left="0.7" right="0.7" top="0.75" bottom="0.75" header="0.3" footer="0.3"/>
  <pageSetup paperSize="9"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S99"/>
  <sheetViews>
    <sheetView zoomScale="70" zoomScaleNormal="70" workbookViewId="0">
      <selection activeCell="D26" sqref="D26"/>
    </sheetView>
  </sheetViews>
  <sheetFormatPr defaultColWidth="7.5703125" defaultRowHeight="15" x14ac:dyDescent="0.25"/>
  <cols>
    <col min="2" max="2" width="20.5703125" customWidth="1"/>
    <col min="3" max="3" width="23.85546875" customWidth="1"/>
    <col min="4" max="4" width="32.5703125" customWidth="1"/>
    <col min="5" max="5" width="43.140625" customWidth="1"/>
    <col min="6" max="6" width="39.140625" customWidth="1"/>
    <col min="7" max="7" width="43" customWidth="1"/>
    <col min="8" max="8" width="45.28515625" customWidth="1"/>
    <col min="9" max="9" width="41.140625" customWidth="1"/>
    <col min="12" max="12" width="13" bestFit="1" customWidth="1"/>
    <col min="13" max="13" width="22.5703125" bestFit="1" customWidth="1"/>
    <col min="14" max="14" width="24.85546875" bestFit="1" customWidth="1"/>
    <col min="15" max="15" width="26.7109375" bestFit="1" customWidth="1"/>
    <col min="16" max="16" width="18.28515625" bestFit="1" customWidth="1"/>
    <col min="17" max="17" width="18.7109375" bestFit="1" customWidth="1"/>
    <col min="18" max="18" width="15.28515625" bestFit="1" customWidth="1"/>
    <col min="19" max="19" width="8.85546875" bestFit="1" customWidth="1"/>
  </cols>
  <sheetData>
    <row r="6" spans="2:17" x14ac:dyDescent="0.25">
      <c r="B6" s="71"/>
      <c r="C6" s="72"/>
      <c r="D6" s="4"/>
      <c r="E6" s="4"/>
      <c r="F6" s="4"/>
      <c r="G6" s="4"/>
      <c r="H6" s="4"/>
      <c r="I6" s="4"/>
    </row>
    <row r="7" spans="2:17" x14ac:dyDescent="0.25">
      <c r="B7" s="73"/>
      <c r="C7" s="72"/>
      <c r="D7" s="4"/>
      <c r="E7" s="4"/>
      <c r="F7" s="4"/>
      <c r="G7" s="4"/>
      <c r="H7" s="4"/>
      <c r="I7" s="4"/>
      <c r="L7" s="3"/>
      <c r="M7" s="9">
        <f>M9+M10+M11</f>
        <v>0</v>
      </c>
      <c r="N7" s="9">
        <f>N9+N10+N11</f>
        <v>0</v>
      </c>
      <c r="O7" s="9">
        <f>ROUND((IFERROR(GETPIVOTDATA("Planned TTS Spend Amount",$B$5,"post-eval colour","green"), 0)+IFERROR(GETPIVOTDATA("Planned TTS Spend Amount",$B$5,"post-eval colour","amber"), 0)+IFERROR(GETPIVOTDATA("Planned TTS Spend Amount",$B$5,"post-eval colour","red"), 0))/1000000, 1)</f>
        <v>0</v>
      </c>
      <c r="P7" s="8"/>
      <c r="Q7" s="9">
        <f>O7</f>
        <v>0</v>
      </c>
    </row>
    <row r="8" spans="2:17" x14ac:dyDescent="0.25">
      <c r="B8" s="71"/>
      <c r="C8" s="72"/>
      <c r="D8" s="4"/>
      <c r="E8" s="4"/>
      <c r="F8" s="4"/>
      <c r="G8" s="4"/>
      <c r="H8" s="4"/>
      <c r="I8" s="4"/>
      <c r="L8" s="5" t="s">
        <v>136</v>
      </c>
      <c r="M8" s="5" t="s">
        <v>137</v>
      </c>
      <c r="N8" s="5" t="s">
        <v>138</v>
      </c>
      <c r="O8" s="5" t="s">
        <v>139</v>
      </c>
      <c r="P8" s="5" t="s">
        <v>140</v>
      </c>
    </row>
    <row r="9" spans="2:17" x14ac:dyDescent="0.25">
      <c r="H9" s="4"/>
      <c r="I9" s="4"/>
      <c r="L9" s="5" t="s">
        <v>56</v>
      </c>
      <c r="M9">
        <f>IFERROR(GETPIVOTDATA("Count of Promotion",$B$5,"post-eval colour","green"), 0)</f>
        <v>0</v>
      </c>
      <c r="N9">
        <f>ROUND(IFERROR(GETPIVOTDATA("Actual Total Spend",$B$5,"post-eval colour","green"), 0)/1000000,1)</f>
        <v>0</v>
      </c>
      <c r="O9">
        <f>ROUND(IFERROR((N9/$N$7), 0)*100,1)</f>
        <v>0</v>
      </c>
      <c r="P9">
        <f>ROUND(IFERROR((M9/$M$7), 0)*100,1)</f>
        <v>0</v>
      </c>
    </row>
    <row r="10" spans="2:17" x14ac:dyDescent="0.25">
      <c r="F10" s="4"/>
      <c r="G10" s="4"/>
      <c r="H10" s="4"/>
      <c r="I10" s="4"/>
      <c r="L10" s="5" t="s">
        <v>57</v>
      </c>
      <c r="M10">
        <f>IFERROR(GETPIVOTDATA("Count of Promotion",$B$5,"post-eval colour","amber"), 0)</f>
        <v>0</v>
      </c>
      <c r="N10">
        <f>ROUND(IFERROR(GETPIVOTDATA("Actual Total Spend",$B$5,"post-eval colour","amber"), 0)/1000000,1)</f>
        <v>0</v>
      </c>
      <c r="O10">
        <f>ROUND(IFERROR((N10/$N$7), 0)*100,1)</f>
        <v>0</v>
      </c>
      <c r="P10">
        <f>ROUND(IFERROR((M10/$M$7), 0)*100,1)</f>
        <v>0</v>
      </c>
    </row>
    <row r="11" spans="2:17" x14ac:dyDescent="0.25">
      <c r="E11" s="4"/>
      <c r="F11" s="4"/>
      <c r="G11" s="4"/>
      <c r="H11" s="4"/>
      <c r="I11" s="4"/>
      <c r="L11" s="5" t="s">
        <v>58</v>
      </c>
      <c r="M11">
        <f>IFERROR(GETPIVOTDATA("Count of Promotion",$B$5,"post-eval colour","red"), 0)</f>
        <v>0</v>
      </c>
      <c r="N11">
        <f>ROUND(IFERROR(GETPIVOTDATA("Actual Total Spend",$B$5,"post-eval colour","red"), 0)/1000000,1)</f>
        <v>0</v>
      </c>
      <c r="O11">
        <f>ROUND(IFERROR((N11/$N$7), 0)*100,1)</f>
        <v>0</v>
      </c>
      <c r="P11">
        <f>ROUND(IFERROR((M11/$M$7), 0)*100,1)</f>
        <v>0</v>
      </c>
    </row>
    <row r="12" spans="2:17" x14ac:dyDescent="0.25">
      <c r="E12" s="4"/>
      <c r="F12" s="4"/>
      <c r="G12" s="4"/>
      <c r="H12" s="4"/>
      <c r="I12" s="4"/>
    </row>
    <row r="13" spans="2:17" x14ac:dyDescent="0.25">
      <c r="E13" s="4"/>
      <c r="F13" s="4"/>
      <c r="G13" s="4"/>
      <c r="H13" s="4"/>
      <c r="I13" s="4"/>
      <c r="L13" s="5" t="s">
        <v>141</v>
      </c>
      <c r="M13" s="5" t="s">
        <v>142</v>
      </c>
      <c r="N13" s="5" t="s">
        <v>140</v>
      </c>
      <c r="O13" s="5" t="s">
        <v>143</v>
      </c>
      <c r="P13" s="5" t="s">
        <v>139</v>
      </c>
    </row>
    <row r="14" spans="2:17" x14ac:dyDescent="0.25">
      <c r="E14" s="4"/>
      <c r="F14" s="4"/>
      <c r="G14" s="4"/>
      <c r="H14" s="4"/>
      <c r="I14" s="4"/>
      <c r="L14" s="5" t="s">
        <v>56</v>
      </c>
      <c r="M14">
        <f>ROUND(IFERROR(GETPIVOTDATA("Count of Promotion",$B$5,"post-eval colour","green","colour move","green to green"), 0)+IFERROR(GETPIVOTDATA("Count of Promotion",$B$5,"post-eval colour","amber","colour move","green to amber"), 0)+IFERROR(GETPIVOTDATA("Count of Promotion",$B$5,"post-eval colour","red","colour move","green to red"), 0), 1)</f>
        <v>0</v>
      </c>
      <c r="N14">
        <f>ROUND(IFERROR((M14/M7), 0)*100,1)</f>
        <v>0</v>
      </c>
      <c r="O14">
        <f>ROUND((IFERROR(GETPIVOTDATA("Planned TTS Spend Amount",$B$5,"post-eval colour","green","colour move","green to green"), 0)+IFERROR(GETPIVOTDATA("Planned TTS Spend Amount",$B$5,"post-eval colour","amber","colour move","green to amber"), 0)+IFERROR(GETPIVOTDATA("Planned TTS Spend Amount",$B$5,"post-eval colour","red","colour move","green to red"), 0))/1000000,1)</f>
        <v>0</v>
      </c>
      <c r="P14">
        <f>ROUND(IFERROR((O14/O7), 0)*100,1)</f>
        <v>0</v>
      </c>
    </row>
    <row r="15" spans="2:17" x14ac:dyDescent="0.25">
      <c r="E15" s="4"/>
      <c r="F15" s="4"/>
      <c r="G15" s="4"/>
      <c r="H15" s="4"/>
      <c r="I15" s="4"/>
      <c r="L15" s="5" t="s">
        <v>57</v>
      </c>
      <c r="M15">
        <f>ROUND(IFERROR(GETPIVOTDATA("Count of Promotion",$B$5,"post-eval colour","green","colour move","amber to green"), 0)+IFERROR(GETPIVOTDATA("Count of Promotion",$B$5,"post-eval colour","amber","colour move","amber to amber"), 0)+IFERROR(GETPIVOTDATA("Count of Promotion",$B$5,"post-eval colour","red","colour move","amber to red"), 0),1)</f>
        <v>0</v>
      </c>
      <c r="N15">
        <f>ROUND(IFERROR((M15/M7), 0)*100,1)</f>
        <v>0</v>
      </c>
      <c r="O15">
        <f>ROUND((IFERROR(GETPIVOTDATA("Planned TTS Spend Amount",$B$5,"post-eval colour","green","colour move","amber to green"), 0)+IFERROR(GETPIVOTDATA("Planned TTS Spend Amount",$B$5,"post-eval colour","amber","colour move","amber to amber"), 0)+IFERROR(GETPIVOTDATA("Planned TTS Spend Amount",$B$5,"post-eval colour","red","colour move","amber to red"), 0))/1000000,1)</f>
        <v>0</v>
      </c>
      <c r="P15">
        <f>ROUND(IFERROR((O15/O7), 0)*100,1)</f>
        <v>0</v>
      </c>
    </row>
    <row r="16" spans="2:17" x14ac:dyDescent="0.25">
      <c r="E16" s="4"/>
      <c r="F16" s="4"/>
      <c r="G16" s="4"/>
      <c r="H16" s="4"/>
      <c r="I16" s="4"/>
      <c r="L16" s="5" t="s">
        <v>58</v>
      </c>
      <c r="M16">
        <f>ROUND(IFERROR(GETPIVOTDATA("Count of Promotion",$B$5,"post-eval colour","green","colour move","red to green"), 0)+IFERROR(GETPIVOTDATA("Count of Promotion",$B$5,"post-eval colour","amber","colour move","red to amber"), 0)+IFERROR(GETPIVOTDATA("Count of Promotion",$B$5,"post-eval colour","red","colour move","red to red"), 0),1)</f>
        <v>0</v>
      </c>
      <c r="N16">
        <f>ROUND(IFERROR((M16/M7), 0)*100,1)</f>
        <v>0</v>
      </c>
      <c r="O16">
        <f>ROUND((IFERROR(GETPIVOTDATA("Planned TTS Spend Amount",$B$5,"post-eval colour","green","colour move","red to green"), 0)+IFERROR(GETPIVOTDATA("Planned TTS Spend Amount",$B$5,"post-eval colour","amber","colour move","red to amber"),0)+IFERROR(GETPIVOTDATA("Planned TTS Spend Amount",$B$5,"post-eval colour","red","colour move","red to red"), 0))/1000000,1)</f>
        <v>0</v>
      </c>
      <c r="P16">
        <f>ROUND(IFERROR((O16/O7), 0)*100,1)</f>
        <v>0</v>
      </c>
    </row>
    <row r="17" spans="5:19" x14ac:dyDescent="0.25">
      <c r="E17" s="4"/>
      <c r="F17" s="4"/>
      <c r="G17" s="4"/>
      <c r="H17" s="4"/>
      <c r="I17" s="4"/>
    </row>
    <row r="18" spans="5:19" x14ac:dyDescent="0.25">
      <c r="E18" s="4"/>
      <c r="F18" s="4"/>
      <c r="G18" s="4"/>
      <c r="H18" s="4"/>
      <c r="I18" s="4"/>
      <c r="M18" s="5" t="s">
        <v>144</v>
      </c>
      <c r="N18" s="5" t="s">
        <v>145</v>
      </c>
      <c r="O18" s="5" t="s">
        <v>146</v>
      </c>
      <c r="P18" s="5" t="s">
        <v>147</v>
      </c>
      <c r="Q18" s="5" t="s">
        <v>148</v>
      </c>
      <c r="R18" s="5" t="s">
        <v>149</v>
      </c>
      <c r="S18" s="7" t="s">
        <v>150</v>
      </c>
    </row>
    <row r="19" spans="5:19" x14ac:dyDescent="0.25">
      <c r="E19" s="4"/>
      <c r="F19" s="4"/>
      <c r="G19" s="4"/>
      <c r="H19" s="4"/>
      <c r="I19" s="4"/>
      <c r="L19" s="5" t="s">
        <v>151</v>
      </c>
      <c r="M19">
        <f>IFERROR(GETPIVOTDATA("Count of Promotion",$B$5,"post-eval colour","green","colour move","green to green"), 0)</f>
        <v>0</v>
      </c>
      <c r="N19">
        <f>IFERROR(GETPIVOTDATA("Count of Promotion",$B$5,"post-eval colour","amber","colour move","green to amber"), 0)</f>
        <v>0</v>
      </c>
      <c r="O19">
        <f>IFERROR(GETPIVOTDATA("Count of Promotion",$B$5,"post-eval colour","red","colour move","green to red"), 0)</f>
        <v>0</v>
      </c>
      <c r="P19">
        <f>ROUND(IFERROR((M19/M14), 0)*100,1)</f>
        <v>0</v>
      </c>
      <c r="Q19">
        <f>ROUND(IFERROR((N19/M14), 0)*100,1)</f>
        <v>0</v>
      </c>
      <c r="R19">
        <f>ROUND(IFERROR((O19/M14), 0)*100,1)</f>
        <v>0</v>
      </c>
      <c r="S19" s="6">
        <f>SUM(P19:R19)</f>
        <v>0</v>
      </c>
    </row>
    <row r="20" spans="5:19" x14ac:dyDescent="0.25">
      <c r="E20" s="4"/>
      <c r="F20" s="4"/>
      <c r="G20" s="4"/>
      <c r="H20" s="4"/>
      <c r="I20" s="4"/>
      <c r="L20" s="5" t="s">
        <v>152</v>
      </c>
      <c r="M20">
        <f>IFERROR(GETPIVOTDATA("Count of Promotion",$B$5,"post-eval colour","green","colour move","amber to green"), 0)</f>
        <v>0</v>
      </c>
      <c r="N20">
        <f>IFERROR(GETPIVOTDATA("Count of Promotion",$B$5,"post-eval colour","amber","colour move","amber to amber"), 0)</f>
        <v>0</v>
      </c>
      <c r="O20">
        <f>IFERROR(GETPIVOTDATA("Count of Promotion",$B$5,"post-eval colour","red","colour move","amber to red"), 0)</f>
        <v>0</v>
      </c>
      <c r="P20">
        <f>ROUND(IFERROR((M20/M15), 0)*100,1)</f>
        <v>0</v>
      </c>
      <c r="Q20">
        <f>ROUND(IFERROR((N20/M15), 0)*100,1)</f>
        <v>0</v>
      </c>
      <c r="R20">
        <f>ROUND(IFERROR((O20/M15), 0)*100,1)</f>
        <v>0</v>
      </c>
      <c r="S20" s="6">
        <f>SUM(P20:R20)</f>
        <v>0</v>
      </c>
    </row>
    <row r="21" spans="5:19" x14ac:dyDescent="0.25">
      <c r="E21" s="4"/>
      <c r="F21" s="4"/>
      <c r="G21" s="4"/>
      <c r="H21" s="4"/>
      <c r="I21" s="4"/>
      <c r="L21" s="5" t="s">
        <v>153</v>
      </c>
      <c r="M21">
        <f>IFERROR(GETPIVOTDATA("Count of Promotion",$B$5,"post-eval colour","green","colour move","red to green"), 0)</f>
        <v>0</v>
      </c>
      <c r="N21">
        <f>IFERROR(GETPIVOTDATA("Count of Promotion",$B$5,"post-eval colour","amber","colour move","red to amber"), 0)</f>
        <v>0</v>
      </c>
      <c r="O21">
        <f>IFERROR(GETPIVOTDATA("Count of Promotion",$B$5,"post-eval colour","red","colour move","red to red"), 0)</f>
        <v>0</v>
      </c>
      <c r="P21">
        <f>ROUND(IFERROR((M21/M16), 0)*100,1)</f>
        <v>0</v>
      </c>
      <c r="Q21">
        <f>ROUND(IFERROR((N21/M16), 0)*100,1)</f>
        <v>0</v>
      </c>
      <c r="R21">
        <f>ROUND(IFERROR((O21/M16), 0)*100,1)</f>
        <v>0</v>
      </c>
      <c r="S21" s="6">
        <f>SUM(P21:R21)</f>
        <v>0</v>
      </c>
    </row>
    <row r="80" spans="2:8" x14ac:dyDescent="0.25">
      <c r="B80" s="116" t="s">
        <v>187</v>
      </c>
      <c r="C80" s="116"/>
      <c r="D80" s="116"/>
      <c r="E80" s="116"/>
      <c r="F80" s="116"/>
      <c r="G80" s="116"/>
      <c r="H80" s="116"/>
    </row>
    <row r="81" spans="2:11" x14ac:dyDescent="0.25">
      <c r="B81" s="116"/>
      <c r="C81" s="116"/>
      <c r="D81" s="116"/>
      <c r="E81" s="116"/>
      <c r="F81" s="116"/>
      <c r="G81" s="116"/>
      <c r="H81" s="116"/>
    </row>
    <row r="82" spans="2:11" ht="31.5" x14ac:dyDescent="0.5">
      <c r="B82" s="10"/>
      <c r="C82" s="11"/>
      <c r="D82" s="11"/>
      <c r="E82" s="11"/>
      <c r="F82" s="11"/>
      <c r="G82" s="11"/>
      <c r="H82" s="11"/>
      <c r="I82" s="11"/>
      <c r="J82" s="11"/>
      <c r="K82" s="12"/>
    </row>
    <row r="83" spans="2:11" ht="18.75" x14ac:dyDescent="0.3">
      <c r="B83" s="129" t="str">
        <f>"Actuals - Evaluated Spend £"&amp;N7&amp;"m"</f>
        <v>Actuals - Evaluated Spend £0m</v>
      </c>
      <c r="C83" s="130"/>
      <c r="D83" s="117"/>
      <c r="E83" s="118"/>
      <c r="F83" s="119"/>
      <c r="G83" s="129" t="s">
        <v>188</v>
      </c>
      <c r="H83" s="131"/>
    </row>
    <row r="84" spans="2:11" ht="18.75" x14ac:dyDescent="0.3">
      <c r="B84" s="132" t="str">
        <f>C3&amp;" Customer &amp; "&amp;C2&amp;" Category"</f>
        <v xml:space="preserve"> Customer &amp;  Category</v>
      </c>
      <c r="C84" s="133"/>
      <c r="D84" s="120"/>
      <c r="E84" s="121"/>
      <c r="F84" s="122"/>
      <c r="G84" s="132" t="str">
        <f>C3&amp;" Customer &amp; "&amp;C2&amp;" Category"</f>
        <v xml:space="preserve"> Customer &amp;  Category</v>
      </c>
      <c r="H84" s="133"/>
    </row>
    <row r="85" spans="2:11" ht="21" x14ac:dyDescent="0.3">
      <c r="B85" s="13" t="s">
        <v>154</v>
      </c>
      <c r="C85" s="14" t="s">
        <v>155</v>
      </c>
      <c r="D85" s="120"/>
      <c r="E85" s="121"/>
      <c r="F85" s="122"/>
      <c r="G85" s="15"/>
      <c r="H85" s="16"/>
    </row>
    <row r="86" spans="2:11" ht="18.75" x14ac:dyDescent="0.3">
      <c r="B86" s="17" t="str">
        <f>M9&amp;" ("&amp;P9&amp;"%) of promos"</f>
        <v>0 (0%) of promos</v>
      </c>
      <c r="C86" s="18"/>
      <c r="D86" s="120"/>
      <c r="E86" s="121"/>
      <c r="F86" s="122"/>
      <c r="G86" s="19"/>
      <c r="H86" s="20" t="str">
        <f>M19&amp;" promos, "&amp;P19&amp; "%, were actually green"</f>
        <v>0 promos, 0%, were actually green</v>
      </c>
    </row>
    <row r="87" spans="2:11" ht="18.75" x14ac:dyDescent="0.3">
      <c r="B87" s="21" t="str">
        <f>"£"&amp;N9&amp;"m ("&amp;O9&amp;"%) of evaluated spend"</f>
        <v>£0m (0%) of evaluated spend</v>
      </c>
      <c r="C87" s="22"/>
      <c r="D87" s="120"/>
      <c r="E87" s="121"/>
      <c r="F87" s="122"/>
      <c r="G87" s="23" t="str">
        <f>"of "&amp;M14&amp;" green promos planned"</f>
        <v>of 0 green promos planned</v>
      </c>
      <c r="H87" s="24" t="str">
        <f>N19&amp;" promos, "&amp;Q19&amp; "%, were actually amber"</f>
        <v>0 promos, 0%, were actually amber</v>
      </c>
    </row>
    <row r="88" spans="2:11" ht="21" x14ac:dyDescent="0.3">
      <c r="B88" s="25" t="s">
        <v>156</v>
      </c>
      <c r="C88" s="26" t="s">
        <v>157</v>
      </c>
      <c r="D88" s="120"/>
      <c r="E88" s="121"/>
      <c r="F88" s="122"/>
      <c r="G88" s="19"/>
      <c r="H88" s="27" t="str">
        <f>O19&amp;" promos, "&amp;R19&amp; "%, were actually red"</f>
        <v>0 promos, 0%, were actually red</v>
      </c>
    </row>
    <row r="89" spans="2:11" ht="18.75" x14ac:dyDescent="0.3">
      <c r="B89" s="28" t="str">
        <f>M10&amp;" ("&amp;P10&amp;"%) of promos"</f>
        <v>0 (0%) of promos</v>
      </c>
      <c r="C89" s="29" t="str">
        <f>M11&amp;" ("&amp;P11&amp;"%) of promos"</f>
        <v>0 (0%) of promos</v>
      </c>
      <c r="D89" s="120"/>
      <c r="E89" s="121"/>
      <c r="F89" s="122"/>
      <c r="G89" s="19"/>
      <c r="H89" s="30"/>
    </row>
    <row r="90" spans="2:11" ht="18.75" x14ac:dyDescent="0.3">
      <c r="B90" s="31" t="str">
        <f>"£"&amp;N10&amp;"m ("&amp;O10&amp;"%) of evaluated spend"</f>
        <v>£0m (0%) of evaluated spend</v>
      </c>
      <c r="C90" s="32" t="str">
        <f>"£"&amp;N11&amp;"m ("&amp;O11&amp;"%) of evaluated spend"</f>
        <v>£0m (0%) of evaluated spend</v>
      </c>
      <c r="D90" s="120"/>
      <c r="E90" s="121"/>
      <c r="F90" s="122"/>
      <c r="G90" s="19"/>
      <c r="H90" s="20" t="str">
        <f>M20&amp;" promos, "&amp;P20&amp; "%, were actually green"</f>
        <v>0 promos, 0%, were actually green</v>
      </c>
    </row>
    <row r="91" spans="2:11" ht="18.75" x14ac:dyDescent="0.3">
      <c r="B91" s="33"/>
      <c r="C91" s="33"/>
      <c r="D91" s="120"/>
      <c r="E91" s="121"/>
      <c r="F91" s="122"/>
      <c r="G91" s="34" t="str">
        <f>"of "&amp;M15&amp;" amber promos planned"</f>
        <v>of 0 amber promos planned</v>
      </c>
      <c r="H91" s="24" t="str">
        <f>N20&amp;" promos, "&amp;Q20&amp; "%, were actually amber"</f>
        <v>0 promos, 0%, were actually amber</v>
      </c>
    </row>
    <row r="92" spans="2:11" ht="18.75" x14ac:dyDescent="0.3">
      <c r="B92" s="129" t="str">
        <f>"Pre-Evaluation - Evaluated Spend £"&amp;Q7&amp;"m"</f>
        <v>Pre-Evaluation - Evaluated Spend £0m</v>
      </c>
      <c r="C92" s="130"/>
      <c r="D92" s="120"/>
      <c r="E92" s="121"/>
      <c r="F92" s="122"/>
      <c r="G92" s="19"/>
      <c r="H92" s="27" t="str">
        <f>O20&amp;" promos, "&amp;R20&amp; "%, were actually red"</f>
        <v>0 promos, 0%, were actually red</v>
      </c>
    </row>
    <row r="93" spans="2:11" ht="18.75" x14ac:dyDescent="0.3">
      <c r="B93" s="132" t="str">
        <f>IFERROR(GETPIVOTDATA("Count of Promotion",$B$5,"post-eval colour","green","colour move","green to green"), 0)&amp;" Customer &amp; "&amp;IFERROR(GETPIVOTDATA("Count of Promotion",$B$5,"post-eval colour","green","colour move","green to amber"), 0)&amp;" Category"</f>
        <v>0 Customer &amp; 0 Category</v>
      </c>
      <c r="C93" s="133"/>
      <c r="D93" s="120"/>
      <c r="E93" s="121"/>
      <c r="F93" s="122"/>
      <c r="G93" s="19"/>
      <c r="H93" s="30"/>
    </row>
    <row r="94" spans="2:11" ht="21" x14ac:dyDescent="0.3">
      <c r="B94" s="13" t="s">
        <v>154</v>
      </c>
      <c r="C94" s="14" t="s">
        <v>155</v>
      </c>
      <c r="D94" s="120"/>
      <c r="E94" s="121"/>
      <c r="F94" s="122"/>
      <c r="G94" s="19"/>
      <c r="H94" s="20" t="str">
        <f>M21&amp;" promos, "&amp;P21&amp; "%, were actually green"</f>
        <v>0 promos, 0%, were actually green</v>
      </c>
    </row>
    <row r="95" spans="2:11" ht="18.75" x14ac:dyDescent="0.3">
      <c r="B95" s="17" t="str">
        <f>M14&amp;" ("&amp;N14&amp;"%) of promos"</f>
        <v>0 (0%) of promos</v>
      </c>
      <c r="C95" s="18"/>
      <c r="D95" s="120"/>
      <c r="E95" s="121"/>
      <c r="F95" s="122"/>
      <c r="G95" s="35" t="str">
        <f>"of "&amp;M16&amp;" red promos planned"</f>
        <v>of 0 red promos planned</v>
      </c>
      <c r="H95" s="24" t="str">
        <f>N21&amp;" promos, "&amp;Q21&amp; "%, were actually amber"</f>
        <v>0 promos, 0%, were actually amber</v>
      </c>
    </row>
    <row r="96" spans="2:11" ht="18.75" x14ac:dyDescent="0.3">
      <c r="B96" s="21" t="str">
        <f>"£"&amp;O14&amp;"m ("&amp;P14&amp;"%) of evaluated spend"</f>
        <v>£0m (0%) of evaluated spend</v>
      </c>
      <c r="C96" s="22"/>
      <c r="D96" s="120"/>
      <c r="E96" s="121"/>
      <c r="F96" s="122"/>
      <c r="G96" s="19"/>
      <c r="H96" s="27" t="str">
        <f>O21&amp;" promos, "&amp;R21&amp; "%, were actually red"</f>
        <v>0 promos, 0%, were actually red</v>
      </c>
    </row>
    <row r="97" spans="2:8" ht="21" x14ac:dyDescent="0.3">
      <c r="B97" s="25" t="s">
        <v>156</v>
      </c>
      <c r="C97" s="26" t="s">
        <v>157</v>
      </c>
      <c r="D97" s="120"/>
      <c r="E97" s="121"/>
      <c r="F97" s="122"/>
      <c r="G97" s="36">
        <f>IFERROR((M19+N20+O21)/SUM(M19:O21), 0)</f>
        <v>0</v>
      </c>
      <c r="H97" s="37" t="s">
        <v>158</v>
      </c>
    </row>
    <row r="98" spans="2:8" ht="18.75" x14ac:dyDescent="0.3">
      <c r="B98" s="28" t="str">
        <f>M15&amp;" ("&amp;N15&amp;"%) of promos"</f>
        <v>0 (0%) of promos</v>
      </c>
      <c r="C98" s="29" t="str">
        <f>M16&amp;" ("&amp;N16&amp;"%) of promos"</f>
        <v>0 (0%) of promos</v>
      </c>
      <c r="D98" s="120"/>
      <c r="E98" s="121"/>
      <c r="F98" s="122"/>
      <c r="G98" s="36">
        <f>IFERROR((M20+M21+N21)/SUM(M19:O21), 0)</f>
        <v>0</v>
      </c>
      <c r="H98" s="37" t="s">
        <v>159</v>
      </c>
    </row>
    <row r="99" spans="2:8" ht="18.75" x14ac:dyDescent="0.3">
      <c r="B99" s="31" t="str">
        <f>"£"&amp;O15&amp;"m ("&amp;P15&amp;"%) of evaluated spend"</f>
        <v>£0m (0%) of evaluated spend</v>
      </c>
      <c r="C99" s="32" t="str">
        <f>"£"&amp;O16&amp;"m ("&amp;P16&amp;"%) of evaluated spend"</f>
        <v>£0m (0%) of evaluated spend</v>
      </c>
      <c r="D99" s="123"/>
      <c r="E99" s="124"/>
      <c r="F99" s="125"/>
      <c r="G99" s="38">
        <f>IFERROR((N19+O19+O20)/SUM(M19:O21), 0)</f>
        <v>0</v>
      </c>
      <c r="H99" s="39" t="s">
        <v>160</v>
      </c>
    </row>
  </sheetData>
  <mergeCells count="8">
    <mergeCell ref="B80:H81"/>
    <mergeCell ref="B83:C83"/>
    <mergeCell ref="D83:F99"/>
    <mergeCell ref="G83:H83"/>
    <mergeCell ref="B84:C84"/>
    <mergeCell ref="G84:H84"/>
    <mergeCell ref="B92:C92"/>
    <mergeCell ref="B93:C9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Promo ID Data</vt:lpstr>
      <vt:lpstr>Data for Pivots</vt:lpstr>
      <vt:lpstr>Pivot</vt:lpstr>
      <vt:lpstr>Promo Colour Matrix</vt:lpstr>
      <vt:lpstr>Bible stats</vt:lpstr>
      <vt:lpstr>Pivot-bk</vt:lpstr>
      <vt:lpstr>Promo Colour Matrix-bk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Nilesh Narkhede</dc:creator>
  <cp:lastModifiedBy>Nilesh Narkhede</cp:lastModifiedBy>
  <dcterms:created xsi:type="dcterms:W3CDTF">2016-07-04T07:31:52Z</dcterms:created>
  <dcterms:modified xsi:type="dcterms:W3CDTF">2016-10-26T05:52:59Z</dcterms:modified>
</cp:coreProperties>
</file>