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Owner\Documents\Solar_stuff\"/>
    </mc:Choice>
  </mc:AlternateContent>
  <xr:revisionPtr revIDLastSave="0" documentId="13_ncr:1_{7CDBA062-C9BD-44DE-AF62-FE045D541ABB}" xr6:coauthVersionLast="45" xr6:coauthVersionMax="45" xr10:uidLastSave="{00000000-0000-0000-0000-000000000000}"/>
  <bookViews>
    <workbookView xWindow="-120" yWindow="-120" windowWidth="29040" windowHeight="15840" xr2:uid="{00000000-000D-0000-FFFF-FFFF00000000}"/>
  </bookViews>
  <sheets>
    <sheet name="Description" sheetId="3" r:id="rId1"/>
    <sheet name="Information" sheetId="1" r:id="rId2"/>
    <sheet name="Data Tables"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 l="1"/>
  <c r="O34" i="2"/>
  <c r="O35" i="2"/>
  <c r="O36" i="2"/>
  <c r="O37" i="2"/>
  <c r="O38" i="2"/>
  <c r="O39" i="2"/>
  <c r="O40" i="2"/>
  <c r="O41" i="2"/>
  <c r="O42" i="2"/>
  <c r="O43" i="2"/>
  <c r="O44" i="2"/>
  <c r="O33" i="2"/>
  <c r="L46" i="2"/>
  <c r="L45" i="2"/>
  <c r="B8" i="1"/>
  <c r="C8" i="1" s="1"/>
  <c r="B7" i="1"/>
  <c r="C7" i="1" s="1"/>
  <c r="N34" i="2"/>
  <c r="N35" i="2"/>
  <c r="N36" i="2"/>
  <c r="N37" i="2"/>
  <c r="N38" i="2"/>
  <c r="N39" i="2"/>
  <c r="N40" i="2"/>
  <c r="N41" i="2"/>
  <c r="N42" i="2"/>
  <c r="N43" i="2"/>
  <c r="N44" i="2"/>
  <c r="N33" i="2"/>
  <c r="M44" i="2"/>
  <c r="M34" i="2"/>
  <c r="M35" i="2"/>
  <c r="M36" i="2"/>
  <c r="M37" i="2"/>
  <c r="M38" i="2"/>
  <c r="M39" i="2"/>
  <c r="M40" i="2"/>
  <c r="M41" i="2"/>
  <c r="M42" i="2"/>
  <c r="M43" i="2"/>
  <c r="M33" i="2"/>
  <c r="L36" i="2"/>
  <c r="L40" i="2"/>
  <c r="L33" i="2"/>
  <c r="L41" i="2"/>
  <c r="L39" i="2"/>
  <c r="L38" i="2"/>
  <c r="L34" i="2"/>
  <c r="L44" i="2"/>
  <c r="L43" i="2"/>
  <c r="L42" i="2"/>
  <c r="L35" i="2"/>
  <c r="B6" i="1" s="1"/>
  <c r="L37" i="2"/>
  <c r="B5" i="1"/>
  <c r="B4" i="1"/>
  <c r="B3" i="1"/>
  <c r="B19" i="1" l="1"/>
  <c r="C22" i="1"/>
  <c r="C21" i="1"/>
  <c r="C20" i="1"/>
  <c r="C19" i="1"/>
  <c r="C18" i="1"/>
  <c r="C41" i="1"/>
  <c r="C40" i="1"/>
  <c r="B9" i="1"/>
  <c r="C29" i="1" s="1"/>
  <c r="B34" i="1"/>
  <c r="B26" i="1"/>
  <c r="B18" i="1"/>
  <c r="B32" i="1"/>
  <c r="B24" i="1"/>
  <c r="B41" i="1"/>
  <c r="B33" i="1"/>
  <c r="B25" i="1"/>
  <c r="B40" i="1"/>
  <c r="B39" i="1"/>
  <c r="B23" i="1"/>
  <c r="B38" i="1"/>
  <c r="B30" i="1"/>
  <c r="B22" i="1"/>
  <c r="B37" i="1"/>
  <c r="B29" i="1"/>
  <c r="B21" i="1"/>
  <c r="B31" i="1"/>
  <c r="B36" i="1"/>
  <c r="B28" i="1"/>
  <c r="B20" i="1"/>
  <c r="B35" i="1"/>
  <c r="B27" i="1"/>
  <c r="C36" i="1" l="1"/>
  <c r="C23" i="1"/>
  <c r="C37" i="1"/>
  <c r="C38" i="1"/>
  <c r="C35" i="1"/>
  <c r="C39" i="1"/>
  <c r="C24" i="1"/>
  <c r="C32" i="1"/>
  <c r="C25" i="1"/>
  <c r="C30" i="1"/>
  <c r="C33" i="1"/>
  <c r="C27" i="1"/>
  <c r="C28" i="1"/>
  <c r="C26" i="1"/>
  <c r="C31" i="1"/>
  <c r="C34" i="1"/>
  <c r="B43" i="1"/>
  <c r="C43" i="1" l="1"/>
  <c r="D24" i="1" s="1"/>
  <c r="E24" i="1" s="1"/>
  <c r="F24" i="1" s="1"/>
  <c r="D25" i="1" l="1"/>
  <c r="E25" i="1" s="1"/>
  <c r="F25" i="1" s="1"/>
  <c r="D28" i="1"/>
  <c r="E28" i="1" s="1"/>
  <c r="F28" i="1" s="1"/>
  <c r="D30" i="1"/>
  <c r="E30" i="1" s="1"/>
  <c r="F30" i="1" s="1"/>
  <c r="D20" i="1"/>
  <c r="E20" i="1" s="1"/>
  <c r="F20" i="1" s="1"/>
  <c r="D22" i="1"/>
  <c r="E22" i="1" s="1"/>
  <c r="F22" i="1" s="1"/>
  <c r="D31" i="1"/>
  <c r="E31" i="1" s="1"/>
  <c r="F31" i="1" s="1"/>
  <c r="D40" i="1"/>
  <c r="E40" i="1" s="1"/>
  <c r="F40" i="1" s="1"/>
  <c r="D39" i="1"/>
  <c r="E39" i="1" s="1"/>
  <c r="F39" i="1" s="1"/>
  <c r="D18" i="1"/>
  <c r="D41" i="1"/>
  <c r="E41" i="1" s="1"/>
  <c r="F41" i="1" s="1"/>
  <c r="D33" i="1"/>
  <c r="E33" i="1" s="1"/>
  <c r="F33" i="1" s="1"/>
  <c r="D34" i="1"/>
  <c r="E34" i="1" s="1"/>
  <c r="F34" i="1" s="1"/>
  <c r="D26" i="1"/>
  <c r="E26" i="1" s="1"/>
  <c r="F26" i="1" s="1"/>
  <c r="D21" i="1"/>
  <c r="E21" i="1" s="1"/>
  <c r="F21" i="1" s="1"/>
  <c r="D35" i="1"/>
  <c r="E35" i="1" s="1"/>
  <c r="F35" i="1" s="1"/>
  <c r="D32" i="1"/>
  <c r="E32" i="1" s="1"/>
  <c r="F32" i="1" s="1"/>
  <c r="D38" i="1"/>
  <c r="E38" i="1" s="1"/>
  <c r="F38" i="1" s="1"/>
  <c r="D29" i="1"/>
  <c r="E29" i="1" s="1"/>
  <c r="F29" i="1" s="1"/>
  <c r="D36" i="1"/>
  <c r="E36" i="1" s="1"/>
  <c r="F36" i="1" s="1"/>
  <c r="D27" i="1"/>
  <c r="E27" i="1" s="1"/>
  <c r="F27" i="1" s="1"/>
  <c r="D37" i="1"/>
  <c r="E37" i="1" s="1"/>
  <c r="F37" i="1" s="1"/>
  <c r="D19" i="1"/>
  <c r="E19" i="1" s="1"/>
  <c r="F19" i="1" s="1"/>
  <c r="D23" i="1"/>
  <c r="E23" i="1" s="1"/>
  <c r="F23" i="1" s="1"/>
  <c r="B11" i="1" l="1"/>
  <c r="B14" i="1" s="1"/>
  <c r="D43" i="1"/>
  <c r="E18" i="1"/>
  <c r="B13" i="1" l="1"/>
  <c r="E43" i="1"/>
  <c r="F18" i="1"/>
  <c r="F43" i="1" s="1"/>
  <c r="B15" i="1" s="1"/>
</calcChain>
</file>

<file path=xl/sharedStrings.xml><?xml version="1.0" encoding="utf-8"?>
<sst xmlns="http://schemas.openxmlformats.org/spreadsheetml/2006/main" count="105" uniqueCount="77">
  <si>
    <t>Month</t>
  </si>
  <si>
    <t>January</t>
  </si>
  <si>
    <t>kWh/Kw</t>
  </si>
  <si>
    <t>February</t>
  </si>
  <si>
    <t>March</t>
  </si>
  <si>
    <t>April</t>
  </si>
  <si>
    <t>May</t>
  </si>
  <si>
    <t>June</t>
  </si>
  <si>
    <t>July</t>
  </si>
  <si>
    <t>August</t>
  </si>
  <si>
    <t>September</t>
  </si>
  <si>
    <t>October</t>
  </si>
  <si>
    <t>November</t>
  </si>
  <si>
    <t>December</t>
  </si>
  <si>
    <t>Taken from https://www.energyhub.org/ontario/  On November 1, 2020</t>
  </si>
  <si>
    <t>Max Power (GW)</t>
  </si>
  <si>
    <t>Min Power (GW)</t>
  </si>
  <si>
    <t>Min/Max Power for Ontario, taken from https://www.thinkingpower.ca/PDFs/Commentary/CCRE%20Commentary%20-%20Buying%20Electricity%20from%20Quebec%20-%20The%20Case%20Against%20New%20Intertie%20Capacity%20-%20April%202017.pdf</t>
  </si>
  <si>
    <t>Min</t>
  </si>
  <si>
    <t>Max</t>
  </si>
  <si>
    <t>Hours of daylight</t>
  </si>
  <si>
    <t>Hr</t>
  </si>
  <si>
    <t>Sec</t>
  </si>
  <si>
    <t>Sunrise (hr)</t>
  </si>
  <si>
    <t>Sunrise (min)</t>
  </si>
  <si>
    <t>Sunset (hr)</t>
  </si>
  <si>
    <t>Sunset (min)</t>
  </si>
  <si>
    <t>Note: Daylight savings time kicks in</t>
  </si>
  <si>
    <t>Note: Daylight savings ends.  Might be a worst case here as there's one more hour of nighttime power required…</t>
  </si>
  <si>
    <t>Hour</t>
  </si>
  <si>
    <t>% of Additional Load, taken from https://energi.media/canada/ontario-electricity-demand-declining/ graph</t>
  </si>
  <si>
    <t>Hrs</t>
  </si>
  <si>
    <t>Minimum Hours of Daylight, as computed from https://www.timeanddate.com/sun/canada/ottawa?month=3&amp;year=2020, for Ottawa</t>
  </si>
  <si>
    <t>Days in Month</t>
  </si>
  <si>
    <t>Monthly kWh/kW</t>
  </si>
  <si>
    <t>Sunrise (digital Hr)</t>
  </si>
  <si>
    <t>Hour of the Day</t>
  </si>
  <si>
    <t>Load</t>
  </si>
  <si>
    <t>Total Energy (GWh)</t>
  </si>
  <si>
    <t>Midday</t>
  </si>
  <si>
    <t>Max Power per kW nameplate capacity, based on https://www.researchgate.net/figure/Typical-daily-output-curves-of-PV-in-different-seasons_fig3_318558683</t>
  </si>
  <si>
    <t>Sunrise (Digital and rounded)</t>
  </si>
  <si>
    <t>Sunset (Digital and rounded)</t>
  </si>
  <si>
    <t>Daily Peak Generation Factor</t>
  </si>
  <si>
    <t>GW Generated</t>
  </si>
  <si>
    <t>PV Solar Generating Capacity</t>
  </si>
  <si>
    <t>Demand met by</t>
  </si>
  <si>
    <t>PV</t>
  </si>
  <si>
    <t>Storage</t>
  </si>
  <si>
    <t>ha per MW</t>
  </si>
  <si>
    <t>From https://climateconnections.ca/app/uploads/2016/05/Kopan-Melisa.pdf</t>
  </si>
  <si>
    <t>Total land area (km2)</t>
  </si>
  <si>
    <t>Watts per Kilowatt of PV Solar</t>
  </si>
  <si>
    <t>Cost of PV Solar (Billions)</t>
  </si>
  <si>
    <t>Cost of Battery Storage ($US Billions)</t>
  </si>
  <si>
    <t>This model assumes PV solar installations in the region of Ottawa, Canada</t>
  </si>
  <si>
    <t>From https://www.nrel.gov/docs/fy19osti/73222.pdf, expected best case cost of battery storage in 2030</t>
  </si>
  <si>
    <t>PV solar capabilities vary greatly by the amount of sunshine available during different months of the year.  This spreadsheet illustrates the differences in each month.</t>
  </si>
  <si>
    <t>Operation:</t>
  </si>
  <si>
    <t>The ultimate aim of the spreadsheet is to get a rough order of magnitude estimate of the amount of land area required for PV solar generation in Ontario.  This assumes that ALL electricity is generated with PV solar (i.e. it ignores all other existing power sources)</t>
  </si>
  <si>
    <t>In the "Information" tab, select the month.</t>
  </si>
  <si>
    <t xml:space="preserve">Based on the month, various values are looked up from the "Data Tables" tab.  The source of each set of values is noted on this tab. </t>
  </si>
  <si>
    <t>Based on the values, the following calculations occur:</t>
  </si>
  <si>
    <t>* The PV solar generation curve for the shortest day of that month</t>
  </si>
  <si>
    <t>* The energy demand curve for the shortest day of that month</t>
  </si>
  <si>
    <t>* Hourly quantities of energy to be met with PV solar or stored energy.</t>
  </si>
  <si>
    <t>* Area of PV solar panels</t>
  </si>
  <si>
    <t>* Cost of solar installations and batteries</t>
  </si>
  <si>
    <t>A few points:</t>
  </si>
  <si>
    <t>* Solar looks reasonable in June, when The longest day of The year allows ample power to be generated during peak demand periods</t>
  </si>
  <si>
    <t>* Solar looks rediculous in December, when the shortest day of the year creates massive bottlenecks for generation and storage</t>
  </si>
  <si>
    <t>* The cost of energy storage is trillions of dollars, best case.  At that cost, solutions that do not require storage are far more economical.</t>
  </si>
  <si>
    <t xml:space="preserve">Copyright BWJK Consulting Corporation. All rights reserved.  </t>
  </si>
  <si>
    <t>* It is possible to prorate these estimates by reducing the demands met by solar, assuming for example nuclear and/or hydro resources.</t>
  </si>
  <si>
    <t>User Input</t>
  </si>
  <si>
    <t>Lookups</t>
  </si>
  <si>
    <t>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</si>
</sst>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8">
    <xf numFmtId="0" fontId="0" fillId="0" borderId="0" xfId="0"/>
    <xf numFmtId="0" fontId="0" fillId="0" borderId="0" xfId="0" applyProtection="1">
      <protection locked="0"/>
    </xf>
    <xf numFmtId="0" fontId="1" fillId="2" borderId="2" xfId="1" applyBorder="1" applyProtection="1">
      <protection locked="0"/>
    </xf>
    <xf numFmtId="0" fontId="0" fillId="0" borderId="0" xfId="0" applyProtection="1"/>
    <xf numFmtId="0" fontId="1" fillId="2" borderId="1" xfId="1" applyBorder="1" applyProtection="1"/>
    <xf numFmtId="0" fontId="3" fillId="4" borderId="3" xfId="3" applyBorder="1" applyProtection="1"/>
    <xf numFmtId="0" fontId="3" fillId="4" borderId="4" xfId="3" applyBorder="1" applyProtection="1"/>
    <xf numFmtId="0" fontId="1" fillId="2" borderId="0" xfId="1" applyProtection="1"/>
    <xf numFmtId="0" fontId="3" fillId="4" borderId="0" xfId="3" applyProtection="1"/>
    <xf numFmtId="0" fontId="2" fillId="3" borderId="0" xfId="2" applyProtection="1"/>
    <xf numFmtId="0" fontId="3" fillId="4" borderId="7" xfId="3" applyBorder="1" applyProtection="1"/>
    <xf numFmtId="0" fontId="3" fillId="4" borderId="8" xfId="3" applyBorder="1" applyProtection="1"/>
    <xf numFmtId="0" fontId="0" fillId="0" borderId="1" xfId="0" applyBorder="1" applyProtection="1"/>
    <xf numFmtId="0" fontId="2" fillId="3" borderId="2" xfId="2" applyBorder="1" applyProtection="1"/>
    <xf numFmtId="0" fontId="0" fillId="0" borderId="3" xfId="0" applyBorder="1" applyProtection="1"/>
    <xf numFmtId="0" fontId="2" fillId="3" borderId="4" xfId="2" applyBorder="1" applyProtection="1"/>
    <xf numFmtId="0" fontId="0" fillId="0" borderId="5" xfId="0" applyBorder="1" applyProtection="1"/>
    <xf numFmtId="0" fontId="2" fillId="3" borderId="6" xfId="2" applyBorder="1" applyProtection="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2F29-8A02-46B3-A9AB-A75985F60F4C}">
  <dimension ref="A1:A23"/>
  <sheetViews>
    <sheetView tabSelected="1" workbookViewId="0">
      <selection sqref="A1:XFD1048576"/>
    </sheetView>
  </sheetViews>
  <sheetFormatPr defaultRowHeight="15" x14ac:dyDescent="0.25"/>
  <cols>
    <col min="1" max="1" width="27.42578125" style="3" customWidth="1"/>
    <col min="2" max="16384" width="9.140625" style="3"/>
  </cols>
  <sheetData>
    <row r="1" spans="1:1" x14ac:dyDescent="0.25">
      <c r="A1" s="3" t="s">
        <v>55</v>
      </c>
    </row>
    <row r="2" spans="1:1" x14ac:dyDescent="0.25">
      <c r="A2" s="3" t="s">
        <v>57</v>
      </c>
    </row>
    <row r="3" spans="1:1" x14ac:dyDescent="0.25">
      <c r="A3" s="3" t="s">
        <v>59</v>
      </c>
    </row>
    <row r="6" spans="1:1" x14ac:dyDescent="0.25">
      <c r="A6" s="3" t="s">
        <v>58</v>
      </c>
    </row>
    <row r="7" spans="1:1" x14ac:dyDescent="0.25">
      <c r="A7" s="3" t="s">
        <v>60</v>
      </c>
    </row>
    <row r="8" spans="1:1" x14ac:dyDescent="0.25">
      <c r="A8" s="3" t="s">
        <v>61</v>
      </c>
    </row>
    <row r="9" spans="1:1" x14ac:dyDescent="0.25">
      <c r="A9" s="3" t="s">
        <v>62</v>
      </c>
    </row>
    <row r="10" spans="1:1" x14ac:dyDescent="0.25">
      <c r="A10" s="3" t="s">
        <v>64</v>
      </c>
    </row>
    <row r="11" spans="1:1" x14ac:dyDescent="0.25">
      <c r="A11" s="3" t="s">
        <v>63</v>
      </c>
    </row>
    <row r="12" spans="1:1" x14ac:dyDescent="0.25">
      <c r="A12" s="3" t="s">
        <v>65</v>
      </c>
    </row>
    <row r="13" spans="1:1" x14ac:dyDescent="0.25">
      <c r="A13" s="3" t="s">
        <v>66</v>
      </c>
    </row>
    <row r="14" spans="1:1" x14ac:dyDescent="0.25">
      <c r="A14" s="3" t="s">
        <v>67</v>
      </c>
    </row>
    <row r="16" spans="1:1" x14ac:dyDescent="0.25">
      <c r="A16" s="3" t="s">
        <v>68</v>
      </c>
    </row>
    <row r="17" spans="1:1" x14ac:dyDescent="0.25">
      <c r="A17" s="3" t="s">
        <v>69</v>
      </c>
    </row>
    <row r="18" spans="1:1" x14ac:dyDescent="0.25">
      <c r="A18" s="3" t="s">
        <v>70</v>
      </c>
    </row>
    <row r="19" spans="1:1" x14ac:dyDescent="0.25">
      <c r="A19" s="3" t="s">
        <v>71</v>
      </c>
    </row>
    <row r="20" spans="1:1" x14ac:dyDescent="0.25">
      <c r="A20" s="3" t="s">
        <v>73</v>
      </c>
    </row>
    <row r="23" spans="1:1" x14ac:dyDescent="0.25">
      <c r="A23" s="3" t="s">
        <v>72</v>
      </c>
    </row>
  </sheetData>
  <sheetProtection algorithmName="SHA-512" hashValue="I5Tv+cFI9DRn/caQV3/CSf9rgSWSWFJm4nIJ0V3T6VylQIIzKe6FCYnJ0qqNpenaFqjlQKPms5gpAqScEu1vYg==" saltValue="WuSBUDYPW33IXyiYyLXiEA=="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workbookViewId="0">
      <selection activeCell="B2" sqref="B2"/>
    </sheetView>
  </sheetViews>
  <sheetFormatPr defaultRowHeight="15" x14ac:dyDescent="0.25"/>
  <cols>
    <col min="1" max="1" width="32.85546875" style="3" customWidth="1"/>
    <col min="2" max="2" width="18.5703125" style="3" customWidth="1"/>
    <col min="3" max="3" width="27" style="3" customWidth="1"/>
    <col min="4" max="4" width="23.7109375" style="3" customWidth="1"/>
    <col min="5" max="5" width="13.28515625" style="3" customWidth="1"/>
    <col min="6" max="6" width="12.5703125" style="3" customWidth="1"/>
    <col min="7" max="16384" width="9.140625" style="3"/>
  </cols>
  <sheetData>
    <row r="1" spans="1:9" ht="15.75" thickBot="1" x14ac:dyDescent="0.3"/>
    <row r="2" spans="1:9" x14ac:dyDescent="0.25">
      <c r="A2" s="4" t="s">
        <v>0</v>
      </c>
      <c r="B2" s="2" t="s">
        <v>6</v>
      </c>
    </row>
    <row r="3" spans="1:9" x14ac:dyDescent="0.25">
      <c r="A3" s="5" t="s">
        <v>34</v>
      </c>
      <c r="B3" s="6">
        <f>LOOKUP(B2,'Data Tables'!A3:A14,'Data Tables'!B3:B14)</f>
        <v>119</v>
      </c>
      <c r="H3" s="7"/>
      <c r="I3" s="3" t="s">
        <v>74</v>
      </c>
    </row>
    <row r="4" spans="1:9" x14ac:dyDescent="0.25">
      <c r="A4" s="5" t="s">
        <v>16</v>
      </c>
      <c r="B4" s="6">
        <f>LOOKUP(B2,'Data Tables'!A18:A29,'Data Tables'!B18:B29)</f>
        <v>10.5</v>
      </c>
      <c r="H4" s="8"/>
      <c r="I4" s="3" t="s">
        <v>75</v>
      </c>
    </row>
    <row r="5" spans="1:9" x14ac:dyDescent="0.25">
      <c r="A5" s="5" t="s">
        <v>15</v>
      </c>
      <c r="B5" s="6">
        <f>LOOKUP(B2,'Data Tables'!A18:A29,'Data Tables'!C18:C29)</f>
        <v>20</v>
      </c>
      <c r="H5" s="9"/>
      <c r="I5" s="3" t="s">
        <v>76</v>
      </c>
    </row>
    <row r="6" spans="1:9" x14ac:dyDescent="0.25">
      <c r="A6" s="5" t="s">
        <v>20</v>
      </c>
      <c r="B6" s="6">
        <f>LOOKUP(B2,'Data Tables'!A33:A44,'Data Tables'!L33:L44)</f>
        <v>14.4</v>
      </c>
    </row>
    <row r="7" spans="1:9" x14ac:dyDescent="0.25">
      <c r="A7" s="5" t="s">
        <v>41</v>
      </c>
      <c r="B7" s="6">
        <f>LOOKUP(B2,'Data Tables'!A33:A44,'Data Tables'!M33:M44)</f>
        <v>5.8</v>
      </c>
      <c r="C7" s="3">
        <f>ROUNDDOWN(B7,0)</f>
        <v>5</v>
      </c>
    </row>
    <row r="8" spans="1:9" x14ac:dyDescent="0.25">
      <c r="A8" s="5" t="s">
        <v>42</v>
      </c>
      <c r="B8" s="6">
        <f>LOOKUP(B2,'Data Tables'!A33:A44,'Data Tables'!N33:N44)</f>
        <v>20.100000000000001</v>
      </c>
      <c r="C8" s="3">
        <f>ROUNDUP(B8,0)</f>
        <v>21</v>
      </c>
    </row>
    <row r="9" spans="1:9" x14ac:dyDescent="0.25">
      <c r="A9" s="5" t="s">
        <v>39</v>
      </c>
      <c r="B9" s="6">
        <f>ROUNDUP((B7+B8)/2,1)</f>
        <v>13</v>
      </c>
    </row>
    <row r="10" spans="1:9" x14ac:dyDescent="0.25">
      <c r="A10" s="5" t="s">
        <v>43</v>
      </c>
      <c r="B10" s="6">
        <f>LOOKUP(B2,'Data Tables'!A33:A44,'Data Tables'!O33:O44)</f>
        <v>0.90579710144927539</v>
      </c>
    </row>
    <row r="11" spans="1:9" x14ac:dyDescent="0.25">
      <c r="A11" s="5" t="s">
        <v>45</v>
      </c>
      <c r="B11" s="6">
        <f>ROUNDUP(MAX(D18:D42)/B10,1)</f>
        <v>58.300000000000004</v>
      </c>
    </row>
    <row r="12" spans="1:9" ht="15.75" thickBot="1" x14ac:dyDescent="0.3">
      <c r="A12" s="10" t="s">
        <v>49</v>
      </c>
      <c r="B12" s="11">
        <v>5.79</v>
      </c>
      <c r="C12" s="3" t="s">
        <v>50</v>
      </c>
    </row>
    <row r="13" spans="1:9" x14ac:dyDescent="0.25">
      <c r="A13" s="12" t="s">
        <v>51</v>
      </c>
      <c r="B13" s="13">
        <f>B12*1000*B11/100</f>
        <v>3375.57</v>
      </c>
    </row>
    <row r="14" spans="1:9" x14ac:dyDescent="0.25">
      <c r="A14" s="14" t="s">
        <v>53</v>
      </c>
      <c r="B14" s="15">
        <f>ROUND(B11,1)</f>
        <v>58.3</v>
      </c>
    </row>
    <row r="15" spans="1:9" ht="15.75" thickBot="1" x14ac:dyDescent="0.3">
      <c r="A15" s="16" t="s">
        <v>54</v>
      </c>
      <c r="B15" s="17">
        <f>ROUND(129*F43,1)</f>
        <v>19891.2</v>
      </c>
      <c r="C15" s="3" t="s">
        <v>56</v>
      </c>
    </row>
    <row r="16" spans="1:9" x14ac:dyDescent="0.25">
      <c r="E16" s="3" t="s">
        <v>46</v>
      </c>
    </row>
    <row r="17" spans="1:6" x14ac:dyDescent="0.25">
      <c r="A17" s="9" t="s">
        <v>36</v>
      </c>
      <c r="B17" s="9" t="s">
        <v>37</v>
      </c>
      <c r="C17" s="9" t="s">
        <v>52</v>
      </c>
      <c r="D17" s="9" t="s">
        <v>44</v>
      </c>
      <c r="E17" s="9" t="s">
        <v>47</v>
      </c>
      <c r="F17" s="9" t="s">
        <v>48</v>
      </c>
    </row>
    <row r="18" spans="1:6" x14ac:dyDescent="0.25">
      <c r="A18" s="9">
        <v>0</v>
      </c>
      <c r="B18" s="9">
        <f>$B$4+LOOKUP(A18,'Data Tables'!A47:A70,'Data Tables'!B47:B70)/100*($B$5-$B$4)</f>
        <v>12.4</v>
      </c>
      <c r="C18" s="9">
        <f>ROUND(IF(OR(A18&lt;$C$7,A18&gt;$C$8),0,ABS((((1-(ABS($B$9-A18)/($B$9-$B$7)))*$B$10)))),3)</f>
        <v>0</v>
      </c>
      <c r="D18" s="9">
        <f>(C18/$C$43)*$B$43</f>
        <v>0</v>
      </c>
      <c r="E18" s="9">
        <f>MIN(B18,D18)</f>
        <v>0</v>
      </c>
      <c r="F18" s="9">
        <f>B18-E18</f>
        <v>12.4</v>
      </c>
    </row>
    <row r="19" spans="1:6" x14ac:dyDescent="0.25">
      <c r="A19" s="9">
        <v>1</v>
      </c>
      <c r="B19" s="9">
        <f>$B$4+LOOKUP(A19,'Data Tables'!A48:A71,'Data Tables'!B48:B71)/100*($B$5-$B$4)</f>
        <v>11.925000000000001</v>
      </c>
      <c r="C19" s="9">
        <f t="shared" ref="C19:C41" si="0">ROUND(IF(OR(A19&lt;$C$7,A19&gt;$C$8),0,ABS((((1-(ABS($B$9-A19)/($B$9-$B$7)))*$B$10)))),3)</f>
        <v>0</v>
      </c>
      <c r="D19" s="9">
        <f>(C19/$C$43)*$B$43</f>
        <v>0</v>
      </c>
      <c r="E19" s="9">
        <f t="shared" ref="E19:E41" si="1">MIN(B19,D19)</f>
        <v>0</v>
      </c>
      <c r="F19" s="9">
        <f t="shared" ref="F19:F41" si="2">B19-E19</f>
        <v>11.925000000000001</v>
      </c>
    </row>
    <row r="20" spans="1:6" x14ac:dyDescent="0.25">
      <c r="A20" s="9">
        <v>2</v>
      </c>
      <c r="B20" s="9">
        <f>$B$4+LOOKUP(A20,'Data Tables'!A49:A72,'Data Tables'!B49:B72)/100*($B$5-$B$4)</f>
        <v>11.45</v>
      </c>
      <c r="C20" s="9">
        <f t="shared" si="0"/>
        <v>0</v>
      </c>
      <c r="D20" s="9">
        <f>(C20/$C$43)*$B$43</f>
        <v>0</v>
      </c>
      <c r="E20" s="9">
        <f t="shared" si="1"/>
        <v>0</v>
      </c>
      <c r="F20" s="9">
        <f t="shared" si="2"/>
        <v>11.45</v>
      </c>
    </row>
    <row r="21" spans="1:6" x14ac:dyDescent="0.25">
      <c r="A21" s="9">
        <v>3</v>
      </c>
      <c r="B21" s="9">
        <f>$B$4+LOOKUP(A21,'Data Tables'!A50:A73,'Data Tables'!B50:B73)/100*($B$5-$B$4)</f>
        <v>10.975</v>
      </c>
      <c r="C21" s="9">
        <f t="shared" si="0"/>
        <v>0</v>
      </c>
      <c r="D21" s="9">
        <f>(C21/$C$43)*$B$43</f>
        <v>0</v>
      </c>
      <c r="E21" s="9">
        <f t="shared" si="1"/>
        <v>0</v>
      </c>
      <c r="F21" s="9">
        <f t="shared" si="2"/>
        <v>10.975</v>
      </c>
    </row>
    <row r="22" spans="1:6" x14ac:dyDescent="0.25">
      <c r="A22" s="9">
        <v>4</v>
      </c>
      <c r="B22" s="9">
        <f>$B$4+LOOKUP(A22,'Data Tables'!A51:A74,'Data Tables'!B51:B74)/100*($B$5-$B$4)</f>
        <v>10.5</v>
      </c>
      <c r="C22" s="9">
        <f t="shared" si="0"/>
        <v>0</v>
      </c>
      <c r="D22" s="9">
        <f>(C22/$C$43)*$B$43</f>
        <v>0</v>
      </c>
      <c r="E22" s="9">
        <f t="shared" si="1"/>
        <v>0</v>
      </c>
      <c r="F22" s="9">
        <f t="shared" si="2"/>
        <v>10.5</v>
      </c>
    </row>
    <row r="23" spans="1:6" x14ac:dyDescent="0.25">
      <c r="A23" s="9">
        <v>5</v>
      </c>
      <c r="B23" s="9">
        <f>$B$4+LOOKUP(A23,'Data Tables'!A52:A75,'Data Tables'!B52:B75)/100*($B$5-$B$4)</f>
        <v>10.5</v>
      </c>
      <c r="C23" s="9">
        <f t="shared" si="0"/>
        <v>0.10100000000000001</v>
      </c>
      <c r="D23" s="9">
        <f>(C23/$C$43)*$B$43</f>
        <v>5.8867993772241984</v>
      </c>
      <c r="E23" s="9">
        <f t="shared" si="1"/>
        <v>5.8867993772241984</v>
      </c>
      <c r="F23" s="9">
        <f t="shared" si="2"/>
        <v>4.6132006227758016</v>
      </c>
    </row>
    <row r="24" spans="1:6" x14ac:dyDescent="0.25">
      <c r="A24" s="9">
        <v>6</v>
      </c>
      <c r="B24" s="9">
        <f>$B$4+LOOKUP(A24,'Data Tables'!A53:A76,'Data Tables'!B53:B76)/100*($B$5-$B$4)</f>
        <v>12.875</v>
      </c>
      <c r="C24" s="9">
        <f t="shared" si="0"/>
        <v>2.5000000000000001E-2</v>
      </c>
      <c r="D24" s="9">
        <f>(C24/$C$43)*$B$43</f>
        <v>1.4571285587188612</v>
      </c>
      <c r="E24" s="9">
        <f t="shared" si="1"/>
        <v>1.4571285587188612</v>
      </c>
      <c r="F24" s="9">
        <f t="shared" si="2"/>
        <v>11.41787144128114</v>
      </c>
    </row>
    <row r="25" spans="1:6" x14ac:dyDescent="0.25">
      <c r="A25" s="9">
        <v>7</v>
      </c>
      <c r="B25" s="9">
        <f>$B$4+LOOKUP(A25,'Data Tables'!A54:A77,'Data Tables'!B54:B77)/100*($B$5-$B$4)</f>
        <v>15.25</v>
      </c>
      <c r="C25" s="9">
        <f t="shared" si="0"/>
        <v>0.151</v>
      </c>
      <c r="D25" s="9">
        <f>(C25/$C$43)*$B$43</f>
        <v>8.8010564946619194</v>
      </c>
      <c r="E25" s="9">
        <f t="shared" si="1"/>
        <v>8.8010564946619194</v>
      </c>
      <c r="F25" s="9">
        <f t="shared" si="2"/>
        <v>6.4489435053380806</v>
      </c>
    </row>
    <row r="26" spans="1:6" x14ac:dyDescent="0.25">
      <c r="A26" s="9">
        <v>8</v>
      </c>
      <c r="B26" s="9">
        <f>$B$4+LOOKUP(A26,'Data Tables'!A55:A78,'Data Tables'!B55:B78)/100*($B$5-$B$4)</f>
        <v>17.625</v>
      </c>
      <c r="C26" s="9">
        <f t="shared" si="0"/>
        <v>0.27700000000000002</v>
      </c>
      <c r="D26" s="9">
        <f>(C26/$C$43)*$B$43</f>
        <v>16.144984430604982</v>
      </c>
      <c r="E26" s="9">
        <f t="shared" si="1"/>
        <v>16.144984430604982</v>
      </c>
      <c r="F26" s="9">
        <f t="shared" si="2"/>
        <v>1.4800155693950181</v>
      </c>
    </row>
    <row r="27" spans="1:6" x14ac:dyDescent="0.25">
      <c r="A27" s="9">
        <v>9</v>
      </c>
      <c r="B27" s="9">
        <f>$B$4+LOOKUP(A27,'Data Tables'!A56:A79,'Data Tables'!B56:B79)/100*($B$5-$B$4)</f>
        <v>19.524999999999999</v>
      </c>
      <c r="C27" s="9">
        <f t="shared" si="0"/>
        <v>0.40300000000000002</v>
      </c>
      <c r="D27" s="9">
        <f>(C27/$C$43)*$B$43</f>
        <v>23.488912366548039</v>
      </c>
      <c r="E27" s="9">
        <f t="shared" si="1"/>
        <v>19.524999999999999</v>
      </c>
      <c r="F27" s="9">
        <f t="shared" si="2"/>
        <v>0</v>
      </c>
    </row>
    <row r="28" spans="1:6" x14ac:dyDescent="0.25">
      <c r="A28" s="9">
        <v>10</v>
      </c>
      <c r="B28" s="9">
        <f>$B$4+LOOKUP(A28,'Data Tables'!A57:A80,'Data Tables'!B57:B80)/100*($B$5-$B$4)</f>
        <v>19.524999999999999</v>
      </c>
      <c r="C28" s="9">
        <f t="shared" si="0"/>
        <v>0.52800000000000002</v>
      </c>
      <c r="D28" s="9">
        <f>(C28/$C$43)*$B$43</f>
        <v>30.774555160142345</v>
      </c>
      <c r="E28" s="9">
        <f t="shared" si="1"/>
        <v>19.524999999999999</v>
      </c>
      <c r="F28" s="9">
        <f t="shared" si="2"/>
        <v>0</v>
      </c>
    </row>
    <row r="29" spans="1:6" x14ac:dyDescent="0.25">
      <c r="A29" s="9">
        <v>11</v>
      </c>
      <c r="B29" s="9">
        <f>$B$4+LOOKUP(A29,'Data Tables'!A58:A81,'Data Tables'!B58:B81)/100*($B$5-$B$4)</f>
        <v>19.524999999999999</v>
      </c>
      <c r="C29" s="9">
        <f t="shared" si="0"/>
        <v>0.65400000000000003</v>
      </c>
      <c r="D29" s="9">
        <f>(C29/$C$43)*$B$43</f>
        <v>38.118483096085406</v>
      </c>
      <c r="E29" s="9">
        <f t="shared" si="1"/>
        <v>19.524999999999999</v>
      </c>
      <c r="F29" s="9">
        <f t="shared" si="2"/>
        <v>0</v>
      </c>
    </row>
    <row r="30" spans="1:6" x14ac:dyDescent="0.25">
      <c r="A30" s="9">
        <v>12</v>
      </c>
      <c r="B30" s="9">
        <f>$B$4+LOOKUP(A30,'Data Tables'!A59:A82,'Data Tables'!B59:B82)/100*($B$5-$B$4)</f>
        <v>19.05</v>
      </c>
      <c r="C30" s="9">
        <f t="shared" si="0"/>
        <v>0.78</v>
      </c>
      <c r="D30" s="9">
        <f>(C30/$C$43)*$B$43</f>
        <v>45.462411032028463</v>
      </c>
      <c r="E30" s="9">
        <f t="shared" si="1"/>
        <v>19.05</v>
      </c>
      <c r="F30" s="9">
        <f t="shared" si="2"/>
        <v>0</v>
      </c>
    </row>
    <row r="31" spans="1:6" x14ac:dyDescent="0.25">
      <c r="A31" s="9">
        <v>13</v>
      </c>
      <c r="B31" s="9">
        <f>$B$4+LOOKUP(A31,'Data Tables'!A60:A83,'Data Tables'!B60:B83)/100*($B$5-$B$4)</f>
        <v>19.05</v>
      </c>
      <c r="C31" s="9">
        <f t="shared" si="0"/>
        <v>0.90600000000000003</v>
      </c>
      <c r="D31" s="9">
        <f>(C31/$C$43)*$B$43</f>
        <v>52.806338967971527</v>
      </c>
      <c r="E31" s="9">
        <f t="shared" si="1"/>
        <v>19.05</v>
      </c>
      <c r="F31" s="9">
        <f t="shared" si="2"/>
        <v>0</v>
      </c>
    </row>
    <row r="32" spans="1:6" x14ac:dyDescent="0.25">
      <c r="A32" s="9">
        <v>14</v>
      </c>
      <c r="B32" s="9">
        <f>$B$4+LOOKUP(A32,'Data Tables'!A61:A84,'Data Tables'!B61:B84)/100*($B$5-$B$4)</f>
        <v>19.05</v>
      </c>
      <c r="C32" s="9">
        <f t="shared" si="0"/>
        <v>0.78</v>
      </c>
      <c r="D32" s="9">
        <f>(C32/$C$43)*$B$43</f>
        <v>45.462411032028463</v>
      </c>
      <c r="E32" s="9">
        <f t="shared" si="1"/>
        <v>19.05</v>
      </c>
      <c r="F32" s="9">
        <f t="shared" si="2"/>
        <v>0</v>
      </c>
    </row>
    <row r="33" spans="1:6" x14ac:dyDescent="0.25">
      <c r="A33" s="9">
        <v>15</v>
      </c>
      <c r="B33" s="9">
        <f>$B$4+LOOKUP(A33,'Data Tables'!A62:A85,'Data Tables'!B62:B85)/100*($B$5-$B$4)</f>
        <v>19.05</v>
      </c>
      <c r="C33" s="9">
        <f t="shared" si="0"/>
        <v>0.65400000000000003</v>
      </c>
      <c r="D33" s="9">
        <f>(C33/$C$43)*$B$43</f>
        <v>38.118483096085406</v>
      </c>
      <c r="E33" s="9">
        <f t="shared" si="1"/>
        <v>19.05</v>
      </c>
      <c r="F33" s="9">
        <f t="shared" si="2"/>
        <v>0</v>
      </c>
    </row>
    <row r="34" spans="1:6" x14ac:dyDescent="0.25">
      <c r="A34" s="9">
        <v>16</v>
      </c>
      <c r="B34" s="9">
        <f>$B$4+LOOKUP(A34,'Data Tables'!A63:A86,'Data Tables'!B63:B86)/100*($B$5-$B$4)</f>
        <v>19.524999999999999</v>
      </c>
      <c r="C34" s="9">
        <f t="shared" si="0"/>
        <v>0.52800000000000002</v>
      </c>
      <c r="D34" s="9">
        <f>(C34/$C$43)*$B$43</f>
        <v>30.774555160142345</v>
      </c>
      <c r="E34" s="9">
        <f t="shared" si="1"/>
        <v>19.524999999999999</v>
      </c>
      <c r="F34" s="9">
        <f t="shared" si="2"/>
        <v>0</v>
      </c>
    </row>
    <row r="35" spans="1:6" x14ac:dyDescent="0.25">
      <c r="A35" s="9">
        <v>17</v>
      </c>
      <c r="B35" s="9">
        <f>$B$4+LOOKUP(A35,'Data Tables'!A64:A87,'Data Tables'!B64:B87)/100*($B$5-$B$4)</f>
        <v>20</v>
      </c>
      <c r="C35" s="9">
        <f t="shared" si="0"/>
        <v>0.40300000000000002</v>
      </c>
      <c r="D35" s="9">
        <f>(C35/$C$43)*$B$43</f>
        <v>23.488912366548039</v>
      </c>
      <c r="E35" s="9">
        <f t="shared" si="1"/>
        <v>20</v>
      </c>
      <c r="F35" s="9">
        <f t="shared" si="2"/>
        <v>0</v>
      </c>
    </row>
    <row r="36" spans="1:6" x14ac:dyDescent="0.25">
      <c r="A36" s="9">
        <v>18</v>
      </c>
      <c r="B36" s="9">
        <f>$B$4+LOOKUP(A36,'Data Tables'!A65:A88,'Data Tables'!B65:B88)/100*($B$5-$B$4)</f>
        <v>20</v>
      </c>
      <c r="C36" s="9">
        <f t="shared" si="0"/>
        <v>0.27700000000000002</v>
      </c>
      <c r="D36" s="9">
        <f>(C36/$C$43)*$B$43</f>
        <v>16.144984430604982</v>
      </c>
      <c r="E36" s="9">
        <f t="shared" si="1"/>
        <v>16.144984430604982</v>
      </c>
      <c r="F36" s="9">
        <f t="shared" si="2"/>
        <v>3.8550155693950181</v>
      </c>
    </row>
    <row r="37" spans="1:6" x14ac:dyDescent="0.25">
      <c r="A37" s="9">
        <v>19</v>
      </c>
      <c r="B37" s="9">
        <f>$B$4+LOOKUP(A37,'Data Tables'!A66:A89,'Data Tables'!B66:B89)/100*($B$5-$B$4)</f>
        <v>20</v>
      </c>
      <c r="C37" s="9">
        <f t="shared" si="0"/>
        <v>0.151</v>
      </c>
      <c r="D37" s="9">
        <f>(C37/$C$43)*$B$43</f>
        <v>8.8010564946619194</v>
      </c>
      <c r="E37" s="9">
        <f t="shared" si="1"/>
        <v>8.8010564946619194</v>
      </c>
      <c r="F37" s="9">
        <f t="shared" si="2"/>
        <v>11.198943505338081</v>
      </c>
    </row>
    <row r="38" spans="1:6" x14ac:dyDescent="0.25">
      <c r="A38" s="9">
        <v>20</v>
      </c>
      <c r="B38" s="9">
        <f>$B$4+LOOKUP(A38,'Data Tables'!A67:A90,'Data Tables'!B67:B90)/100*($B$5-$B$4)</f>
        <v>19.524999999999999</v>
      </c>
      <c r="C38" s="9">
        <f t="shared" si="0"/>
        <v>2.5000000000000001E-2</v>
      </c>
      <c r="D38" s="9">
        <f>(C38/$C$43)*$B$43</f>
        <v>1.4571285587188612</v>
      </c>
      <c r="E38" s="9">
        <f t="shared" si="1"/>
        <v>1.4571285587188612</v>
      </c>
      <c r="F38" s="9">
        <f t="shared" si="2"/>
        <v>18.067871441281138</v>
      </c>
    </row>
    <row r="39" spans="1:6" x14ac:dyDescent="0.25">
      <c r="A39" s="9">
        <v>21</v>
      </c>
      <c r="B39" s="9">
        <f>$B$4+LOOKUP(A39,'Data Tables'!A68:A91,'Data Tables'!B68:B91)/100*($B$5-$B$4)</f>
        <v>17.625</v>
      </c>
      <c r="C39" s="9">
        <f t="shared" si="0"/>
        <v>0.10100000000000001</v>
      </c>
      <c r="D39" s="9">
        <f>(C39/$C$43)*$B$43</f>
        <v>5.8867993772241984</v>
      </c>
      <c r="E39" s="9">
        <f t="shared" si="1"/>
        <v>5.8867993772241984</v>
      </c>
      <c r="F39" s="9">
        <f t="shared" si="2"/>
        <v>11.738200622775802</v>
      </c>
    </row>
    <row r="40" spans="1:6" x14ac:dyDescent="0.25">
      <c r="A40" s="9">
        <v>22</v>
      </c>
      <c r="B40" s="9">
        <f>$B$4+LOOKUP(A40,'Data Tables'!A69:A92,'Data Tables'!B69:B92)/100*($B$5-$B$4)</f>
        <v>15.25</v>
      </c>
      <c r="C40" s="9">
        <f t="shared" si="0"/>
        <v>0</v>
      </c>
      <c r="D40" s="9">
        <f>(C40/$C$43)*$B$43</f>
        <v>0</v>
      </c>
      <c r="E40" s="9">
        <f t="shared" si="1"/>
        <v>0</v>
      </c>
      <c r="F40" s="9">
        <f t="shared" si="2"/>
        <v>15.25</v>
      </c>
    </row>
    <row r="41" spans="1:6" x14ac:dyDescent="0.25">
      <c r="A41" s="9">
        <v>23</v>
      </c>
      <c r="B41" s="9">
        <f>$B$4+LOOKUP(A41,'Data Tables'!A70:A93,'Data Tables'!B70:B93)/100*($B$5-$B$4)</f>
        <v>12.875</v>
      </c>
      <c r="C41" s="9">
        <f t="shared" si="0"/>
        <v>0</v>
      </c>
      <c r="D41" s="9">
        <f>(C41/$C$43)*$B$43</f>
        <v>0</v>
      </c>
      <c r="E41" s="9">
        <f t="shared" si="1"/>
        <v>0</v>
      </c>
      <c r="F41" s="9">
        <f t="shared" si="2"/>
        <v>12.875</v>
      </c>
    </row>
    <row r="42" spans="1:6" x14ac:dyDescent="0.25">
      <c r="A42" s="9"/>
      <c r="B42" s="9"/>
      <c r="C42" s="9"/>
      <c r="D42" s="9"/>
      <c r="E42" s="9"/>
      <c r="F42" s="9"/>
    </row>
    <row r="43" spans="1:6" x14ac:dyDescent="0.25">
      <c r="A43" s="9" t="s">
        <v>38</v>
      </c>
      <c r="B43" s="9">
        <f>SUM(B18:B41)</f>
        <v>393.07500000000005</v>
      </c>
      <c r="C43" s="9">
        <f>SUM(C18:C41)</f>
        <v>6.7440000000000015</v>
      </c>
      <c r="D43" s="9">
        <f>SUM(D18:D41)</f>
        <v>393.07499999999999</v>
      </c>
      <c r="E43" s="9">
        <f t="shared" ref="E43:F43" si="3">SUM(E18:E41)</f>
        <v>238.87993772241992</v>
      </c>
      <c r="F43" s="9">
        <f t="shared" si="3"/>
        <v>154.19506227758009</v>
      </c>
    </row>
  </sheetData>
  <sheetProtection algorithmName="SHA-512" hashValue="QD7izxXmbLpFc5b1pGClHpKwgZxcvBEfenhUMw3vOAwxUF4QYDD1Ek1Me4jKTqir9iJ7uqitWsWUUSi8r5uAmA==" saltValue="dcou+ACEQga6tYx1dhEAUQ==" spinCount="100000" sheet="1" objects="1" scenarios="1" selectLockedCells="1"/>
  <dataValidations count="1">
    <dataValidation type="list" allowBlank="1" showInputMessage="1" showErrorMessage="1" sqref="B2" xr:uid="{6B344859-7DA4-4D91-9D5B-29C3E43E6940}">
      <formula1>"January,February,March,April,May,June,July,August,September,October,November,December"</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6307-96A1-4B87-BD63-55D5F93232A3}">
  <dimension ref="A1:O70"/>
  <sheetViews>
    <sheetView workbookViewId="0">
      <selection sqref="A1:XFD1048576"/>
    </sheetView>
  </sheetViews>
  <sheetFormatPr defaultRowHeight="15" x14ac:dyDescent="0.25"/>
  <cols>
    <col min="1" max="1" width="11.28515625" style="1" customWidth="1"/>
    <col min="2" max="5" width="9.140625" style="1"/>
    <col min="6" max="6" width="12.85546875" style="1" customWidth="1"/>
    <col min="7" max="7" width="13.42578125" style="1" customWidth="1"/>
    <col min="8" max="8" width="11" style="1" customWidth="1"/>
    <col min="9" max="14" width="9.140625" style="1"/>
    <col min="15" max="15" width="13.42578125" style="1" customWidth="1"/>
    <col min="16" max="16384" width="9.140625" style="1"/>
  </cols>
  <sheetData>
    <row r="1" spans="1:2" x14ac:dyDescent="0.25">
      <c r="A1" s="1" t="s">
        <v>14</v>
      </c>
    </row>
    <row r="2" spans="1:2" x14ac:dyDescent="0.25">
      <c r="A2" s="1" t="s">
        <v>2</v>
      </c>
    </row>
    <row r="3" spans="1:2" x14ac:dyDescent="0.25">
      <c r="A3" s="1" t="s">
        <v>5</v>
      </c>
      <c r="B3" s="1">
        <v>115</v>
      </c>
    </row>
    <row r="4" spans="1:2" x14ac:dyDescent="0.25">
      <c r="A4" s="1" t="s">
        <v>9</v>
      </c>
      <c r="B4" s="1">
        <v>118</v>
      </c>
    </row>
    <row r="5" spans="1:2" x14ac:dyDescent="0.25">
      <c r="A5" s="1" t="s">
        <v>13</v>
      </c>
      <c r="B5" s="1">
        <v>52</v>
      </c>
    </row>
    <row r="6" spans="1:2" x14ac:dyDescent="0.25">
      <c r="A6" s="1" t="s">
        <v>3</v>
      </c>
      <c r="B6" s="1">
        <v>92</v>
      </c>
    </row>
    <row r="7" spans="1:2" x14ac:dyDescent="0.25">
      <c r="A7" s="1" t="s">
        <v>1</v>
      </c>
      <c r="B7" s="1">
        <v>66</v>
      </c>
    </row>
    <row r="8" spans="1:2" x14ac:dyDescent="0.25">
      <c r="A8" s="1" t="s">
        <v>8</v>
      </c>
      <c r="B8" s="1">
        <v>125</v>
      </c>
    </row>
    <row r="9" spans="1:2" x14ac:dyDescent="0.25">
      <c r="A9" s="1" t="s">
        <v>7</v>
      </c>
      <c r="B9" s="1">
        <v>124</v>
      </c>
    </row>
    <row r="10" spans="1:2" x14ac:dyDescent="0.25">
      <c r="A10" s="1" t="s">
        <v>4</v>
      </c>
      <c r="B10" s="1">
        <v>109</v>
      </c>
    </row>
    <row r="11" spans="1:2" x14ac:dyDescent="0.25">
      <c r="A11" s="1" t="s">
        <v>6</v>
      </c>
      <c r="B11" s="1">
        <v>119</v>
      </c>
    </row>
    <row r="12" spans="1:2" x14ac:dyDescent="0.25">
      <c r="A12" s="1" t="s">
        <v>12</v>
      </c>
      <c r="B12" s="1">
        <v>56</v>
      </c>
    </row>
    <row r="13" spans="1:2" x14ac:dyDescent="0.25">
      <c r="A13" s="1" t="s">
        <v>11</v>
      </c>
      <c r="B13" s="1">
        <v>86</v>
      </c>
    </row>
    <row r="14" spans="1:2" x14ac:dyDescent="0.25">
      <c r="A14" s="1" t="s">
        <v>10</v>
      </c>
      <c r="B14" s="1">
        <v>104</v>
      </c>
    </row>
    <row r="16" spans="1:2" x14ac:dyDescent="0.25">
      <c r="A16" s="1" t="s">
        <v>17</v>
      </c>
    </row>
    <row r="17" spans="1:15" x14ac:dyDescent="0.25">
      <c r="B17" s="1" t="s">
        <v>18</v>
      </c>
      <c r="C17" s="1" t="s">
        <v>19</v>
      </c>
    </row>
    <row r="18" spans="1:15" x14ac:dyDescent="0.25">
      <c r="A18" s="1" t="s">
        <v>5</v>
      </c>
      <c r="B18" s="1">
        <v>11</v>
      </c>
      <c r="C18" s="1">
        <v>17.5</v>
      </c>
    </row>
    <row r="19" spans="1:15" x14ac:dyDescent="0.25">
      <c r="A19" s="1" t="s">
        <v>9</v>
      </c>
      <c r="B19" s="1">
        <v>11</v>
      </c>
      <c r="C19" s="1">
        <v>22.5</v>
      </c>
    </row>
    <row r="20" spans="1:15" x14ac:dyDescent="0.25">
      <c r="A20" s="1" t="s">
        <v>13</v>
      </c>
      <c r="B20" s="1">
        <v>13.5</v>
      </c>
      <c r="C20" s="1">
        <v>20.5</v>
      </c>
    </row>
    <row r="21" spans="1:15" x14ac:dyDescent="0.25">
      <c r="A21" s="1" t="s">
        <v>3</v>
      </c>
      <c r="B21" s="1">
        <v>15</v>
      </c>
      <c r="C21" s="1">
        <v>21</v>
      </c>
    </row>
    <row r="22" spans="1:15" x14ac:dyDescent="0.25">
      <c r="A22" s="1" t="s">
        <v>1</v>
      </c>
      <c r="B22" s="1">
        <v>13.5</v>
      </c>
      <c r="C22" s="1">
        <v>22</v>
      </c>
    </row>
    <row r="23" spans="1:15" x14ac:dyDescent="0.25">
      <c r="A23" s="1" t="s">
        <v>8</v>
      </c>
      <c r="B23" s="1">
        <v>11.5</v>
      </c>
      <c r="C23" s="1">
        <v>23</v>
      </c>
    </row>
    <row r="24" spans="1:15" x14ac:dyDescent="0.25">
      <c r="A24" s="1" t="s">
        <v>7</v>
      </c>
      <c r="B24" s="1">
        <v>10.5</v>
      </c>
      <c r="C24" s="1">
        <v>20</v>
      </c>
    </row>
    <row r="25" spans="1:15" x14ac:dyDescent="0.25">
      <c r="A25" s="1" t="s">
        <v>4</v>
      </c>
      <c r="B25" s="1">
        <v>12.5</v>
      </c>
      <c r="C25" s="1">
        <v>20</v>
      </c>
    </row>
    <row r="26" spans="1:15" x14ac:dyDescent="0.25">
      <c r="A26" s="1" t="s">
        <v>6</v>
      </c>
      <c r="B26" s="1">
        <v>10.5</v>
      </c>
      <c r="C26" s="1">
        <v>20</v>
      </c>
    </row>
    <row r="27" spans="1:15" x14ac:dyDescent="0.25">
      <c r="A27" s="1" t="s">
        <v>12</v>
      </c>
      <c r="B27" s="1">
        <v>12.5</v>
      </c>
      <c r="C27" s="1">
        <v>20</v>
      </c>
    </row>
    <row r="28" spans="1:15" x14ac:dyDescent="0.25">
      <c r="A28" s="1" t="s">
        <v>11</v>
      </c>
      <c r="B28" s="1">
        <v>11</v>
      </c>
      <c r="C28" s="1">
        <v>17.5</v>
      </c>
    </row>
    <row r="29" spans="1:15" x14ac:dyDescent="0.25">
      <c r="A29" s="1" t="s">
        <v>10</v>
      </c>
      <c r="B29" s="1">
        <v>10.5</v>
      </c>
      <c r="C29" s="1">
        <v>21</v>
      </c>
    </row>
    <row r="31" spans="1:15" x14ac:dyDescent="0.25">
      <c r="A31" s="1" t="s">
        <v>32</v>
      </c>
    </row>
    <row r="32" spans="1:15" x14ac:dyDescent="0.25">
      <c r="B32" s="1" t="s">
        <v>21</v>
      </c>
      <c r="C32" s="1" t="s">
        <v>18</v>
      </c>
      <c r="D32" s="1" t="s">
        <v>22</v>
      </c>
      <c r="E32" s="1" t="s">
        <v>23</v>
      </c>
      <c r="F32" s="1" t="s">
        <v>24</v>
      </c>
      <c r="G32" s="1" t="s">
        <v>25</v>
      </c>
      <c r="H32" s="1" t="s">
        <v>26</v>
      </c>
      <c r="I32" s="1" t="s">
        <v>33</v>
      </c>
      <c r="L32" s="1" t="s">
        <v>31</v>
      </c>
      <c r="M32" s="1" t="s">
        <v>35</v>
      </c>
      <c r="O32" s="1" t="s">
        <v>40</v>
      </c>
    </row>
    <row r="33" spans="1:15" x14ac:dyDescent="0.25">
      <c r="A33" s="1" t="s">
        <v>5</v>
      </c>
      <c r="B33" s="1">
        <v>12</v>
      </c>
      <c r="C33" s="1">
        <v>49</v>
      </c>
      <c r="D33" s="1">
        <v>24</v>
      </c>
      <c r="E33" s="1">
        <v>6</v>
      </c>
      <c r="F33" s="1">
        <v>42</v>
      </c>
      <c r="G33" s="1">
        <v>7</v>
      </c>
      <c r="H33" s="1">
        <v>31</v>
      </c>
      <c r="I33" s="1">
        <v>30</v>
      </c>
      <c r="L33" s="1">
        <f>ROUNDUP((B33*3600+C33*60+D33)/(60*60),1)</f>
        <v>12.9</v>
      </c>
      <c r="M33" s="1">
        <f>ROUNDDOWN(E33+(F33/60),1)</f>
        <v>6.7</v>
      </c>
      <c r="N33" s="1">
        <f>ROUNDDOWN(G33+12+(H33/60),1)</f>
        <v>19.5</v>
      </c>
      <c r="O33" s="1">
        <f>0.5+((L33-$L$45)/($L$46-$L$45)/2)</f>
        <v>0.79710144927536242</v>
      </c>
    </row>
    <row r="34" spans="1:15" x14ac:dyDescent="0.25">
      <c r="A34" s="1" t="s">
        <v>9</v>
      </c>
      <c r="B34" s="1">
        <v>13</v>
      </c>
      <c r="C34" s="1">
        <v>17</v>
      </c>
      <c r="D34" s="1">
        <v>31</v>
      </c>
      <c r="E34" s="1">
        <v>6</v>
      </c>
      <c r="F34" s="1">
        <v>23</v>
      </c>
      <c r="G34" s="1">
        <v>7</v>
      </c>
      <c r="H34" s="1">
        <v>41</v>
      </c>
      <c r="I34" s="1">
        <v>31</v>
      </c>
      <c r="L34" s="1">
        <f>ROUNDUP((B34*3600+C34*60+D34)/(60*60),1)</f>
        <v>13.299999999999999</v>
      </c>
      <c r="M34" s="1">
        <f>ROUNDDOWN(E34+(F34/60),1)</f>
        <v>6.3</v>
      </c>
      <c r="N34" s="1">
        <f>ROUNDDOWN(G34+12+(H34/60),1)</f>
        <v>19.600000000000001</v>
      </c>
      <c r="O34" s="1">
        <f t="shared" ref="O34:O44" si="0">0.5+((L34-$L$45)/($L$46-$L$45)/2)</f>
        <v>0.82608695652173914</v>
      </c>
    </row>
    <row r="35" spans="1:15" x14ac:dyDescent="0.25">
      <c r="A35" s="1" t="s">
        <v>13</v>
      </c>
      <c r="B35" s="1">
        <v>8</v>
      </c>
      <c r="C35" s="1">
        <v>42</v>
      </c>
      <c r="D35" s="1">
        <v>52</v>
      </c>
      <c r="E35" s="1">
        <v>7</v>
      </c>
      <c r="F35" s="1">
        <v>39</v>
      </c>
      <c r="G35" s="1">
        <v>4</v>
      </c>
      <c r="H35" s="1">
        <v>22</v>
      </c>
      <c r="I35" s="1">
        <v>31</v>
      </c>
      <c r="L35" s="1">
        <f>ROUNDUP((B35*3600+C35*60+D35)/(60*60),1)</f>
        <v>8.7999999999999989</v>
      </c>
      <c r="M35" s="1">
        <f>ROUNDDOWN(E35+(F35/60),1)</f>
        <v>7.6</v>
      </c>
      <c r="N35" s="1">
        <f>ROUNDDOWN(G35+12+(H35/60),1)</f>
        <v>16.3</v>
      </c>
      <c r="O35" s="1">
        <f t="shared" si="0"/>
        <v>0.5</v>
      </c>
    </row>
    <row r="36" spans="1:15" x14ac:dyDescent="0.25">
      <c r="A36" s="1" t="s">
        <v>3</v>
      </c>
      <c r="B36" s="1">
        <v>10</v>
      </c>
      <c r="C36" s="1">
        <v>3</v>
      </c>
      <c r="D36" s="1">
        <v>59</v>
      </c>
      <c r="E36" s="1">
        <v>7</v>
      </c>
      <c r="F36" s="1">
        <v>24</v>
      </c>
      <c r="G36" s="1">
        <v>5</v>
      </c>
      <c r="H36" s="1">
        <v>9</v>
      </c>
      <c r="I36" s="1">
        <v>28</v>
      </c>
      <c r="L36" s="1">
        <f>ROUNDUP((B36*3600+C36*60+D36)/(60*60),1)</f>
        <v>10.1</v>
      </c>
      <c r="M36" s="1">
        <f>ROUNDDOWN(E36+(F36/60),1)</f>
        <v>7.4</v>
      </c>
      <c r="N36" s="1">
        <f>ROUNDDOWN(G36+12+(H36/60),1)</f>
        <v>17.100000000000001</v>
      </c>
      <c r="O36" s="1">
        <f t="shared" si="0"/>
        <v>0.59420289855072472</v>
      </c>
    </row>
    <row r="37" spans="1:15" x14ac:dyDescent="0.25">
      <c r="A37" s="1" t="s">
        <v>1</v>
      </c>
      <c r="B37" s="1">
        <v>8</v>
      </c>
      <c r="C37" s="1">
        <v>47</v>
      </c>
      <c r="D37" s="1">
        <v>25</v>
      </c>
      <c r="E37" s="1">
        <v>7</v>
      </c>
      <c r="F37" s="1">
        <v>42</v>
      </c>
      <c r="G37" s="1">
        <v>4</v>
      </c>
      <c r="H37" s="1">
        <v>30</v>
      </c>
      <c r="I37" s="1">
        <v>31</v>
      </c>
      <c r="L37" s="1">
        <f>ROUNDUP((B37*3600+C37*60+D37)/(60*60),1)</f>
        <v>8.7999999999999989</v>
      </c>
      <c r="M37" s="1">
        <f>ROUNDDOWN(E37+(F37/60),1)</f>
        <v>7.7</v>
      </c>
      <c r="N37" s="1">
        <f>ROUNDDOWN(G37+12+(H37/60),1)</f>
        <v>16.5</v>
      </c>
      <c r="O37" s="1">
        <f t="shared" si="0"/>
        <v>0.5</v>
      </c>
    </row>
    <row r="38" spans="1:15" x14ac:dyDescent="0.25">
      <c r="A38" s="1" t="s">
        <v>8</v>
      </c>
      <c r="B38" s="1">
        <v>14</v>
      </c>
      <c r="C38" s="1">
        <v>44</v>
      </c>
      <c r="D38" s="1">
        <v>42</v>
      </c>
      <c r="E38" s="1">
        <v>5</v>
      </c>
      <c r="F38" s="1">
        <v>46</v>
      </c>
      <c r="G38" s="1">
        <v>8</v>
      </c>
      <c r="H38" s="1">
        <v>31</v>
      </c>
      <c r="I38" s="1">
        <v>31</v>
      </c>
      <c r="L38" s="1">
        <f>ROUNDUP((B38*3600+C38*60+D38)/(60*60),1)</f>
        <v>14.799999999999999</v>
      </c>
      <c r="M38" s="1">
        <f>ROUNDDOWN(E38+(F38/60),1)</f>
        <v>5.7</v>
      </c>
      <c r="N38" s="1">
        <f>ROUNDDOWN(G38+12+(H38/60),1)</f>
        <v>20.5</v>
      </c>
      <c r="O38" s="1">
        <f t="shared" si="0"/>
        <v>0.93478260869565211</v>
      </c>
    </row>
    <row r="39" spans="1:15" x14ac:dyDescent="0.25">
      <c r="A39" s="1" t="s">
        <v>7</v>
      </c>
      <c r="B39" s="1">
        <v>15</v>
      </c>
      <c r="C39" s="1">
        <v>40</v>
      </c>
      <c r="D39" s="1">
        <v>24</v>
      </c>
      <c r="E39" s="1">
        <v>5</v>
      </c>
      <c r="F39" s="1">
        <v>14</v>
      </c>
      <c r="G39" s="1">
        <v>8</v>
      </c>
      <c r="H39" s="1">
        <v>54</v>
      </c>
      <c r="I39" s="1">
        <v>30</v>
      </c>
      <c r="L39" s="1">
        <f>ROUNDUP((B39*3600+C39*60+D39)/(60*60),1)</f>
        <v>15.7</v>
      </c>
      <c r="M39" s="1">
        <f>ROUNDDOWN(E39+(F39/60),1)</f>
        <v>5.2</v>
      </c>
      <c r="N39" s="1">
        <f>ROUNDDOWN(G39+12+(H39/60),1)</f>
        <v>20.9</v>
      </c>
      <c r="O39" s="1">
        <f t="shared" si="0"/>
        <v>1</v>
      </c>
    </row>
    <row r="40" spans="1:15" x14ac:dyDescent="0.25">
      <c r="A40" s="1" t="s">
        <v>4</v>
      </c>
      <c r="B40" s="1">
        <v>11</v>
      </c>
      <c r="C40" s="1">
        <v>10</v>
      </c>
      <c r="D40" s="1">
        <v>28</v>
      </c>
      <c r="E40" s="1">
        <v>6</v>
      </c>
      <c r="F40" s="1">
        <v>40</v>
      </c>
      <c r="G40" s="1">
        <v>5</v>
      </c>
      <c r="H40" s="1">
        <v>50</v>
      </c>
      <c r="I40" s="1">
        <v>31</v>
      </c>
      <c r="J40" s="1" t="s">
        <v>27</v>
      </c>
      <c r="L40" s="1">
        <f>ROUNDUP((B40*3600+C40*60+D40)/(60*60),1)</f>
        <v>11.2</v>
      </c>
      <c r="M40" s="1">
        <f>ROUNDDOWN(E40+(F40/60),1)</f>
        <v>6.6</v>
      </c>
      <c r="N40" s="1">
        <f>ROUNDDOWN(G40+12+(H40/60),1)</f>
        <v>17.8</v>
      </c>
      <c r="O40" s="1">
        <f t="shared" si="0"/>
        <v>0.67391304347826086</v>
      </c>
    </row>
    <row r="41" spans="1:15" x14ac:dyDescent="0.25">
      <c r="A41" s="1" t="s">
        <v>6</v>
      </c>
      <c r="B41" s="1">
        <v>14</v>
      </c>
      <c r="C41" s="1">
        <v>19</v>
      </c>
      <c r="D41" s="1">
        <v>41</v>
      </c>
      <c r="E41" s="1">
        <v>5</v>
      </c>
      <c r="F41" s="1">
        <v>50</v>
      </c>
      <c r="G41" s="1">
        <v>8</v>
      </c>
      <c r="H41" s="1">
        <v>10</v>
      </c>
      <c r="I41" s="1">
        <v>30</v>
      </c>
      <c r="L41" s="1">
        <f>ROUNDUP((B41*3600+C41*60+D41)/(60*60),1)</f>
        <v>14.4</v>
      </c>
      <c r="M41" s="1">
        <f>ROUNDDOWN(E41+(F41/60),1)</f>
        <v>5.8</v>
      </c>
      <c r="N41" s="1">
        <f>ROUNDDOWN(G41+12+(H41/60),1)</f>
        <v>20.100000000000001</v>
      </c>
      <c r="O41" s="1">
        <f t="shared" si="0"/>
        <v>0.90579710144927539</v>
      </c>
    </row>
    <row r="42" spans="1:15" x14ac:dyDescent="0.25">
      <c r="A42" s="1" t="s">
        <v>12</v>
      </c>
      <c r="B42" s="1">
        <v>8</v>
      </c>
      <c r="C42" s="1">
        <v>59</v>
      </c>
      <c r="D42" s="1">
        <v>49</v>
      </c>
      <c r="E42" s="1">
        <v>7</v>
      </c>
      <c r="F42" s="1">
        <v>21</v>
      </c>
      <c r="G42" s="1">
        <v>4</v>
      </c>
      <c r="H42" s="1">
        <v>21</v>
      </c>
      <c r="I42" s="1">
        <v>30</v>
      </c>
      <c r="J42" s="1" t="s">
        <v>28</v>
      </c>
      <c r="L42" s="1">
        <f>ROUNDUP((B42*3600+C42*60+D42)/(60*60),1)</f>
        <v>9</v>
      </c>
      <c r="M42" s="1">
        <f>ROUNDDOWN(E42+(F42/60),1)</f>
        <v>7.3</v>
      </c>
      <c r="N42" s="1">
        <f>ROUNDDOWN(G42+12+(H42/60),1)</f>
        <v>16.3</v>
      </c>
      <c r="O42" s="1">
        <f t="shared" si="0"/>
        <v>0.51449275362318847</v>
      </c>
    </row>
    <row r="43" spans="1:15" x14ac:dyDescent="0.25">
      <c r="A43" s="1" t="s">
        <v>11</v>
      </c>
      <c r="B43" s="1">
        <v>10</v>
      </c>
      <c r="C43" s="1">
        <v>9</v>
      </c>
      <c r="D43" s="1">
        <v>13</v>
      </c>
      <c r="E43" s="1">
        <v>7</v>
      </c>
      <c r="F43" s="1">
        <v>41</v>
      </c>
      <c r="G43" s="1">
        <v>5</v>
      </c>
      <c r="H43" s="1">
        <v>50</v>
      </c>
      <c r="I43" s="1">
        <v>31</v>
      </c>
      <c r="L43" s="1">
        <f>ROUNDUP((B43*3600+C43*60+D43)/(60*60),1)</f>
        <v>10.199999999999999</v>
      </c>
      <c r="M43" s="1">
        <f>ROUNDDOWN(E43+(F43/60),1)</f>
        <v>7.6</v>
      </c>
      <c r="N43" s="1">
        <f>ROUNDDOWN(G43+12+(H43/60),1)</f>
        <v>17.8</v>
      </c>
      <c r="O43" s="1">
        <f t="shared" si="0"/>
        <v>0.60144927536231885</v>
      </c>
    </row>
    <row r="44" spans="1:15" x14ac:dyDescent="0.25">
      <c r="A44" s="1" t="s">
        <v>10</v>
      </c>
      <c r="B44" s="1">
        <v>11</v>
      </c>
      <c r="C44" s="1">
        <v>43</v>
      </c>
      <c r="D44" s="1">
        <v>34</v>
      </c>
      <c r="E44" s="1">
        <v>7</v>
      </c>
      <c r="F44" s="1">
        <v>0</v>
      </c>
      <c r="G44" s="1">
        <v>6</v>
      </c>
      <c r="H44" s="1">
        <v>43</v>
      </c>
      <c r="I44" s="1">
        <v>30</v>
      </c>
      <c r="L44" s="1">
        <f>ROUNDUP((B44*3600+C44*60+D44)/(60*60),1)</f>
        <v>11.799999999999999</v>
      </c>
      <c r="M44" s="1">
        <f>ROUNDDOWN(E44+(F44/60),1)</f>
        <v>7</v>
      </c>
      <c r="N44" s="1">
        <f>ROUNDDOWN(G44+12+(H44/60),1)</f>
        <v>18.7</v>
      </c>
      <c r="O44" s="1">
        <f t="shared" si="0"/>
        <v>0.71739130434782605</v>
      </c>
    </row>
    <row r="45" spans="1:15" x14ac:dyDescent="0.25">
      <c r="K45" s="1" t="s">
        <v>18</v>
      </c>
      <c r="L45" s="1">
        <f>MIN(L33:L44)</f>
        <v>8.7999999999999989</v>
      </c>
    </row>
    <row r="46" spans="1:15" x14ac:dyDescent="0.25">
      <c r="A46" s="1" t="s">
        <v>29</v>
      </c>
      <c r="B46" s="1" t="s">
        <v>30</v>
      </c>
      <c r="K46" s="1" t="s">
        <v>19</v>
      </c>
      <c r="L46" s="1">
        <f>MAX(L33:L45)</f>
        <v>15.7</v>
      </c>
    </row>
    <row r="47" spans="1:15" x14ac:dyDescent="0.25">
      <c r="A47" s="1">
        <v>0</v>
      </c>
      <c r="B47" s="1">
        <v>20</v>
      </c>
    </row>
    <row r="48" spans="1:15" x14ac:dyDescent="0.25">
      <c r="A48" s="1">
        <v>1</v>
      </c>
      <c r="B48" s="1">
        <v>15</v>
      </c>
    </row>
    <row r="49" spans="1:2" x14ac:dyDescent="0.25">
      <c r="A49" s="1">
        <v>2</v>
      </c>
      <c r="B49" s="1">
        <v>10</v>
      </c>
    </row>
    <row r="50" spans="1:2" x14ac:dyDescent="0.25">
      <c r="A50" s="1">
        <v>3</v>
      </c>
      <c r="B50" s="1">
        <v>5</v>
      </c>
    </row>
    <row r="51" spans="1:2" x14ac:dyDescent="0.25">
      <c r="A51" s="1">
        <v>4</v>
      </c>
      <c r="B51" s="1">
        <v>0</v>
      </c>
    </row>
    <row r="52" spans="1:2" x14ac:dyDescent="0.25">
      <c r="A52" s="1">
        <v>5</v>
      </c>
      <c r="B52" s="1">
        <v>0</v>
      </c>
    </row>
    <row r="53" spans="1:2" x14ac:dyDescent="0.25">
      <c r="A53" s="1">
        <v>6</v>
      </c>
      <c r="B53" s="1">
        <v>25</v>
      </c>
    </row>
    <row r="54" spans="1:2" x14ac:dyDescent="0.25">
      <c r="A54" s="1">
        <v>7</v>
      </c>
      <c r="B54" s="1">
        <v>50</v>
      </c>
    </row>
    <row r="55" spans="1:2" x14ac:dyDescent="0.25">
      <c r="A55" s="1">
        <v>8</v>
      </c>
      <c r="B55" s="1">
        <v>75</v>
      </c>
    </row>
    <row r="56" spans="1:2" x14ac:dyDescent="0.25">
      <c r="A56" s="1">
        <v>9</v>
      </c>
      <c r="B56" s="1">
        <v>95</v>
      </c>
    </row>
    <row r="57" spans="1:2" x14ac:dyDescent="0.25">
      <c r="A57" s="1">
        <v>10</v>
      </c>
      <c r="B57" s="1">
        <v>95</v>
      </c>
    </row>
    <row r="58" spans="1:2" x14ac:dyDescent="0.25">
      <c r="A58" s="1">
        <v>11</v>
      </c>
      <c r="B58" s="1">
        <v>95</v>
      </c>
    </row>
    <row r="59" spans="1:2" x14ac:dyDescent="0.25">
      <c r="A59" s="1">
        <v>12</v>
      </c>
      <c r="B59" s="1">
        <v>90</v>
      </c>
    </row>
    <row r="60" spans="1:2" x14ac:dyDescent="0.25">
      <c r="A60" s="1">
        <v>13</v>
      </c>
      <c r="B60" s="1">
        <v>90</v>
      </c>
    </row>
    <row r="61" spans="1:2" x14ac:dyDescent="0.25">
      <c r="A61" s="1">
        <v>14</v>
      </c>
      <c r="B61" s="1">
        <v>90</v>
      </c>
    </row>
    <row r="62" spans="1:2" x14ac:dyDescent="0.25">
      <c r="A62" s="1">
        <v>15</v>
      </c>
      <c r="B62" s="1">
        <v>90</v>
      </c>
    </row>
    <row r="63" spans="1:2" x14ac:dyDescent="0.25">
      <c r="A63" s="1">
        <v>16</v>
      </c>
      <c r="B63" s="1">
        <v>95</v>
      </c>
    </row>
    <row r="64" spans="1:2" x14ac:dyDescent="0.25">
      <c r="A64" s="1">
        <v>17</v>
      </c>
      <c r="B64" s="1">
        <v>100</v>
      </c>
    </row>
    <row r="65" spans="1:2" x14ac:dyDescent="0.25">
      <c r="A65" s="1">
        <v>18</v>
      </c>
      <c r="B65" s="1">
        <v>100</v>
      </c>
    </row>
    <row r="66" spans="1:2" x14ac:dyDescent="0.25">
      <c r="A66" s="1">
        <v>19</v>
      </c>
      <c r="B66" s="1">
        <v>100</v>
      </c>
    </row>
    <row r="67" spans="1:2" x14ac:dyDescent="0.25">
      <c r="A67" s="1">
        <v>20</v>
      </c>
      <c r="B67" s="1">
        <v>95</v>
      </c>
    </row>
    <row r="68" spans="1:2" x14ac:dyDescent="0.25">
      <c r="A68" s="1">
        <v>21</v>
      </c>
      <c r="B68" s="1">
        <v>75</v>
      </c>
    </row>
    <row r="69" spans="1:2" x14ac:dyDescent="0.25">
      <c r="A69" s="1">
        <v>22</v>
      </c>
      <c r="B69" s="1">
        <v>50</v>
      </c>
    </row>
    <row r="70" spans="1:2" x14ac:dyDescent="0.25">
      <c r="A70" s="1">
        <v>23</v>
      </c>
      <c r="B70" s="1">
        <v>25</v>
      </c>
    </row>
  </sheetData>
  <sheetProtection algorithmName="SHA-512" hashValue="CSIGLh7mfvtxJop0Q+Xon0WrwnakKtdR3GuMC0VX7nl3RKsmSDccUL8Z5iTBNiRS5h50/2QpiJGP4gHM/y/OIg==" saltValue="cA1aZTInQMUoM5e+d3sLGg==" spinCount="100000" sheet="1" objects="1" scenarios="1" selectLockedCells="1" selectUnlockedCells="1"/>
  <sortState xmlns:xlrd2="http://schemas.microsoft.com/office/spreadsheetml/2017/richdata2" ref="A33:J44">
    <sortCondition ref="A33:A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Information</vt:lpstr>
      <vt:lpstr>Data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2015-06-05T18:17:20Z</dcterms:created>
  <dcterms:modified xsi:type="dcterms:W3CDTF">2020-11-02T01:26:43Z</dcterms:modified>
</cp:coreProperties>
</file>