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ables/table1.xml" ContentType="application/vnd.openxmlformats-officedocument.spreadsheetml.table+xml"/>
  <Override PartName="/xl/comments2.xml" ContentType="application/vnd.openxmlformats-officedocument.spreadsheetml.comments+xml"/>
  <Override PartName="/xl/drawings/drawing2.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drawings/drawing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4.xml" ContentType="application/vnd.openxmlformats-officedocument.drawing+xml"/>
  <Override PartName="/xl/charts/chart17.xml" ContentType="application/vnd.openxmlformats-officedocument.drawingml.chart+xml"/>
  <Override PartName="/xl/pivotTables/pivotTable4.xml" ContentType="application/vnd.openxmlformats-officedocument.spreadsheetml.pivotTable+xml"/>
  <Override PartName="/xl/drawings/drawing5.xml" ContentType="application/vnd.openxmlformats-officedocument.drawing+xml"/>
  <Override PartName="/xl/charts/chart18.xml" ContentType="application/vnd.openxmlformats-officedocument.drawingml.chart+xml"/>
  <Override PartName="/xl/pivotTables/pivotTable5.xml" ContentType="application/vnd.openxmlformats-officedocument.spreadsheetml.pivotTable+xml"/>
  <Override PartName="/xl/drawings/drawing6.xml" ContentType="application/vnd.openxmlformats-officedocument.drawing+xml"/>
  <Override PartName="/xl/charts/chart19.xml" ContentType="application/vnd.openxmlformats-officedocument.drawingml.chart+xml"/>
  <Override PartName="/xl/pivotTables/pivotTable6.xml" ContentType="application/vnd.openxmlformats-officedocument.spreadsheetml.pivotTable+xml"/>
  <Override PartName="/xl/drawings/drawing7.xml" ContentType="application/vnd.openxmlformats-officedocument.drawing+xml"/>
  <Override PartName="/xl/charts/chart20.xml" ContentType="application/vnd.openxmlformats-officedocument.drawingml.chart+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8.xml" ContentType="application/vnd.openxmlformats-officedocument.drawing+xml"/>
  <Override PartName="/xl/charts/chart21.xml" ContentType="application/vnd.openxmlformats-officedocument.drawingml.chart+xml"/>
  <Override PartName="/xl/pivotTables/pivotTable11.xml" ContentType="application/vnd.openxmlformats-officedocument.spreadsheetml.pivotTable+xml"/>
  <Override PartName="/xl/drawings/drawing9.xml" ContentType="application/vnd.openxmlformats-officedocument.drawing+xml"/>
  <Override PartName="/xl/charts/chart22.xml" ContentType="application/vnd.openxmlformats-officedocument.drawingml.chart+xml"/>
  <Override PartName="/xl/pivotTables/pivotTable12.xml" ContentType="application/vnd.openxmlformats-officedocument.spreadsheetml.pivotTable+xml"/>
  <Override PartName="/xl/drawings/drawing10.xml" ContentType="application/vnd.openxmlformats-officedocument.drawing+xml"/>
  <Override PartName="/xl/charts/chart23.xml" ContentType="application/vnd.openxmlformats-officedocument.drawingml.chart+xml"/>
  <Override PartName="/xl/pivotTables/pivotTable13.xml" ContentType="application/vnd.openxmlformats-officedocument.spreadsheetml.pivotTable+xml"/>
  <Override PartName="/xl/drawings/drawing11.xml" ContentType="application/vnd.openxmlformats-officedocument.drawing+xml"/>
  <Override PartName="/xl/charts/chart24.xml" ContentType="application/vnd.openxmlformats-officedocument.drawingml.chart+xml"/>
  <Override PartName="/xl/pivotTables/pivotTable14.xml" ContentType="application/vnd.openxmlformats-officedocument.spreadsheetml.pivotTable+xml"/>
  <Override PartName="/xl/drawings/drawing12.xml" ContentType="application/vnd.openxmlformats-officedocument.drawing+xml"/>
  <Override PartName="/xl/charts/chart25.xml" ContentType="application/vnd.openxmlformats-officedocument.drawingml.chart+xml"/>
  <Override PartName="/xl/pivotTables/pivotTable15.xml" ContentType="application/vnd.openxmlformats-officedocument.spreadsheetml.pivotTable+xml"/>
  <Override PartName="/xl/drawings/drawing13.xml" ContentType="application/vnd.openxmlformats-officedocument.drawing+xml"/>
  <Override PartName="/xl/charts/chart26.xml" ContentType="application/vnd.openxmlformats-officedocument.drawingml.chart+xml"/>
  <Override PartName="/xl/pivotTables/pivotTable16.xml" ContentType="application/vnd.openxmlformats-officedocument.spreadsheetml.pivotTable+xml"/>
  <Override PartName="/xl/drawings/drawing14.xml" ContentType="application/vnd.openxmlformats-officedocument.drawing+xml"/>
  <Override PartName="/xl/charts/chart27.xml" ContentType="application/vnd.openxmlformats-officedocument.drawingml.chart+xml"/>
  <Override PartName="/xl/pivotTables/pivotTable17.xml" ContentType="application/vnd.openxmlformats-officedocument.spreadsheetml.pivotTable+xml"/>
  <Override PartName="/xl/drawings/drawing15.xml" ContentType="application/vnd.openxmlformats-officedocument.drawing+xml"/>
  <Override PartName="/xl/charts/chart28.xml" ContentType="application/vnd.openxmlformats-officedocument.drawingml.chart+xml"/>
  <Override PartName="/xl/pivotTables/pivotTable18.xml" ContentType="application/vnd.openxmlformats-officedocument.spreadsheetml.pivotTable+xml"/>
  <Override PartName="/xl/drawings/drawing16.xml" ContentType="application/vnd.openxmlformats-officedocument.drawing+xml"/>
  <Override PartName="/xl/charts/chart29.xml" ContentType="application/vnd.openxmlformats-officedocument.drawingml.chart+xml"/>
  <Override PartName="/xl/pivotTables/pivotTable19.xml" ContentType="application/vnd.openxmlformats-officedocument.spreadsheetml.pivotTable+xml"/>
  <Override PartName="/xl/drawings/drawing17.xml" ContentType="application/vnd.openxmlformats-officedocument.drawing+xml"/>
  <Override PartName="/xl/charts/chart30.xml" ContentType="application/vnd.openxmlformats-officedocument.drawingml.chart+xml"/>
  <Override PartName="/xl/pivotTables/pivotTable20.xml" ContentType="application/vnd.openxmlformats-officedocument.spreadsheetml.pivotTable+xml"/>
  <Override PartName="/xl/drawings/drawing18.xml" ContentType="application/vnd.openxmlformats-officedocument.drawing+xml"/>
  <Override PartName="/xl/charts/chart31.xml" ContentType="application/vnd.openxmlformats-officedocument.drawingml.chart+xml"/>
  <Override PartName="/xl/pivotTables/pivotTable21.xml" ContentType="application/vnd.openxmlformats-officedocument.spreadsheetml.pivotTable+xml"/>
  <Override PartName="/xl/drawings/drawing19.xml" ContentType="application/vnd.openxmlformats-officedocument.drawing+xml"/>
  <Override PartName="/xl/charts/chart3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User\Desktop\"/>
    </mc:Choice>
  </mc:AlternateContent>
  <xr:revisionPtr revIDLastSave="0" documentId="8_{A274A19E-FA99-4D7D-AFFE-1C9D4065A735}" xr6:coauthVersionLast="47" xr6:coauthVersionMax="47" xr10:uidLastSave="{00000000-0000-0000-0000-000000000000}"/>
  <bookViews>
    <workbookView xWindow="-110" yWindow="-110" windowWidth="19420" windowHeight="11500" firstSheet="4" activeTab="7" xr2:uid="{00000000-000D-0000-FFFF-FFFF00000000}"/>
  </bookViews>
  <sheets>
    <sheet name="Планы работ" sheetId="1" r:id="rId1"/>
    <sheet name="0. Лист для печати" sheetId="2" r:id="rId2"/>
    <sheet name="1. Хронология работ" sheetId="3" r:id="rId3"/>
    <sheet name="2. Для заполнения" sheetId="4" r:id="rId4"/>
    <sheet name="3. Краткая сводка" sheetId="5" r:id="rId5"/>
    <sheet name="4. Учет ДТ" sheetId="6" r:id="rId6"/>
    <sheet name="5. Учет персонала" sheetId="7" r:id="rId7"/>
    <sheet name="Планирование" sheetId="8" r:id="rId8"/>
    <sheet name="Сводка" sheetId="9" r:id="rId9"/>
    <sheet name="Задание НВ" sheetId="10" r:id="rId10"/>
    <sheet name="Задание ДВ" sheetId="11" r:id="rId11"/>
    <sheet name="Данные для списков" sheetId="12" r:id="rId12"/>
    <sheet name="БВ по дням, сетевой по скв." sheetId="13" r:id="rId13"/>
    <sheet name="Топ_НПВ_по_мес." sheetId="14" r:id="rId14"/>
    <sheet name="БВ_по_скважинам" sheetId="15" r:id="rId15"/>
    <sheet name="Топ_НПВ_в_месяце" sheetId="16" r:id="rId16"/>
    <sheet name="Динамика_НПВ_ПНВ" sheetId="17" r:id="rId17"/>
    <sheet name="Скважины по порядку" sheetId="18" r:id="rId18"/>
    <sheet name="ПВ по суткам" sheetId="19" r:id="rId19"/>
    <sheet name="Свод СНВ ПНВ" sheetId="20" r:id="rId20"/>
    <sheet name="НПВ_по_отв." sheetId="21" r:id="rId21"/>
    <sheet name="БВ_по_неделям" sheetId="22" r:id="rId22"/>
    <sheet name="БВ_по_дням" sheetId="23" r:id="rId23"/>
    <sheet name="БВ_общий" sheetId="24" r:id="rId24"/>
    <sheet name="Топ_НПВ_по_неделям" sheetId="25" r:id="rId25"/>
    <sheet name="БВ_вахт" sheetId="26" r:id="rId26"/>
    <sheet name="НПВ_по_группам" sheetId="27" r:id="rId27"/>
    <sheet name="КПВ_вахт" sheetId="28" r:id="rId28"/>
    <sheet name="Топ_ремонтов" sheetId="29" r:id="rId29"/>
    <sheet name="Топ_ПНВ" sheetId="30" r:id="rId30"/>
    <sheet name="Рейсовая_скорость" sheetId="31" r:id="rId31"/>
    <sheet name="Анализ ДТ" sheetId="32" r:id="rId32"/>
  </sheets>
  <definedNames>
    <definedName name="ВстроеннаяВременнаяШкала_Дата_начала">#N/A</definedName>
    <definedName name="_xlnm.Print_Area" localSheetId="4">'3. Краткая сводка'!$A$1:$AM$36</definedName>
    <definedName name="_xlnm.Print_Area" localSheetId="10">'Задание ДВ'!$A$1:$K$65</definedName>
    <definedName name="_xlnm.Print_Area" localSheetId="9">'Задание НВ'!$A$1:$K$64</definedName>
    <definedName name="_xlnm.Print_Area" localSheetId="8">Сводка!$A$1:$AI$49</definedName>
    <definedName name="Срез_Скважина">#N/A</definedName>
    <definedName name="Срез_Этап">#N/A</definedName>
  </definedNames>
  <calcPr calcId="191029"/>
  <pivotCaches>
    <pivotCache cacheId="43" r:id="rId33"/>
    <pivotCache cacheId="44" r:id="rId34"/>
    <pivotCache cacheId="62" r:id="rId3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0" i="11" l="1"/>
  <c r="A4" i="11"/>
  <c r="F10" i="10"/>
  <c r="A4" i="10"/>
  <c r="W135" i="8"/>
  <c r="V135" i="8"/>
  <c r="U135" i="8"/>
  <c r="Q135" i="8"/>
  <c r="L135" i="8"/>
  <c r="V134" i="8"/>
  <c r="U134" i="8"/>
  <c r="W134" i="8" s="1"/>
  <c r="Q134" i="8"/>
  <c r="L134" i="8"/>
  <c r="W133" i="8"/>
  <c r="V133" i="8"/>
  <c r="U133" i="8"/>
  <c r="Q133" i="8"/>
  <c r="L133" i="8"/>
  <c r="V132" i="8"/>
  <c r="U132" i="8"/>
  <c r="W132" i="8" s="1"/>
  <c r="Q132" i="8"/>
  <c r="L132" i="8"/>
  <c r="W131" i="8"/>
  <c r="V131" i="8"/>
  <c r="U131" i="8"/>
  <c r="Q131" i="8"/>
  <c r="L131" i="8"/>
  <c r="V130" i="8"/>
  <c r="U130" i="8"/>
  <c r="W130" i="8" s="1"/>
  <c r="Q130" i="8"/>
  <c r="L130" i="8"/>
  <c r="W129" i="8"/>
  <c r="V129" i="8"/>
  <c r="U129" i="8"/>
  <c r="Q129" i="8"/>
  <c r="L129" i="8"/>
  <c r="V128" i="8"/>
  <c r="U128" i="8"/>
  <c r="W128" i="8" s="1"/>
  <c r="Q128" i="8"/>
  <c r="L128" i="8"/>
  <c r="W127" i="8"/>
  <c r="V127" i="8"/>
  <c r="U127" i="8"/>
  <c r="Q127" i="8"/>
  <c r="L127" i="8"/>
  <c r="V126" i="8"/>
  <c r="U126" i="8"/>
  <c r="W126" i="8" s="1"/>
  <c r="Q126" i="8"/>
  <c r="L126" i="8"/>
  <c r="W125" i="8"/>
  <c r="V125" i="8"/>
  <c r="U125" i="8"/>
  <c r="Q125" i="8"/>
  <c r="L125" i="8"/>
  <c r="V124" i="8"/>
  <c r="U124" i="8"/>
  <c r="W124" i="8" s="1"/>
  <c r="Q124" i="8"/>
  <c r="L124" i="8"/>
  <c r="W123" i="8"/>
  <c r="V123" i="8"/>
  <c r="U123" i="8"/>
  <c r="Q123" i="8"/>
  <c r="L123" i="8"/>
  <c r="V122" i="8"/>
  <c r="U122" i="8"/>
  <c r="W122" i="8" s="1"/>
  <c r="Q122" i="8"/>
  <c r="L122" i="8"/>
  <c r="W121" i="8"/>
  <c r="V121" i="8"/>
  <c r="U121" i="8"/>
  <c r="Q121" i="8"/>
  <c r="L121" i="8"/>
  <c r="V120" i="8"/>
  <c r="U120" i="8"/>
  <c r="W120" i="8" s="1"/>
  <c r="Q120" i="8"/>
  <c r="L120" i="8"/>
  <c r="W119" i="8"/>
  <c r="V119" i="8"/>
  <c r="U119" i="8"/>
  <c r="Q119" i="8"/>
  <c r="L119" i="8"/>
  <c r="V118" i="8"/>
  <c r="U118" i="8"/>
  <c r="W118" i="8" s="1"/>
  <c r="Q118" i="8"/>
  <c r="L118" i="8"/>
  <c r="W117" i="8"/>
  <c r="V117" i="8"/>
  <c r="U117" i="8"/>
  <c r="Q117" i="8"/>
  <c r="L117" i="8"/>
  <c r="V116" i="8"/>
  <c r="U116" i="8"/>
  <c r="W116" i="8" s="1"/>
  <c r="Q116" i="8"/>
  <c r="L116" i="8"/>
  <c r="W115" i="8"/>
  <c r="V115" i="8"/>
  <c r="U115" i="8"/>
  <c r="Q115" i="8"/>
  <c r="L115" i="8"/>
  <c r="W114" i="8"/>
  <c r="V114" i="8"/>
  <c r="U114" i="8"/>
  <c r="Q114" i="8"/>
  <c r="L114" i="8"/>
  <c r="W113" i="8"/>
  <c r="V113" i="8"/>
  <c r="U113" i="8"/>
  <c r="Q113" i="8"/>
  <c r="L113" i="8"/>
  <c r="V112" i="8"/>
  <c r="U112" i="8"/>
  <c r="W112" i="8" s="1"/>
  <c r="Q112" i="8"/>
  <c r="L112" i="8"/>
  <c r="W111" i="8"/>
  <c r="V111" i="8"/>
  <c r="U111" i="8"/>
  <c r="Q111" i="8"/>
  <c r="L111" i="8"/>
  <c r="V110" i="8"/>
  <c r="U110" i="8"/>
  <c r="W110" i="8" s="1"/>
  <c r="Q110" i="8"/>
  <c r="L110" i="8"/>
  <c r="W109" i="8"/>
  <c r="V109" i="8"/>
  <c r="U109" i="8"/>
  <c r="Q109" i="8"/>
  <c r="L109" i="8"/>
  <c r="V108" i="8"/>
  <c r="U108" i="8"/>
  <c r="W108" i="8" s="1"/>
  <c r="Q108" i="8"/>
  <c r="L108" i="8"/>
  <c r="X107" i="8"/>
  <c r="X108" i="8" s="1"/>
  <c r="X109" i="8" s="1"/>
  <c r="X110" i="8" s="1"/>
  <c r="X111" i="8" s="1"/>
  <c r="X112" i="8" s="1"/>
  <c r="X113" i="8" s="1"/>
  <c r="X114" i="8" s="1"/>
  <c r="X115" i="8" s="1"/>
  <c r="X116" i="8" s="1"/>
  <c r="X117" i="8" s="1"/>
  <c r="X118" i="8" s="1"/>
  <c r="X119" i="8" s="1"/>
  <c r="X120" i="8" s="1"/>
  <c r="X121" i="8" s="1"/>
  <c r="X122" i="8" s="1"/>
  <c r="X123" i="8" s="1"/>
  <c r="X124" i="8" s="1"/>
  <c r="X125" i="8" s="1"/>
  <c r="X126" i="8" s="1"/>
  <c r="X127" i="8" s="1"/>
  <c r="X128" i="8" s="1"/>
  <c r="X129" i="8" s="1"/>
  <c r="X130" i="8" s="1"/>
  <c r="X131" i="8" s="1"/>
  <c r="X132" i="8" s="1"/>
  <c r="X133" i="8" s="1"/>
  <c r="X134" i="8" s="1"/>
  <c r="X135" i="8" s="1"/>
  <c r="W107" i="8"/>
  <c r="V107" i="8"/>
  <c r="U107" i="8"/>
  <c r="Q107" i="8"/>
  <c r="L107" i="8"/>
  <c r="W106" i="8"/>
  <c r="V106" i="8"/>
  <c r="U106" i="8"/>
  <c r="Q106" i="8"/>
  <c r="L106" i="8"/>
  <c r="W105" i="8"/>
  <c r="V105" i="8"/>
  <c r="U105" i="8"/>
  <c r="Q105" i="8"/>
  <c r="L105" i="8"/>
  <c r="V104" i="8"/>
  <c r="U104" i="8"/>
  <c r="W104" i="8" s="1"/>
  <c r="Q104" i="8"/>
  <c r="L104" i="8"/>
  <c r="W103" i="8"/>
  <c r="V103" i="8"/>
  <c r="U103" i="8"/>
  <c r="Q103" i="8"/>
  <c r="L103" i="8"/>
  <c r="V102" i="8"/>
  <c r="U102" i="8"/>
  <c r="W102" i="8" s="1"/>
  <c r="Q102" i="8"/>
  <c r="L102" i="8"/>
  <c r="W101" i="8"/>
  <c r="V101" i="8"/>
  <c r="U101" i="8"/>
  <c r="Q101" i="8"/>
  <c r="L101" i="8"/>
  <c r="V100" i="8"/>
  <c r="U100" i="8"/>
  <c r="W100" i="8" s="1"/>
  <c r="R100" i="8"/>
  <c r="R101" i="8" s="1"/>
  <c r="R102" i="8" s="1"/>
  <c r="R103" i="8" s="1"/>
  <c r="R104" i="8" s="1"/>
  <c r="R105" i="8" s="1"/>
  <c r="R106" i="8" s="1"/>
  <c r="R107" i="8" s="1"/>
  <c r="R108" i="8" s="1"/>
  <c r="R109" i="8" s="1"/>
  <c r="R110" i="8" s="1"/>
  <c r="R111" i="8" s="1"/>
  <c r="R112" i="8" s="1"/>
  <c r="R113" i="8" s="1"/>
  <c r="R114" i="8" s="1"/>
  <c r="R115" i="8" s="1"/>
  <c r="R116" i="8" s="1"/>
  <c r="R117" i="8" s="1"/>
  <c r="R118" i="8" s="1"/>
  <c r="R119" i="8" s="1"/>
  <c r="R120" i="8" s="1"/>
  <c r="R121" i="8" s="1"/>
  <c r="R122" i="8" s="1"/>
  <c r="R123" i="8" s="1"/>
  <c r="R124" i="8" s="1"/>
  <c r="R125" i="8" s="1"/>
  <c r="R126" i="8" s="1"/>
  <c r="R127" i="8" s="1"/>
  <c r="R128" i="8" s="1"/>
  <c r="R129" i="8" s="1"/>
  <c r="R130" i="8" s="1"/>
  <c r="R131" i="8" s="1"/>
  <c r="R132" i="8" s="1"/>
  <c r="R133" i="8" s="1"/>
  <c r="R134" i="8" s="1"/>
  <c r="R135" i="8" s="1"/>
  <c r="Q100" i="8"/>
  <c r="L100" i="8"/>
  <c r="W99" i="8"/>
  <c r="V99" i="8"/>
  <c r="U99" i="8"/>
  <c r="Q99" i="8"/>
  <c r="L99" i="8"/>
  <c r="W98" i="8"/>
  <c r="V98" i="8"/>
  <c r="U98" i="8"/>
  <c r="Q98" i="8"/>
  <c r="L98" i="8"/>
  <c r="W97" i="8"/>
  <c r="V97" i="8"/>
  <c r="U97" i="8"/>
  <c r="Q97" i="8"/>
  <c r="L97" i="8"/>
  <c r="V96" i="8"/>
  <c r="U96" i="8"/>
  <c r="W96" i="8" s="1"/>
  <c r="Q96" i="8"/>
  <c r="L96" i="8"/>
  <c r="W95" i="8"/>
  <c r="V95" i="8"/>
  <c r="U95" i="8"/>
  <c r="Q95" i="8"/>
  <c r="L95" i="8"/>
  <c r="V94" i="8"/>
  <c r="U94" i="8"/>
  <c r="W94" i="8" s="1"/>
  <c r="Q94" i="8"/>
  <c r="L94" i="8"/>
  <c r="W93" i="8"/>
  <c r="V93" i="8"/>
  <c r="U93" i="8"/>
  <c r="Q93" i="8"/>
  <c r="L93" i="8"/>
  <c r="V92" i="8"/>
  <c r="U92" i="8"/>
  <c r="W92" i="8" s="1"/>
  <c r="Q92" i="8"/>
  <c r="L92" i="8"/>
  <c r="W91" i="8"/>
  <c r="V91" i="8"/>
  <c r="U91" i="8"/>
  <c r="Q91" i="8"/>
  <c r="L91" i="8"/>
  <c r="W90" i="8"/>
  <c r="V90" i="8"/>
  <c r="U90" i="8"/>
  <c r="Q90" i="8"/>
  <c r="L90" i="8"/>
  <c r="W89" i="8"/>
  <c r="V89" i="8"/>
  <c r="U89" i="8"/>
  <c r="Q89" i="8"/>
  <c r="L89" i="8"/>
  <c r="V88" i="8"/>
  <c r="U88" i="8"/>
  <c r="W88" i="8" s="1"/>
  <c r="Q88" i="8"/>
  <c r="L88" i="8"/>
  <c r="W87" i="8"/>
  <c r="V87" i="8"/>
  <c r="U87" i="8"/>
  <c r="Q87" i="8"/>
  <c r="L87" i="8"/>
  <c r="V86" i="8"/>
  <c r="U86" i="8"/>
  <c r="W86" i="8" s="1"/>
  <c r="Q86" i="8"/>
  <c r="L86" i="8"/>
  <c r="X85" i="8"/>
  <c r="X86" i="8" s="1"/>
  <c r="X87" i="8" s="1"/>
  <c r="X88" i="8" s="1"/>
  <c r="X89" i="8" s="1"/>
  <c r="X90" i="8" s="1"/>
  <c r="X91" i="8" s="1"/>
  <c r="X92" i="8" s="1"/>
  <c r="X93" i="8" s="1"/>
  <c r="X94" i="8" s="1"/>
  <c r="X95" i="8" s="1"/>
  <c r="X96" i="8" s="1"/>
  <c r="X97" i="8" s="1"/>
  <c r="X98" i="8" s="1"/>
  <c r="X99" i="8" s="1"/>
  <c r="X100" i="8" s="1"/>
  <c r="X101" i="8" s="1"/>
  <c r="X102" i="8" s="1"/>
  <c r="X103" i="8" s="1"/>
  <c r="X104" i="8" s="1"/>
  <c r="X105" i="8" s="1"/>
  <c r="X106" i="8" s="1"/>
  <c r="W85" i="8"/>
  <c r="V85" i="8"/>
  <c r="U85" i="8"/>
  <c r="R85" i="8"/>
  <c r="R86" i="8" s="1"/>
  <c r="R87" i="8" s="1"/>
  <c r="R88" i="8" s="1"/>
  <c r="R89" i="8" s="1"/>
  <c r="R90" i="8" s="1"/>
  <c r="R91" i="8" s="1"/>
  <c r="R92" i="8" s="1"/>
  <c r="R93" i="8" s="1"/>
  <c r="R94" i="8" s="1"/>
  <c r="R95" i="8" s="1"/>
  <c r="R96" i="8" s="1"/>
  <c r="R97" i="8" s="1"/>
  <c r="R98" i="8" s="1"/>
  <c r="R99" i="8" s="1"/>
  <c r="Q85" i="8"/>
  <c r="L85" i="8"/>
  <c r="W84" i="8"/>
  <c r="V84" i="8"/>
  <c r="U84" i="8"/>
  <c r="Q84" i="8"/>
  <c r="L84" i="8"/>
  <c r="V83" i="8"/>
  <c r="U83" i="8"/>
  <c r="W83" i="8" s="1"/>
  <c r="Q83" i="8"/>
  <c r="L83" i="8"/>
  <c r="W82" i="8"/>
  <c r="V82" i="8"/>
  <c r="U82" i="8"/>
  <c r="Q82" i="8"/>
  <c r="L82" i="8"/>
  <c r="W81" i="8"/>
  <c r="V81" i="8"/>
  <c r="U81" i="8"/>
  <c r="Q81" i="8"/>
  <c r="L81" i="8"/>
  <c r="V80" i="8"/>
  <c r="U80" i="8"/>
  <c r="W80" i="8" s="1"/>
  <c r="Q80" i="8"/>
  <c r="L80" i="8"/>
  <c r="W79" i="8"/>
  <c r="V79" i="8"/>
  <c r="U79" i="8"/>
  <c r="Q79" i="8"/>
  <c r="L79" i="8"/>
  <c r="V78" i="8"/>
  <c r="U78" i="8"/>
  <c r="W78" i="8" s="1"/>
  <c r="Q78" i="8"/>
  <c r="L78" i="8"/>
  <c r="W77" i="8"/>
  <c r="V77" i="8"/>
  <c r="U77" i="8"/>
  <c r="Q77" i="8"/>
  <c r="L77" i="8"/>
  <c r="W76" i="8"/>
  <c r="V76" i="8"/>
  <c r="U76" i="8"/>
  <c r="Q76" i="8"/>
  <c r="L76" i="8"/>
  <c r="V75" i="8"/>
  <c r="U75" i="8"/>
  <c r="W75" i="8" s="1"/>
  <c r="Q75" i="8"/>
  <c r="L75" i="8"/>
  <c r="W74" i="8"/>
  <c r="V74" i="8"/>
  <c r="U74" i="8"/>
  <c r="Q74" i="8"/>
  <c r="L74" i="8"/>
  <c r="W73" i="8"/>
  <c r="V73" i="8"/>
  <c r="U73" i="8"/>
  <c r="Q73" i="8"/>
  <c r="L73" i="8"/>
  <c r="W72" i="8"/>
  <c r="V72" i="8"/>
  <c r="U72" i="8"/>
  <c r="Q72" i="8"/>
  <c r="L72" i="8"/>
  <c r="V71" i="8"/>
  <c r="U71" i="8"/>
  <c r="W71" i="8" s="1"/>
  <c r="Q71" i="8"/>
  <c r="L71" i="8"/>
  <c r="V70" i="8"/>
  <c r="U70" i="8"/>
  <c r="W70" i="8" s="1"/>
  <c r="Q70" i="8"/>
  <c r="L70" i="8"/>
  <c r="W69" i="8"/>
  <c r="V69" i="8"/>
  <c r="U69" i="8"/>
  <c r="Q69" i="8"/>
  <c r="L69" i="8"/>
  <c r="W68" i="8"/>
  <c r="V68" i="8"/>
  <c r="U68" i="8"/>
  <c r="Q68" i="8"/>
  <c r="L68" i="8"/>
  <c r="W67" i="8"/>
  <c r="V67" i="8"/>
  <c r="U67" i="8"/>
  <c r="Q67" i="8"/>
  <c r="L67" i="8"/>
  <c r="V66" i="8"/>
  <c r="U66" i="8"/>
  <c r="W66" i="8" s="1"/>
  <c r="Q66" i="8"/>
  <c r="L66" i="8"/>
  <c r="V65" i="8"/>
  <c r="U65" i="8"/>
  <c r="W65" i="8" s="1"/>
  <c r="Q65" i="8"/>
  <c r="L65" i="8"/>
  <c r="W64" i="8"/>
  <c r="V64" i="8"/>
  <c r="U64" i="8"/>
  <c r="Q64" i="8"/>
  <c r="L64" i="8"/>
  <c r="W63" i="8"/>
  <c r="V63" i="8"/>
  <c r="U63" i="8"/>
  <c r="Q63" i="8"/>
  <c r="L63" i="8"/>
  <c r="V62" i="8"/>
  <c r="U62" i="8"/>
  <c r="W62" i="8" s="1"/>
  <c r="Q62" i="8"/>
  <c r="L62" i="8"/>
  <c r="V61" i="8"/>
  <c r="U61" i="8"/>
  <c r="W61" i="8" s="1"/>
  <c r="Q61" i="8"/>
  <c r="L61" i="8"/>
  <c r="V60" i="8"/>
  <c r="U60" i="8"/>
  <c r="W60" i="8" s="1"/>
  <c r="Q60" i="8"/>
  <c r="L60" i="8"/>
  <c r="W59" i="8"/>
  <c r="V59" i="8"/>
  <c r="U59" i="8"/>
  <c r="Q59" i="8"/>
  <c r="L59" i="8"/>
  <c r="V58" i="8"/>
  <c r="U58" i="8"/>
  <c r="W58" i="8" s="1"/>
  <c r="Q58" i="8"/>
  <c r="L58" i="8"/>
  <c r="W57" i="8"/>
  <c r="V57" i="8"/>
  <c r="U57" i="8"/>
  <c r="Q57" i="8"/>
  <c r="L57" i="8"/>
  <c r="W56" i="8"/>
  <c r="V56" i="8"/>
  <c r="U56" i="8"/>
  <c r="Q56" i="8"/>
  <c r="L56" i="8"/>
  <c r="V55" i="8"/>
  <c r="U55" i="8"/>
  <c r="W55" i="8" s="1"/>
  <c r="Q55" i="8"/>
  <c r="L55" i="8"/>
  <c r="V54" i="8"/>
  <c r="U54" i="8"/>
  <c r="W54" i="8" s="1"/>
  <c r="Q54" i="8"/>
  <c r="L54" i="8"/>
  <c r="W53" i="8"/>
  <c r="V53" i="8"/>
  <c r="U53" i="8"/>
  <c r="Q53" i="8"/>
  <c r="L53" i="8"/>
  <c r="W52" i="8"/>
  <c r="V52" i="8"/>
  <c r="U52" i="8"/>
  <c r="Q52" i="8"/>
  <c r="L52" i="8"/>
  <c r="V51" i="8"/>
  <c r="U51" i="8"/>
  <c r="W51" i="8" s="1"/>
  <c r="Q51" i="8"/>
  <c r="L51" i="8"/>
  <c r="V50" i="8"/>
  <c r="U50" i="8"/>
  <c r="W50" i="8" s="1"/>
  <c r="Q50" i="8"/>
  <c r="L50" i="8"/>
  <c r="W49" i="8"/>
  <c r="V49" i="8"/>
  <c r="U49" i="8"/>
  <c r="Q49" i="8"/>
  <c r="L49" i="8"/>
  <c r="V48" i="8"/>
  <c r="U48" i="8"/>
  <c r="W48" i="8" s="1"/>
  <c r="Q48" i="8"/>
  <c r="L48" i="8"/>
  <c r="V47" i="8"/>
  <c r="U47" i="8"/>
  <c r="W47" i="8" s="1"/>
  <c r="Q47" i="8"/>
  <c r="L47" i="8"/>
  <c r="V46" i="8"/>
  <c r="U46" i="8"/>
  <c r="W46" i="8" s="1"/>
  <c r="Q46" i="8"/>
  <c r="L46" i="8"/>
  <c r="W45" i="8"/>
  <c r="V45" i="8"/>
  <c r="U45" i="8"/>
  <c r="Q45" i="8"/>
  <c r="L45" i="8"/>
  <c r="W44" i="8"/>
  <c r="V44" i="8"/>
  <c r="U44" i="8"/>
  <c r="Q44" i="8"/>
  <c r="L44" i="8"/>
  <c r="V43" i="8"/>
  <c r="U43" i="8"/>
  <c r="W43" i="8" s="1"/>
  <c r="Q43" i="8"/>
  <c r="O43" i="8"/>
  <c r="L43" i="8"/>
  <c r="V42" i="8"/>
  <c r="U42" i="8"/>
  <c r="W42" i="8" s="1"/>
  <c r="Q42" i="8"/>
  <c r="L42" i="8"/>
  <c r="V41" i="8"/>
  <c r="U41" i="8"/>
  <c r="W41" i="8" s="1"/>
  <c r="Q41" i="8"/>
  <c r="L41" i="8"/>
  <c r="V40" i="8"/>
  <c r="U40" i="8"/>
  <c r="W40" i="8" s="1"/>
  <c r="Q40" i="8"/>
  <c r="L40" i="8"/>
  <c r="W39" i="8"/>
  <c r="V39" i="8"/>
  <c r="U39" i="8"/>
  <c r="Q39" i="8"/>
  <c r="L39" i="8"/>
  <c r="V38" i="8"/>
  <c r="U38" i="8"/>
  <c r="W38" i="8" s="1"/>
  <c r="Q38" i="8"/>
  <c r="L38" i="8"/>
  <c r="W37" i="8"/>
  <c r="V37" i="8"/>
  <c r="U37" i="8"/>
  <c r="Q37" i="8"/>
  <c r="L37" i="8"/>
  <c r="W36" i="8"/>
  <c r="V36" i="8"/>
  <c r="U36" i="8"/>
  <c r="Q36" i="8"/>
  <c r="L36" i="8"/>
  <c r="V35" i="8"/>
  <c r="U35" i="8"/>
  <c r="W35" i="8" s="1"/>
  <c r="Q35" i="8"/>
  <c r="L35" i="8"/>
  <c r="V34" i="8"/>
  <c r="U34" i="8"/>
  <c r="W34" i="8" s="1"/>
  <c r="Q34" i="8"/>
  <c r="L34" i="8"/>
  <c r="W33" i="8"/>
  <c r="V33" i="8"/>
  <c r="U33" i="8"/>
  <c r="Q33" i="8"/>
  <c r="L33" i="8"/>
  <c r="W32" i="8"/>
  <c r="V32" i="8"/>
  <c r="U32" i="8"/>
  <c r="Q32" i="8"/>
  <c r="L32" i="8"/>
  <c r="W31" i="8"/>
  <c r="V31" i="8"/>
  <c r="U31" i="8"/>
  <c r="Q31" i="8"/>
  <c r="L31" i="8"/>
  <c r="V30" i="8"/>
  <c r="U30" i="8"/>
  <c r="W30" i="8" s="1"/>
  <c r="Q30" i="8"/>
  <c r="L30" i="8"/>
  <c r="W29" i="8"/>
  <c r="V29" i="8"/>
  <c r="U29" i="8"/>
  <c r="Q29" i="8"/>
  <c r="L29" i="8"/>
  <c r="V28" i="8"/>
  <c r="U28" i="8"/>
  <c r="W28" i="8" s="1"/>
  <c r="Q28" i="8"/>
  <c r="L28" i="8"/>
  <c r="V27" i="8"/>
  <c r="U27" i="8"/>
  <c r="W27" i="8" s="1"/>
  <c r="Q27" i="8"/>
  <c r="L27" i="8"/>
  <c r="V26" i="8"/>
  <c r="U26" i="8"/>
  <c r="W26" i="8" s="1"/>
  <c r="Q26" i="8"/>
  <c r="L26" i="8"/>
  <c r="W25" i="8"/>
  <c r="V25" i="8"/>
  <c r="U25" i="8"/>
  <c r="Q25" i="8"/>
  <c r="L25" i="8"/>
  <c r="W24" i="8"/>
  <c r="V24" i="8"/>
  <c r="U24" i="8"/>
  <c r="Q24" i="8"/>
  <c r="L24" i="8"/>
  <c r="W23" i="8"/>
  <c r="V23" i="8"/>
  <c r="U23" i="8"/>
  <c r="Q23" i="8"/>
  <c r="L23" i="8"/>
  <c r="V22" i="8"/>
  <c r="U22" i="8"/>
  <c r="W22" i="8" s="1"/>
  <c r="Q22" i="8"/>
  <c r="L22" i="8"/>
  <c r="W21" i="8"/>
  <c r="V21" i="8"/>
  <c r="U21" i="8"/>
  <c r="Q21" i="8"/>
  <c r="L21" i="8"/>
  <c r="V20" i="8"/>
  <c r="U20" i="8"/>
  <c r="W20" i="8" s="1"/>
  <c r="Q20" i="8"/>
  <c r="L20" i="8"/>
  <c r="V19" i="8"/>
  <c r="U19" i="8"/>
  <c r="W19" i="8" s="1"/>
  <c r="Q19" i="8"/>
  <c r="L19" i="8"/>
  <c r="V18" i="8"/>
  <c r="U18" i="8"/>
  <c r="W18" i="8" s="1"/>
  <c r="Q18" i="8"/>
  <c r="L18" i="8"/>
  <c r="W17" i="8"/>
  <c r="V17" i="8"/>
  <c r="U17" i="8"/>
  <c r="Q17" i="8"/>
  <c r="L17" i="8"/>
  <c r="W16" i="8"/>
  <c r="V16" i="8"/>
  <c r="U16" i="8"/>
  <c r="Q16" i="8"/>
  <c r="L16" i="8"/>
  <c r="W15" i="8"/>
  <c r="V15" i="8"/>
  <c r="U15" i="8"/>
  <c r="Q15" i="8"/>
  <c r="L15" i="8"/>
  <c r="V14" i="8"/>
  <c r="U14" i="8"/>
  <c r="W14" i="8" s="1"/>
  <c r="Q14" i="8"/>
  <c r="R14" i="8" s="1"/>
  <c r="R15" i="8" s="1"/>
  <c r="R16" i="8" s="1"/>
  <c r="R17" i="8" s="1"/>
  <c r="R18" i="8" s="1"/>
  <c r="R19" i="8" s="1"/>
  <c r="R20" i="8" s="1"/>
  <c r="R21" i="8" s="1"/>
  <c r="R22" i="8" s="1"/>
  <c r="R23" i="8" s="1"/>
  <c r="R24" i="8" s="1"/>
  <c r="R25" i="8" s="1"/>
  <c r="R26" i="8" s="1"/>
  <c r="R27" i="8" s="1"/>
  <c r="R28" i="8" s="1"/>
  <c r="R29" i="8" s="1"/>
  <c r="R30" i="8" s="1"/>
  <c r="R31" i="8" s="1"/>
  <c r="R32" i="8" s="1"/>
  <c r="R33" i="8" s="1"/>
  <c r="R34" i="8" s="1"/>
  <c r="R35" i="8" s="1"/>
  <c r="R36" i="8" s="1"/>
  <c r="R37" i="8" s="1"/>
  <c r="R38" i="8" s="1"/>
  <c r="R39" i="8" s="1"/>
  <c r="R40" i="8" s="1"/>
  <c r="R41" i="8" s="1"/>
  <c r="R42" i="8" s="1"/>
  <c r="R43" i="8" s="1"/>
  <c r="R44" i="8" s="1"/>
  <c r="R45" i="8" s="1"/>
  <c r="R46" i="8" s="1"/>
  <c r="R47" i="8" s="1"/>
  <c r="R48" i="8" s="1"/>
  <c r="R49" i="8" s="1"/>
  <c r="R50" i="8" s="1"/>
  <c r="R51" i="8" s="1"/>
  <c r="R52" i="8" s="1"/>
  <c r="R53" i="8" s="1"/>
  <c r="R54" i="8" s="1"/>
  <c r="R55" i="8" s="1"/>
  <c r="R56" i="8" s="1"/>
  <c r="R57" i="8" s="1"/>
  <c r="R58" i="8" s="1"/>
  <c r="R59" i="8" s="1"/>
  <c r="R60" i="8" s="1"/>
  <c r="R61" i="8" s="1"/>
  <c r="R62" i="8" s="1"/>
  <c r="R63" i="8" s="1"/>
  <c r="R64" i="8" s="1"/>
  <c r="R65" i="8" s="1"/>
  <c r="R66" i="8" s="1"/>
  <c r="R67" i="8" s="1"/>
  <c r="R68" i="8" s="1"/>
  <c r="R69" i="8" s="1"/>
  <c r="R70" i="8" s="1"/>
  <c r="R71" i="8" s="1"/>
  <c r="R72" i="8" s="1"/>
  <c r="R73" i="8" s="1"/>
  <c r="R74" i="8" s="1"/>
  <c r="R75" i="8" s="1"/>
  <c r="R76" i="8" s="1"/>
  <c r="R77" i="8" s="1"/>
  <c r="R78" i="8" s="1"/>
  <c r="R79" i="8" s="1"/>
  <c r="R80" i="8" s="1"/>
  <c r="R81" i="8" s="1"/>
  <c r="R82" i="8" s="1"/>
  <c r="R83" i="8" s="1"/>
  <c r="R84" i="8" s="1"/>
  <c r="L14" i="8"/>
  <c r="X13" i="8"/>
  <c r="W13" i="8"/>
  <c r="V13" i="8"/>
  <c r="U13" i="8"/>
  <c r="R13" i="8"/>
  <c r="Q13" i="8"/>
  <c r="L13" i="8"/>
  <c r="Y4" i="8"/>
  <c r="N5" i="7"/>
  <c r="O5" i="7" s="1"/>
  <c r="P5" i="7" s="1"/>
  <c r="Q5" i="7" s="1"/>
  <c r="R5" i="7" s="1"/>
  <c r="S5" i="7" s="1"/>
  <c r="T5" i="7" s="1"/>
  <c r="U5" i="7" s="1"/>
  <c r="V5" i="7" s="1"/>
  <c r="W5" i="7" s="1"/>
  <c r="X5" i="7" s="1"/>
  <c r="Y5" i="7" s="1"/>
  <c r="Z5" i="7" s="1"/>
  <c r="AA5" i="7" s="1"/>
  <c r="AB5" i="7" s="1"/>
  <c r="AC5" i="7" s="1"/>
  <c r="AD5" i="7" s="1"/>
  <c r="AE5" i="7" s="1"/>
  <c r="AF5" i="7" s="1"/>
  <c r="AG5" i="7" s="1"/>
  <c r="AH5" i="7" s="1"/>
  <c r="AI5" i="7" s="1"/>
  <c r="AJ5" i="7" s="1"/>
  <c r="AK5" i="7" s="1"/>
  <c r="AL5" i="7" s="1"/>
  <c r="AM5" i="7" s="1"/>
  <c r="AN5" i="7" s="1"/>
  <c r="AO5" i="7" s="1"/>
  <c r="AP5" i="7" s="1"/>
  <c r="AQ5" i="7" s="1"/>
  <c r="AR5" i="7" s="1"/>
  <c r="AS5" i="7" s="1"/>
  <c r="AT5" i="7" s="1"/>
  <c r="AU5" i="7" s="1"/>
  <c r="AV5" i="7" s="1"/>
  <c r="AW5" i="7" s="1"/>
  <c r="AX5" i="7" s="1"/>
  <c r="AY5" i="7" s="1"/>
  <c r="AZ5" i="7" s="1"/>
  <c r="BA5" i="7" s="1"/>
  <c r="BB5" i="7" s="1"/>
  <c r="BC5" i="7" s="1"/>
  <c r="BD5" i="7" s="1"/>
  <c r="BE5" i="7" s="1"/>
  <c r="BF5" i="7" s="1"/>
  <c r="BG5" i="7" s="1"/>
  <c r="BH5" i="7" s="1"/>
  <c r="BI5" i="7" s="1"/>
  <c r="BJ5" i="7" s="1"/>
  <c r="BK5" i="7" s="1"/>
  <c r="BL5" i="7" s="1"/>
  <c r="BM5" i="7" s="1"/>
  <c r="BN5" i="7" s="1"/>
  <c r="BO5" i="7" s="1"/>
  <c r="BP5" i="7" s="1"/>
  <c r="BQ5" i="7" s="1"/>
  <c r="BR5" i="7" s="1"/>
  <c r="BS5" i="7" s="1"/>
  <c r="BT5" i="7" s="1"/>
  <c r="BU5" i="7" s="1"/>
  <c r="BV5" i="7" s="1"/>
  <c r="BW5" i="7" s="1"/>
  <c r="BX5" i="7" s="1"/>
  <c r="BY5" i="7" s="1"/>
  <c r="BZ5" i="7" s="1"/>
  <c r="CA5" i="7" s="1"/>
  <c r="CB5" i="7" s="1"/>
  <c r="CC5" i="7" s="1"/>
  <c r="CD5" i="7" s="1"/>
  <c r="CE5" i="7" s="1"/>
  <c r="CF5" i="7" s="1"/>
  <c r="CG5" i="7" s="1"/>
  <c r="CH5" i="7" s="1"/>
  <c r="CI5" i="7" s="1"/>
  <c r="CJ5" i="7" s="1"/>
  <c r="CK5" i="7" s="1"/>
  <c r="CL5" i="7" s="1"/>
  <c r="CM5" i="7" s="1"/>
  <c r="CN5" i="7" s="1"/>
  <c r="CO5" i="7" s="1"/>
  <c r="CP5" i="7" s="1"/>
  <c r="CQ5" i="7" s="1"/>
  <c r="CR5" i="7" s="1"/>
  <c r="CS5" i="7" s="1"/>
  <c r="CT5" i="7" s="1"/>
  <c r="CU5" i="7" s="1"/>
  <c r="CV5" i="7" s="1"/>
  <c r="CW5" i="7" s="1"/>
  <c r="CX5" i="7" s="1"/>
  <c r="CY5" i="7" s="1"/>
  <c r="CZ5" i="7" s="1"/>
  <c r="DA5" i="7" s="1"/>
  <c r="DB5" i="7" s="1"/>
  <c r="DC5" i="7" s="1"/>
  <c r="DD5" i="7" s="1"/>
  <c r="DE5" i="7" s="1"/>
  <c r="DF5" i="7" s="1"/>
  <c r="DG5" i="7" s="1"/>
  <c r="DH5" i="7" s="1"/>
  <c r="DI5" i="7" s="1"/>
  <c r="DJ5" i="7" s="1"/>
  <c r="DK5" i="7" s="1"/>
  <c r="DL5" i="7" s="1"/>
  <c r="G5" i="7"/>
  <c r="H5" i="7" s="1"/>
  <c r="I5" i="7" s="1"/>
  <c r="J5" i="7" s="1"/>
  <c r="K5" i="7" s="1"/>
  <c r="L5" i="7" s="1"/>
  <c r="M5" i="7" s="1"/>
  <c r="F5" i="7"/>
  <c r="D8" i="5"/>
  <c r="V7" i="5"/>
  <c r="D7" i="5"/>
  <c r="D6" i="5"/>
  <c r="D5" i="5"/>
  <c r="C5" i="5"/>
  <c r="Q2" i="5"/>
  <c r="N2" i="5"/>
  <c r="H237" i="4"/>
  <c r="G237" i="4"/>
  <c r="D237" i="4"/>
  <c r="C237" i="4"/>
  <c r="I225" i="4"/>
  <c r="I221" i="4"/>
  <c r="H221" i="4"/>
  <c r="I201" i="4"/>
  <c r="H201" i="4"/>
  <c r="G201" i="4"/>
  <c r="O82" i="2" s="1"/>
  <c r="F201" i="4"/>
  <c r="I200" i="4"/>
  <c r="H200" i="4"/>
  <c r="G200" i="4"/>
  <c r="O81" i="2" s="1"/>
  <c r="F200" i="4"/>
  <c r="I199" i="4"/>
  <c r="H199" i="4"/>
  <c r="G199" i="4"/>
  <c r="F199" i="4"/>
  <c r="I198" i="4"/>
  <c r="H198" i="4"/>
  <c r="G198" i="4"/>
  <c r="F198" i="4"/>
  <c r="I197" i="4"/>
  <c r="H197" i="4"/>
  <c r="G197" i="4"/>
  <c r="O78" i="2" s="1"/>
  <c r="F197" i="4"/>
  <c r="I196" i="4"/>
  <c r="H196" i="4"/>
  <c r="G196" i="4"/>
  <c r="F196" i="4"/>
  <c r="F187" i="4"/>
  <c r="E153" i="4"/>
  <c r="D131" i="4"/>
  <c r="D128" i="4"/>
  <c r="G127" i="4"/>
  <c r="D125" i="4"/>
  <c r="D129" i="4" s="1"/>
  <c r="G121" i="4" s="1"/>
  <c r="D50" i="2" s="1"/>
  <c r="G124" i="4"/>
  <c r="B114" i="4"/>
  <c r="B113" i="4"/>
  <c r="B112" i="4"/>
  <c r="B111" i="4"/>
  <c r="B110" i="4"/>
  <c r="B109" i="4"/>
  <c r="J54" i="2" s="1"/>
  <c r="B108" i="4"/>
  <c r="B107" i="4"/>
  <c r="B106" i="4"/>
  <c r="B105" i="4"/>
  <c r="B104" i="4"/>
  <c r="B103" i="4"/>
  <c r="B102" i="4"/>
  <c r="B101" i="4"/>
  <c r="G72" i="4"/>
  <c r="G73" i="4" s="1"/>
  <c r="G74" i="4" s="1"/>
  <c r="G75" i="4" s="1"/>
  <c r="G71" i="4"/>
  <c r="H67" i="4"/>
  <c r="G67" i="4" s="1"/>
  <c r="E67" i="4"/>
  <c r="D67" i="4"/>
  <c r="C67" i="4"/>
  <c r="H66" i="4"/>
  <c r="D66" i="4" s="1"/>
  <c r="H65" i="4"/>
  <c r="G65" i="4" s="1"/>
  <c r="C65" i="4"/>
  <c r="H64" i="4"/>
  <c r="E64" i="4" s="1"/>
  <c r="F64" i="4"/>
  <c r="B64" i="4"/>
  <c r="H63" i="4"/>
  <c r="G63" i="4" s="1"/>
  <c r="H62" i="4"/>
  <c r="C62" i="4" s="1"/>
  <c r="D62" i="4"/>
  <c r="H61" i="4"/>
  <c r="F61" i="4" s="1"/>
  <c r="G61" i="4"/>
  <c r="H60" i="4"/>
  <c r="G60" i="4" s="1"/>
  <c r="F60" i="4"/>
  <c r="E60" i="4"/>
  <c r="D60" i="4"/>
  <c r="C60" i="4"/>
  <c r="B60" i="4"/>
  <c r="H59" i="4"/>
  <c r="G59" i="4" s="1"/>
  <c r="F59" i="4"/>
  <c r="E59" i="4"/>
  <c r="D59" i="4"/>
  <c r="H58" i="4"/>
  <c r="G58" i="4"/>
  <c r="F58" i="4"/>
  <c r="E58" i="4"/>
  <c r="D58" i="4"/>
  <c r="C58" i="4"/>
  <c r="B58" i="4"/>
  <c r="H55" i="4"/>
  <c r="G55" i="4"/>
  <c r="F55" i="4"/>
  <c r="E55" i="4"/>
  <c r="D55" i="4"/>
  <c r="C55" i="4"/>
  <c r="B55" i="4"/>
  <c r="H54" i="4"/>
  <c r="F54" i="4" s="1"/>
  <c r="G54" i="4"/>
  <c r="B54" i="4"/>
  <c r="H53" i="4"/>
  <c r="F53" i="4" s="1"/>
  <c r="G53" i="4"/>
  <c r="E53" i="4"/>
  <c r="D53" i="4"/>
  <c r="C53" i="4"/>
  <c r="B53" i="4"/>
  <c r="H52" i="4"/>
  <c r="H51" i="4"/>
  <c r="G51" i="4"/>
  <c r="F51" i="4"/>
  <c r="E51" i="4"/>
  <c r="D51" i="4"/>
  <c r="C51" i="4"/>
  <c r="B51" i="4"/>
  <c r="H50" i="4"/>
  <c r="F50" i="4" s="1"/>
  <c r="H49" i="4"/>
  <c r="G49" i="4" s="1"/>
  <c r="E49" i="4"/>
  <c r="D49" i="4"/>
  <c r="C49" i="4"/>
  <c r="B49" i="4"/>
  <c r="H48" i="4"/>
  <c r="G48" i="4"/>
  <c r="F48" i="4"/>
  <c r="D48" i="4"/>
  <c r="M32" i="2" s="1"/>
  <c r="H47" i="4"/>
  <c r="G47" i="4" s="1"/>
  <c r="C47" i="4"/>
  <c r="B47" i="4"/>
  <c r="K30" i="2" s="1"/>
  <c r="H46" i="4"/>
  <c r="H45" i="4"/>
  <c r="G45" i="4" s="1"/>
  <c r="H44" i="4"/>
  <c r="E44" i="4" s="1"/>
  <c r="G44" i="4"/>
  <c r="F44" i="4"/>
  <c r="C44" i="4"/>
  <c r="L24" i="2" s="1"/>
  <c r="B44" i="4"/>
  <c r="K24" i="2" s="1"/>
  <c r="H43" i="4"/>
  <c r="F43" i="4" s="1"/>
  <c r="O22" i="2" s="1"/>
  <c r="G43" i="4"/>
  <c r="H42" i="4"/>
  <c r="G42" i="4" s="1"/>
  <c r="F42" i="4"/>
  <c r="E42" i="4"/>
  <c r="D42" i="4"/>
  <c r="C42" i="4"/>
  <c r="B42" i="4"/>
  <c r="H41" i="4"/>
  <c r="G41" i="4" s="1"/>
  <c r="E41" i="4"/>
  <c r="N18" i="2" s="1"/>
  <c r="H40" i="4"/>
  <c r="G40" i="4"/>
  <c r="F40" i="4"/>
  <c r="E40" i="4"/>
  <c r="D40" i="4"/>
  <c r="M16" i="2" s="1"/>
  <c r="C40" i="4"/>
  <c r="L16" i="2" s="1"/>
  <c r="B40" i="4"/>
  <c r="J16" i="2" s="1"/>
  <c r="H39" i="4"/>
  <c r="G39" i="4"/>
  <c r="F39" i="4"/>
  <c r="E39" i="4"/>
  <c r="N14" i="2" s="1"/>
  <c r="H38" i="4"/>
  <c r="F38" i="4" s="1"/>
  <c r="G38" i="4"/>
  <c r="E38" i="4"/>
  <c r="D38" i="4"/>
  <c r="C38" i="4"/>
  <c r="B38" i="4"/>
  <c r="H37" i="4"/>
  <c r="B37" i="4" s="1"/>
  <c r="J10" i="2" s="1"/>
  <c r="G37" i="4"/>
  <c r="F37" i="4"/>
  <c r="O10" i="2" s="1"/>
  <c r="E37" i="4"/>
  <c r="N10" i="2" s="1"/>
  <c r="D37" i="4"/>
  <c r="C37" i="4"/>
  <c r="L10" i="2" s="1"/>
  <c r="H36" i="4"/>
  <c r="D22" i="4"/>
  <c r="D21" i="4"/>
  <c r="D20" i="4"/>
  <c r="D13" i="4"/>
  <c r="I12" i="4"/>
  <c r="H12" i="4"/>
  <c r="I11" i="4"/>
  <c r="H11" i="4"/>
  <c r="I10" i="4"/>
  <c r="H10" i="4"/>
  <c r="I9" i="4"/>
  <c r="H9" i="4"/>
  <c r="I1" i="4"/>
  <c r="Q3" i="2" s="1"/>
  <c r="E109" i="2"/>
  <c r="Q105" i="2"/>
  <c r="P105" i="2"/>
  <c r="O105" i="2"/>
  <c r="N105" i="2"/>
  <c r="M105" i="2"/>
  <c r="L105" i="2"/>
  <c r="K105" i="2"/>
  <c r="Q104" i="2"/>
  <c r="P104" i="2"/>
  <c r="O104" i="2"/>
  <c r="N104" i="2"/>
  <c r="M104" i="2"/>
  <c r="L104" i="2"/>
  <c r="K104" i="2"/>
  <c r="Q103" i="2"/>
  <c r="P103" i="2"/>
  <c r="O103" i="2"/>
  <c r="N103" i="2"/>
  <c r="M103" i="2"/>
  <c r="L103" i="2"/>
  <c r="K103" i="2"/>
  <c r="P100" i="2"/>
  <c r="Q99" i="2"/>
  <c r="O99" i="2"/>
  <c r="M99" i="2"/>
  <c r="Q98" i="2"/>
  <c r="O98" i="2"/>
  <c r="M98" i="2"/>
  <c r="Q97" i="2"/>
  <c r="P97" i="2"/>
  <c r="O97" i="2"/>
  <c r="M97" i="2"/>
  <c r="L97" i="2"/>
  <c r="K97" i="2"/>
  <c r="B97" i="2"/>
  <c r="Q96" i="2"/>
  <c r="P96" i="2"/>
  <c r="O96" i="2"/>
  <c r="M96" i="2"/>
  <c r="L96" i="2"/>
  <c r="K96" i="2"/>
  <c r="J96" i="2"/>
  <c r="G96" i="2"/>
  <c r="B96" i="2"/>
  <c r="Q95" i="2"/>
  <c r="O95" i="2"/>
  <c r="M95" i="2"/>
  <c r="L95" i="2"/>
  <c r="K95" i="2"/>
  <c r="J95" i="2"/>
  <c r="G95" i="2"/>
  <c r="K109" i="2" s="1"/>
  <c r="B95" i="2"/>
  <c r="Q94" i="2"/>
  <c r="O94" i="2"/>
  <c r="M94" i="2"/>
  <c r="L94" i="2"/>
  <c r="K94" i="2"/>
  <c r="J94" i="2"/>
  <c r="G94" i="2"/>
  <c r="B94" i="2"/>
  <c r="Q93" i="2"/>
  <c r="O93" i="2"/>
  <c r="M93" i="2"/>
  <c r="L93" i="2"/>
  <c r="K93" i="2"/>
  <c r="J93" i="2"/>
  <c r="Q92" i="2"/>
  <c r="O92" i="2"/>
  <c r="M92" i="2"/>
  <c r="L92" i="2"/>
  <c r="K92" i="2"/>
  <c r="J92" i="2"/>
  <c r="Q91" i="2"/>
  <c r="O91" i="2"/>
  <c r="M91" i="2"/>
  <c r="L91" i="2"/>
  <c r="K91" i="2"/>
  <c r="J91" i="2"/>
  <c r="G91" i="2"/>
  <c r="E91" i="2"/>
  <c r="D91" i="2"/>
  <c r="B91" i="2"/>
  <c r="A91" i="2"/>
  <c r="H91" i="2" s="1"/>
  <c r="Q90" i="2"/>
  <c r="Q100" i="2" s="1"/>
  <c r="O90" i="2"/>
  <c r="M90" i="2"/>
  <c r="L90" i="2"/>
  <c r="K90" i="2"/>
  <c r="J90" i="2"/>
  <c r="Q89" i="2"/>
  <c r="O89" i="2"/>
  <c r="M89" i="2"/>
  <c r="L89" i="2"/>
  <c r="K89" i="2"/>
  <c r="J89" i="2"/>
  <c r="Q88" i="2"/>
  <c r="O88" i="2"/>
  <c r="M88" i="2"/>
  <c r="L88" i="2"/>
  <c r="K88" i="2"/>
  <c r="J88" i="2"/>
  <c r="E86" i="2"/>
  <c r="E85" i="2"/>
  <c r="E84" i="2"/>
  <c r="H83" i="2"/>
  <c r="G83" i="2"/>
  <c r="F83" i="2"/>
  <c r="E83" i="2"/>
  <c r="Q82" i="2"/>
  <c r="P82" i="2"/>
  <c r="N82" i="2"/>
  <c r="M82" i="2"/>
  <c r="L82" i="2"/>
  <c r="Q81" i="2"/>
  <c r="P81" i="2"/>
  <c r="N81" i="2"/>
  <c r="M81" i="2"/>
  <c r="L81" i="2"/>
  <c r="Q80" i="2"/>
  <c r="P80" i="2"/>
  <c r="O80" i="2"/>
  <c r="N80" i="2"/>
  <c r="M80" i="2"/>
  <c r="L80" i="2"/>
  <c r="Q79" i="2"/>
  <c r="P79" i="2"/>
  <c r="O79" i="2"/>
  <c r="N79" i="2"/>
  <c r="M79" i="2"/>
  <c r="L79" i="2"/>
  <c r="H79" i="2"/>
  <c r="G79" i="2"/>
  <c r="F79" i="2"/>
  <c r="E79" i="2"/>
  <c r="D79" i="2"/>
  <c r="C79" i="2"/>
  <c r="B79" i="2"/>
  <c r="A79" i="2"/>
  <c r="Q78" i="2"/>
  <c r="P78" i="2"/>
  <c r="N78" i="2"/>
  <c r="M78" i="2"/>
  <c r="L78" i="2"/>
  <c r="H78" i="2"/>
  <c r="G78" i="2"/>
  <c r="F78" i="2"/>
  <c r="E78" i="2"/>
  <c r="D78" i="2"/>
  <c r="C78" i="2"/>
  <c r="B78" i="2"/>
  <c r="A78" i="2"/>
  <c r="Q77" i="2"/>
  <c r="P77" i="2"/>
  <c r="O77" i="2"/>
  <c r="N77" i="2"/>
  <c r="M77" i="2"/>
  <c r="L77" i="2"/>
  <c r="Q73" i="2"/>
  <c r="P73" i="2"/>
  <c r="O73" i="2"/>
  <c r="N73" i="2"/>
  <c r="M73" i="2"/>
  <c r="L73" i="2"/>
  <c r="H73" i="2"/>
  <c r="G73" i="2"/>
  <c r="F73" i="2"/>
  <c r="E73" i="2"/>
  <c r="D73" i="2"/>
  <c r="C73" i="2"/>
  <c r="B73" i="2"/>
  <c r="A73" i="2"/>
  <c r="Q72" i="2"/>
  <c r="P72" i="2"/>
  <c r="O72" i="2"/>
  <c r="N72" i="2"/>
  <c r="M72" i="2"/>
  <c r="L72" i="2"/>
  <c r="H72" i="2"/>
  <c r="G72" i="2"/>
  <c r="F72" i="2"/>
  <c r="E72" i="2"/>
  <c r="D72" i="2"/>
  <c r="C72" i="2"/>
  <c r="B72" i="2"/>
  <c r="A72" i="2"/>
  <c r="Q71" i="2"/>
  <c r="P71" i="2"/>
  <c r="O71" i="2"/>
  <c r="N71" i="2"/>
  <c r="M71" i="2"/>
  <c r="L71" i="2"/>
  <c r="H71" i="2"/>
  <c r="G71" i="2"/>
  <c r="F71" i="2"/>
  <c r="E71" i="2"/>
  <c r="D71" i="2"/>
  <c r="C71" i="2"/>
  <c r="B71" i="2"/>
  <c r="A71" i="2"/>
  <c r="Q70" i="2"/>
  <c r="P70" i="2"/>
  <c r="O70" i="2"/>
  <c r="N70" i="2"/>
  <c r="M70" i="2"/>
  <c r="L70" i="2"/>
  <c r="Q69" i="2"/>
  <c r="P69" i="2"/>
  <c r="O69" i="2"/>
  <c r="N69" i="2"/>
  <c r="M69" i="2"/>
  <c r="L69" i="2"/>
  <c r="Q68" i="2"/>
  <c r="P68" i="2"/>
  <c r="O68" i="2"/>
  <c r="N68" i="2"/>
  <c r="M68" i="2"/>
  <c r="L68" i="2"/>
  <c r="H66" i="2"/>
  <c r="G66" i="2"/>
  <c r="H65" i="2"/>
  <c r="G65" i="2"/>
  <c r="Q64" i="2"/>
  <c r="P64" i="2"/>
  <c r="O64" i="2"/>
  <c r="N64" i="2"/>
  <c r="M64" i="2"/>
  <c r="L64" i="2"/>
  <c r="H64" i="2"/>
  <c r="G64" i="2"/>
  <c r="Q63" i="2"/>
  <c r="P63" i="2"/>
  <c r="O63" i="2"/>
  <c r="N63" i="2"/>
  <c r="M63" i="2"/>
  <c r="L63" i="2"/>
  <c r="H63" i="2"/>
  <c r="G63" i="2"/>
  <c r="C63" i="2"/>
  <c r="Q62" i="2"/>
  <c r="P62" i="2"/>
  <c r="O62" i="2"/>
  <c r="N62" i="2"/>
  <c r="M62" i="2"/>
  <c r="L62" i="2"/>
  <c r="H62" i="2"/>
  <c r="G62" i="2"/>
  <c r="D62" i="2"/>
  <c r="C62" i="2"/>
  <c r="Q61" i="2"/>
  <c r="P61" i="2"/>
  <c r="O61" i="2"/>
  <c r="N61" i="2"/>
  <c r="M61" i="2"/>
  <c r="L61" i="2"/>
  <c r="H61" i="2"/>
  <c r="G61" i="2"/>
  <c r="C61" i="2"/>
  <c r="Q60" i="2"/>
  <c r="P60" i="2"/>
  <c r="O60" i="2"/>
  <c r="N60" i="2"/>
  <c r="M60" i="2"/>
  <c r="L60" i="2"/>
  <c r="H60" i="2"/>
  <c r="G60" i="2"/>
  <c r="C60" i="2"/>
  <c r="Q59" i="2"/>
  <c r="P59" i="2"/>
  <c r="O59" i="2"/>
  <c r="N59" i="2"/>
  <c r="M59" i="2"/>
  <c r="L59" i="2"/>
  <c r="H59" i="2"/>
  <c r="G59" i="2"/>
  <c r="C59" i="2"/>
  <c r="H58" i="2"/>
  <c r="G58" i="2"/>
  <c r="D58" i="2"/>
  <c r="C58" i="2"/>
  <c r="H57" i="2"/>
  <c r="G57" i="2"/>
  <c r="C57" i="2"/>
  <c r="H56" i="2"/>
  <c r="G56" i="2"/>
  <c r="C56" i="2"/>
  <c r="H55" i="2"/>
  <c r="G55" i="2"/>
  <c r="C55" i="2"/>
  <c r="Q54" i="2"/>
  <c r="P54" i="2"/>
  <c r="K54" i="2"/>
  <c r="H54" i="2"/>
  <c r="G54" i="2"/>
  <c r="D54" i="2"/>
  <c r="C54" i="2"/>
  <c r="Q53" i="2"/>
  <c r="P53" i="2"/>
  <c r="K53" i="2"/>
  <c r="J53" i="2"/>
  <c r="H53" i="2"/>
  <c r="G53" i="2"/>
  <c r="C53" i="2"/>
  <c r="Q52" i="2"/>
  <c r="P52" i="2"/>
  <c r="K52" i="2"/>
  <c r="J52" i="2"/>
  <c r="H52" i="2"/>
  <c r="G52" i="2"/>
  <c r="C52" i="2"/>
  <c r="Q51" i="2"/>
  <c r="P51" i="2"/>
  <c r="K51" i="2"/>
  <c r="J51" i="2"/>
  <c r="H51" i="2"/>
  <c r="G51" i="2"/>
  <c r="C51" i="2"/>
  <c r="Q50" i="2"/>
  <c r="P50" i="2"/>
  <c r="K50" i="2"/>
  <c r="J50" i="2"/>
  <c r="H50" i="2"/>
  <c r="G50" i="2"/>
  <c r="C50" i="2"/>
  <c r="Q49" i="2"/>
  <c r="P49" i="2"/>
  <c r="K49" i="2"/>
  <c r="J49" i="2"/>
  <c r="H49" i="2"/>
  <c r="G49" i="2"/>
  <c r="C49" i="2"/>
  <c r="Q48" i="2"/>
  <c r="P48" i="2"/>
  <c r="K48" i="2"/>
  <c r="J48" i="2"/>
  <c r="C48" i="2"/>
  <c r="Q47" i="2"/>
  <c r="P47" i="2"/>
  <c r="K47" i="2"/>
  <c r="J47" i="2"/>
  <c r="Q46" i="2"/>
  <c r="P46" i="2"/>
  <c r="K46" i="2"/>
  <c r="J46" i="2"/>
  <c r="Q45" i="2"/>
  <c r="P45" i="2"/>
  <c r="K45" i="2"/>
  <c r="J45" i="2"/>
  <c r="H45" i="2"/>
  <c r="G45" i="2"/>
  <c r="F45" i="2"/>
  <c r="E45" i="2"/>
  <c r="D45" i="2"/>
  <c r="C45" i="2"/>
  <c r="B45" i="2"/>
  <c r="A45" i="2"/>
  <c r="H44" i="2"/>
  <c r="G44" i="2"/>
  <c r="F44" i="2"/>
  <c r="E44" i="2"/>
  <c r="D44" i="2"/>
  <c r="C44" i="2"/>
  <c r="B44" i="2"/>
  <c r="A44" i="2"/>
  <c r="H43" i="2"/>
  <c r="G43" i="2"/>
  <c r="E43" i="2"/>
  <c r="D43" i="2"/>
  <c r="C43" i="2"/>
  <c r="B43" i="2"/>
  <c r="A43" i="2"/>
  <c r="H42" i="2"/>
  <c r="G42" i="2"/>
  <c r="E42" i="2"/>
  <c r="D42" i="2"/>
  <c r="C42" i="2"/>
  <c r="B42" i="2"/>
  <c r="A42" i="2"/>
  <c r="N41" i="2"/>
  <c r="M41" i="2"/>
  <c r="L41" i="2"/>
  <c r="K41" i="2"/>
  <c r="J41" i="2"/>
  <c r="G41" i="2"/>
  <c r="F41" i="2"/>
  <c r="E41" i="2"/>
  <c r="D41" i="2"/>
  <c r="C41" i="2"/>
  <c r="B41" i="2"/>
  <c r="A41" i="2"/>
  <c r="N40" i="2"/>
  <c r="L40" i="2"/>
  <c r="K40" i="2"/>
  <c r="G40" i="2"/>
  <c r="F40" i="2"/>
  <c r="D40" i="2"/>
  <c r="C40" i="2"/>
  <c r="B40" i="2"/>
  <c r="A40" i="2"/>
  <c r="N39" i="2"/>
  <c r="M39" i="2"/>
  <c r="L39" i="2"/>
  <c r="K39" i="2"/>
  <c r="J39" i="2"/>
  <c r="G39" i="2"/>
  <c r="F39" i="2"/>
  <c r="D39" i="2"/>
  <c r="C39" i="2"/>
  <c r="B39" i="2"/>
  <c r="A39" i="2"/>
  <c r="G38" i="2"/>
  <c r="F38" i="2"/>
  <c r="D38" i="2"/>
  <c r="C38" i="2"/>
  <c r="B38" i="2"/>
  <c r="A38" i="2"/>
  <c r="G37" i="2"/>
  <c r="F37" i="2"/>
  <c r="D37" i="2"/>
  <c r="C37" i="2"/>
  <c r="B37" i="2"/>
  <c r="A37" i="2"/>
  <c r="G36" i="2"/>
  <c r="F36" i="2"/>
  <c r="D36" i="2"/>
  <c r="C36" i="2"/>
  <c r="B36" i="2"/>
  <c r="A36" i="2"/>
  <c r="G35" i="2"/>
  <c r="F35" i="2"/>
  <c r="E35" i="2"/>
  <c r="D35" i="2"/>
  <c r="C35" i="2"/>
  <c r="B35" i="2"/>
  <c r="A35" i="2"/>
  <c r="N34" i="2"/>
  <c r="M34" i="2"/>
  <c r="L34" i="2"/>
  <c r="K34" i="2"/>
  <c r="J34" i="2"/>
  <c r="G34" i="2"/>
  <c r="F34" i="2"/>
  <c r="E34" i="2"/>
  <c r="D34" i="2"/>
  <c r="C34" i="2"/>
  <c r="B34" i="2"/>
  <c r="A34" i="2"/>
  <c r="G33" i="2"/>
  <c r="F33" i="2"/>
  <c r="E33" i="2"/>
  <c r="D33" i="2"/>
  <c r="C33" i="2"/>
  <c r="B33" i="2"/>
  <c r="A33" i="2"/>
  <c r="O32" i="2"/>
  <c r="G32" i="2"/>
  <c r="F32" i="2"/>
  <c r="E32" i="2"/>
  <c r="D32" i="2"/>
  <c r="C32" i="2"/>
  <c r="B32" i="2"/>
  <c r="A32" i="2"/>
  <c r="L30" i="2"/>
  <c r="J30" i="2"/>
  <c r="G27" i="2"/>
  <c r="C27" i="2"/>
  <c r="G26" i="2"/>
  <c r="C26" i="2"/>
  <c r="G25" i="2"/>
  <c r="C25" i="2"/>
  <c r="O24" i="2"/>
  <c r="N24" i="2"/>
  <c r="G24" i="2"/>
  <c r="C24" i="2"/>
  <c r="G23" i="2"/>
  <c r="G22" i="2"/>
  <c r="G21" i="2"/>
  <c r="O20" i="2"/>
  <c r="N20" i="2"/>
  <c r="M20" i="2"/>
  <c r="L20" i="2"/>
  <c r="K20" i="2"/>
  <c r="J20" i="2"/>
  <c r="G20" i="2"/>
  <c r="G19" i="2"/>
  <c r="C19" i="2"/>
  <c r="G18" i="2"/>
  <c r="C18" i="2"/>
  <c r="G17" i="2"/>
  <c r="C17" i="2"/>
  <c r="O16" i="2"/>
  <c r="N16" i="2"/>
  <c r="K16" i="2"/>
  <c r="G16" i="2"/>
  <c r="C16" i="2"/>
  <c r="G15" i="2"/>
  <c r="O14" i="2"/>
  <c r="G14" i="2"/>
  <c r="G13" i="2"/>
  <c r="O12" i="2"/>
  <c r="N12" i="2"/>
  <c r="M12" i="2"/>
  <c r="L12" i="2"/>
  <c r="K12" i="2"/>
  <c r="J12" i="2"/>
  <c r="H12" i="2"/>
  <c r="G12" i="2"/>
  <c r="F12" i="2"/>
  <c r="E8" i="5" s="1"/>
  <c r="H11" i="2"/>
  <c r="G11" i="2"/>
  <c r="F7" i="5" s="1"/>
  <c r="F11" i="2"/>
  <c r="E7" i="5" s="1"/>
  <c r="C11" i="2"/>
  <c r="M10" i="2"/>
  <c r="K10" i="2"/>
  <c r="H10" i="2"/>
  <c r="G10" i="2"/>
  <c r="F6" i="5" s="1"/>
  <c r="F10" i="2"/>
  <c r="E6" i="5" s="1"/>
  <c r="C10" i="2"/>
  <c r="H9" i="2"/>
  <c r="G9" i="2"/>
  <c r="F5" i="5" s="1"/>
  <c r="F9" i="2"/>
  <c r="E5" i="5" s="1"/>
  <c r="C9" i="2"/>
  <c r="C8" i="2"/>
  <c r="F7" i="2"/>
  <c r="C7" i="2"/>
  <c r="F6" i="2"/>
  <c r="C6" i="2"/>
  <c r="I3" i="2"/>
  <c r="AX238" i="3"/>
  <c r="AU238" i="3"/>
  <c r="AT238" i="3"/>
  <c r="AH238" i="3"/>
  <c r="AE238" i="3"/>
  <c r="AX237" i="3"/>
  <c r="AU237" i="3"/>
  <c r="AT237" i="3"/>
  <c r="AH237" i="3"/>
  <c r="AE237" i="3"/>
  <c r="AX236" i="3"/>
  <c r="AU236" i="3"/>
  <c r="AT236" i="3"/>
  <c r="AH236" i="3"/>
  <c r="AE236" i="3"/>
  <c r="AX235" i="3"/>
  <c r="AU235" i="3"/>
  <c r="AT235" i="3"/>
  <c r="AH235" i="3"/>
  <c r="AE235" i="3"/>
  <c r="AX234" i="3"/>
  <c r="AU234" i="3"/>
  <c r="AT234" i="3"/>
  <c r="AH234" i="3"/>
  <c r="AE234" i="3"/>
  <c r="AX233" i="3"/>
  <c r="AU233" i="3"/>
  <c r="AT233" i="3"/>
  <c r="AH233" i="3"/>
  <c r="AE233" i="3"/>
  <c r="AX232" i="3"/>
  <c r="AU232" i="3"/>
  <c r="AT232" i="3"/>
  <c r="AH232" i="3"/>
  <c r="AE232" i="3"/>
  <c r="AX231" i="3"/>
  <c r="AU231" i="3"/>
  <c r="AT231" i="3"/>
  <c r="AH231" i="3"/>
  <c r="AE231" i="3"/>
  <c r="AX230" i="3"/>
  <c r="AU230" i="3"/>
  <c r="AT230" i="3"/>
  <c r="AH230" i="3"/>
  <c r="AE230" i="3"/>
  <c r="AX229" i="3"/>
  <c r="AU229" i="3"/>
  <c r="AT229" i="3"/>
  <c r="AH229" i="3"/>
  <c r="AE229" i="3"/>
  <c r="AX228" i="3"/>
  <c r="AU228" i="3"/>
  <c r="AT228" i="3"/>
  <c r="AH228" i="3"/>
  <c r="AE228" i="3"/>
  <c r="AX227" i="3"/>
  <c r="AU227" i="3"/>
  <c r="AT227" i="3"/>
  <c r="AH227" i="3"/>
  <c r="AE227" i="3"/>
  <c r="AX226" i="3"/>
  <c r="AU226" i="3"/>
  <c r="AT226" i="3"/>
  <c r="AH226" i="3"/>
  <c r="AE226" i="3"/>
  <c r="AX225" i="3"/>
  <c r="AU225" i="3"/>
  <c r="AT225" i="3"/>
  <c r="AH225" i="3"/>
  <c r="AE225" i="3"/>
  <c r="AX224" i="3"/>
  <c r="AU224" i="3"/>
  <c r="AT224" i="3"/>
  <c r="AH224" i="3"/>
  <c r="AE224" i="3"/>
  <c r="AX223" i="3"/>
  <c r="AU223" i="3"/>
  <c r="AT223" i="3"/>
  <c r="AH223" i="3"/>
  <c r="AE223" i="3"/>
  <c r="AX222" i="3"/>
  <c r="AU222" i="3"/>
  <c r="AT222" i="3"/>
  <c r="AH222" i="3"/>
  <c r="AE222" i="3"/>
  <c r="AX221" i="3"/>
  <c r="AU221" i="3"/>
  <c r="AT221" i="3"/>
  <c r="AH221" i="3"/>
  <c r="AE221" i="3"/>
  <c r="AX220" i="3"/>
  <c r="AU220" i="3"/>
  <c r="AT220" i="3"/>
  <c r="AH220" i="3"/>
  <c r="AE220" i="3"/>
  <c r="AX219" i="3"/>
  <c r="AU219" i="3"/>
  <c r="AT219" i="3"/>
  <c r="AH219" i="3"/>
  <c r="AE219" i="3"/>
  <c r="AX218" i="3"/>
  <c r="AU218" i="3"/>
  <c r="AT218" i="3"/>
  <c r="AH218" i="3"/>
  <c r="AE218" i="3"/>
  <c r="AX217" i="3"/>
  <c r="AU217" i="3"/>
  <c r="AT217" i="3"/>
  <c r="AH217" i="3"/>
  <c r="AE217" i="3"/>
  <c r="AX216" i="3"/>
  <c r="AU216" i="3"/>
  <c r="AT216" i="3"/>
  <c r="AH216" i="3"/>
  <c r="AE216" i="3"/>
  <c r="AX215" i="3"/>
  <c r="AU215" i="3"/>
  <c r="AT215" i="3"/>
  <c r="AH215" i="3"/>
  <c r="AE215" i="3"/>
  <c r="AX214" i="3"/>
  <c r="AU214" i="3"/>
  <c r="AT214" i="3"/>
  <c r="AH214" i="3"/>
  <c r="AE214" i="3"/>
  <c r="AX213" i="3"/>
  <c r="AU213" i="3"/>
  <c r="AT213" i="3"/>
  <c r="AH213" i="3"/>
  <c r="AE213" i="3"/>
  <c r="AX212" i="3"/>
  <c r="AU212" i="3"/>
  <c r="AT212" i="3"/>
  <c r="AH212" i="3"/>
  <c r="AE212" i="3"/>
  <c r="AX211" i="3"/>
  <c r="AU211" i="3"/>
  <c r="AT211" i="3"/>
  <c r="AH211" i="3"/>
  <c r="AE211" i="3"/>
  <c r="AX210" i="3"/>
  <c r="AU210" i="3"/>
  <c r="AT210" i="3"/>
  <c r="AH210" i="3"/>
  <c r="AE210" i="3"/>
  <c r="AX209" i="3"/>
  <c r="AU209" i="3"/>
  <c r="AT209" i="3"/>
  <c r="AH209" i="3"/>
  <c r="AE209" i="3"/>
  <c r="AX208" i="3"/>
  <c r="AU208" i="3"/>
  <c r="AT208" i="3"/>
  <c r="AH208" i="3"/>
  <c r="AE208" i="3"/>
  <c r="AX207" i="3"/>
  <c r="AU207" i="3"/>
  <c r="AT207" i="3"/>
  <c r="AH207" i="3"/>
  <c r="AE207" i="3"/>
  <c r="AX206" i="3"/>
  <c r="AU206" i="3"/>
  <c r="AT206" i="3"/>
  <c r="AH206" i="3"/>
  <c r="AE206" i="3"/>
  <c r="AX205" i="3"/>
  <c r="AU205" i="3"/>
  <c r="AT205" i="3"/>
  <c r="AH205" i="3"/>
  <c r="AE205" i="3"/>
  <c r="AX204" i="3"/>
  <c r="AU204" i="3"/>
  <c r="AT204" i="3"/>
  <c r="AH204" i="3"/>
  <c r="AE204" i="3"/>
  <c r="AX203" i="3"/>
  <c r="AU203" i="3"/>
  <c r="AT203" i="3"/>
  <c r="AH203" i="3"/>
  <c r="AE203" i="3"/>
  <c r="AX202" i="3"/>
  <c r="AU202" i="3"/>
  <c r="AT202" i="3"/>
  <c r="AH202" i="3"/>
  <c r="AE202" i="3"/>
  <c r="AX201" i="3"/>
  <c r="AU201" i="3"/>
  <c r="AT201" i="3"/>
  <c r="AH201" i="3"/>
  <c r="AE201" i="3"/>
  <c r="AX200" i="3"/>
  <c r="AU200" i="3"/>
  <c r="AT200" i="3"/>
  <c r="AH200" i="3"/>
  <c r="AE200" i="3"/>
  <c r="AX199" i="3"/>
  <c r="AU199" i="3"/>
  <c r="AT199" i="3"/>
  <c r="AH199" i="3"/>
  <c r="AE199" i="3"/>
  <c r="AX198" i="3"/>
  <c r="AU198" i="3"/>
  <c r="AT198" i="3"/>
  <c r="AH198" i="3"/>
  <c r="AE198" i="3"/>
  <c r="AX197" i="3"/>
  <c r="AU197" i="3"/>
  <c r="AT197" i="3"/>
  <c r="AH197" i="3"/>
  <c r="AE197" i="3"/>
  <c r="AX196" i="3"/>
  <c r="AU196" i="3"/>
  <c r="AT196" i="3"/>
  <c r="AH196" i="3"/>
  <c r="AE196" i="3"/>
  <c r="AX195" i="3"/>
  <c r="AU195" i="3"/>
  <c r="AT195" i="3"/>
  <c r="AH195" i="3"/>
  <c r="AE195" i="3"/>
  <c r="AX194" i="3"/>
  <c r="AU194" i="3"/>
  <c r="AT194" i="3"/>
  <c r="AH194" i="3"/>
  <c r="AE194" i="3"/>
  <c r="AX193" i="3"/>
  <c r="AU193" i="3"/>
  <c r="AT193" i="3"/>
  <c r="AH193" i="3"/>
  <c r="AE193" i="3"/>
  <c r="AX192" i="3"/>
  <c r="AU192" i="3"/>
  <c r="AT192" i="3"/>
  <c r="AH192" i="3"/>
  <c r="AE192" i="3"/>
  <c r="AX191" i="3"/>
  <c r="AU191" i="3"/>
  <c r="AT191" i="3"/>
  <c r="AH191" i="3"/>
  <c r="AE191" i="3"/>
  <c r="AX190" i="3"/>
  <c r="AU190" i="3"/>
  <c r="AT190" i="3"/>
  <c r="AH190" i="3"/>
  <c r="AE190" i="3"/>
  <c r="AX189" i="3"/>
  <c r="AU189" i="3"/>
  <c r="AT189" i="3"/>
  <c r="AH189" i="3"/>
  <c r="AE189" i="3"/>
  <c r="AX188" i="3"/>
  <c r="AU188" i="3"/>
  <c r="AT188" i="3"/>
  <c r="AH188" i="3"/>
  <c r="AE188" i="3"/>
  <c r="AX187" i="3"/>
  <c r="AU187" i="3"/>
  <c r="AT187" i="3"/>
  <c r="AH187" i="3"/>
  <c r="AE187" i="3"/>
  <c r="AX186" i="3"/>
  <c r="AU186" i="3"/>
  <c r="AT186" i="3"/>
  <c r="AH186" i="3"/>
  <c r="AE186" i="3"/>
  <c r="AX185" i="3"/>
  <c r="AU185" i="3"/>
  <c r="AT185" i="3"/>
  <c r="AH185" i="3"/>
  <c r="AE185" i="3"/>
  <c r="AX184" i="3"/>
  <c r="AU184" i="3"/>
  <c r="AT184" i="3"/>
  <c r="AH184" i="3"/>
  <c r="AE184" i="3"/>
  <c r="AX183" i="3"/>
  <c r="AU183" i="3"/>
  <c r="AT183" i="3"/>
  <c r="AH183" i="3"/>
  <c r="AE183" i="3"/>
  <c r="AX182" i="3"/>
  <c r="AU182" i="3"/>
  <c r="AT182" i="3"/>
  <c r="AH182" i="3"/>
  <c r="AE182" i="3"/>
  <c r="AX181" i="3"/>
  <c r="AU181" i="3"/>
  <c r="AT181" i="3"/>
  <c r="AH181" i="3"/>
  <c r="AE181" i="3"/>
  <c r="AX180" i="3"/>
  <c r="AU180" i="3"/>
  <c r="AT180" i="3"/>
  <c r="AH180" i="3"/>
  <c r="AE180" i="3"/>
  <c r="AX179" i="3"/>
  <c r="AU179" i="3"/>
  <c r="AT179" i="3"/>
  <c r="AH179" i="3"/>
  <c r="AE179" i="3"/>
  <c r="AX178" i="3"/>
  <c r="AU178" i="3"/>
  <c r="AT178" i="3"/>
  <c r="AH178" i="3"/>
  <c r="AE178" i="3"/>
  <c r="AX177" i="3"/>
  <c r="AU177" i="3"/>
  <c r="AT177" i="3"/>
  <c r="AH177" i="3"/>
  <c r="AE177" i="3"/>
  <c r="AX176" i="3"/>
  <c r="AU176" i="3"/>
  <c r="AT176" i="3"/>
  <c r="AH176" i="3"/>
  <c r="AE176" i="3"/>
  <c r="AX175" i="3"/>
  <c r="AU175" i="3"/>
  <c r="AT175" i="3"/>
  <c r="AH175" i="3"/>
  <c r="AE175" i="3"/>
  <c r="AX174" i="3"/>
  <c r="AU174" i="3"/>
  <c r="AT174" i="3"/>
  <c r="AH174" i="3"/>
  <c r="AE174" i="3"/>
  <c r="AX173" i="3"/>
  <c r="AU173" i="3"/>
  <c r="AT173" i="3"/>
  <c r="AH173" i="3"/>
  <c r="AE173" i="3"/>
  <c r="AX172" i="3"/>
  <c r="AU172" i="3"/>
  <c r="AT172" i="3"/>
  <c r="AH172" i="3"/>
  <c r="AE172" i="3"/>
  <c r="AX171" i="3"/>
  <c r="AU171" i="3"/>
  <c r="AT171" i="3"/>
  <c r="AH171" i="3"/>
  <c r="AE171" i="3"/>
  <c r="AX170" i="3"/>
  <c r="AU170" i="3"/>
  <c r="AT170" i="3"/>
  <c r="AH170" i="3"/>
  <c r="AE170" i="3"/>
  <c r="AX169" i="3"/>
  <c r="AU169" i="3"/>
  <c r="AT169" i="3"/>
  <c r="AH169" i="3"/>
  <c r="AE169" i="3"/>
  <c r="AX168" i="3"/>
  <c r="AU168" i="3"/>
  <c r="AT168" i="3"/>
  <c r="AH168" i="3"/>
  <c r="AE168" i="3"/>
  <c r="AX167" i="3"/>
  <c r="AU167" i="3"/>
  <c r="AT167" i="3"/>
  <c r="AH167" i="3"/>
  <c r="AE167" i="3"/>
  <c r="AX166" i="3"/>
  <c r="AU166" i="3"/>
  <c r="AT166" i="3"/>
  <c r="AH166" i="3"/>
  <c r="AE166" i="3"/>
  <c r="AX165" i="3"/>
  <c r="AU165" i="3"/>
  <c r="AT165" i="3"/>
  <c r="AH165" i="3"/>
  <c r="AE165" i="3"/>
  <c r="AX164" i="3"/>
  <c r="AU164" i="3"/>
  <c r="AT164" i="3"/>
  <c r="AH164" i="3"/>
  <c r="AE164" i="3"/>
  <c r="AX163" i="3"/>
  <c r="AU163" i="3"/>
  <c r="AT163" i="3"/>
  <c r="AH163" i="3"/>
  <c r="AE163" i="3"/>
  <c r="AX162" i="3"/>
  <c r="AU162" i="3"/>
  <c r="AT162" i="3"/>
  <c r="AH162" i="3"/>
  <c r="AE162" i="3"/>
  <c r="AX161" i="3"/>
  <c r="AU161" i="3"/>
  <c r="AT161" i="3"/>
  <c r="AH161" i="3"/>
  <c r="AE161" i="3"/>
  <c r="AX160" i="3"/>
  <c r="AU160" i="3"/>
  <c r="AT160" i="3"/>
  <c r="AH160" i="3"/>
  <c r="AE160" i="3"/>
  <c r="AX159" i="3"/>
  <c r="AU159" i="3"/>
  <c r="AT159" i="3"/>
  <c r="AH159" i="3"/>
  <c r="AE159" i="3"/>
  <c r="AX158" i="3"/>
  <c r="AU158" i="3"/>
  <c r="AT158" i="3"/>
  <c r="AH158" i="3"/>
  <c r="AE158" i="3"/>
  <c r="AX157" i="3"/>
  <c r="AU157" i="3"/>
  <c r="AT157" i="3"/>
  <c r="AH157" i="3"/>
  <c r="AE157" i="3"/>
  <c r="AX156" i="3"/>
  <c r="AU156" i="3"/>
  <c r="AT156" i="3"/>
  <c r="AH156" i="3"/>
  <c r="AE156" i="3"/>
  <c r="AX155" i="3"/>
  <c r="AU155" i="3"/>
  <c r="AT155" i="3"/>
  <c r="AH155" i="3"/>
  <c r="AE155" i="3"/>
  <c r="AX154" i="3"/>
  <c r="AU154" i="3"/>
  <c r="AT154" i="3"/>
  <c r="AH154" i="3"/>
  <c r="AE154" i="3"/>
  <c r="AX153" i="3"/>
  <c r="AU153" i="3"/>
  <c r="AT153" i="3"/>
  <c r="AH153" i="3"/>
  <c r="AE153" i="3"/>
  <c r="AX152" i="3"/>
  <c r="AU152" i="3"/>
  <c r="AT152" i="3"/>
  <c r="AH152" i="3"/>
  <c r="AE152" i="3"/>
  <c r="AX151" i="3"/>
  <c r="AU151" i="3"/>
  <c r="AT151" i="3"/>
  <c r="AH151" i="3"/>
  <c r="AE151" i="3"/>
  <c r="AX150" i="3"/>
  <c r="AU150" i="3"/>
  <c r="AT150" i="3"/>
  <c r="AH150" i="3"/>
  <c r="AE150" i="3"/>
  <c r="AX149" i="3"/>
  <c r="AU149" i="3"/>
  <c r="AT149" i="3"/>
  <c r="AH149" i="3"/>
  <c r="AE149" i="3"/>
  <c r="AX148" i="3"/>
  <c r="AU148" i="3"/>
  <c r="AT148" i="3"/>
  <c r="AH148" i="3"/>
  <c r="AE148" i="3"/>
  <c r="AX147" i="3"/>
  <c r="AU147" i="3"/>
  <c r="AT147" i="3"/>
  <c r="AH147" i="3"/>
  <c r="AE147" i="3"/>
  <c r="AX146" i="3"/>
  <c r="AU146" i="3"/>
  <c r="AT146" i="3"/>
  <c r="AH146" i="3"/>
  <c r="AE146" i="3"/>
  <c r="AX145" i="3"/>
  <c r="AU145" i="3"/>
  <c r="AT145" i="3"/>
  <c r="AH145" i="3"/>
  <c r="AE145" i="3"/>
  <c r="AX144" i="3"/>
  <c r="AU144" i="3"/>
  <c r="AT144" i="3"/>
  <c r="AH144" i="3"/>
  <c r="AE144" i="3"/>
  <c r="AX143" i="3"/>
  <c r="AU143" i="3"/>
  <c r="AT143" i="3"/>
  <c r="AH143" i="3"/>
  <c r="AE143" i="3"/>
  <c r="AX142" i="3"/>
  <c r="AU142" i="3"/>
  <c r="AT142" i="3"/>
  <c r="AH142" i="3"/>
  <c r="AE142" i="3"/>
  <c r="AX141" i="3"/>
  <c r="AU141" i="3"/>
  <c r="AT141" i="3"/>
  <c r="AH141" i="3"/>
  <c r="AE141" i="3"/>
  <c r="AX140" i="3"/>
  <c r="AU140" i="3"/>
  <c r="AT140" i="3"/>
  <c r="AH140" i="3"/>
  <c r="AE140" i="3"/>
  <c r="AX139" i="3"/>
  <c r="AU139" i="3"/>
  <c r="AT139" i="3"/>
  <c r="AH139" i="3"/>
  <c r="AE139" i="3"/>
  <c r="AX138" i="3"/>
  <c r="AU138" i="3"/>
  <c r="AT138" i="3"/>
  <c r="AH138" i="3"/>
  <c r="AE138" i="3"/>
  <c r="AX137" i="3"/>
  <c r="AU137" i="3"/>
  <c r="AT137" i="3"/>
  <c r="AH137" i="3"/>
  <c r="AE137" i="3"/>
  <c r="AX136" i="3"/>
  <c r="AU136" i="3"/>
  <c r="AT136" i="3"/>
  <c r="AH136" i="3"/>
  <c r="AE136" i="3"/>
  <c r="AX135" i="3"/>
  <c r="AU135" i="3"/>
  <c r="AT135" i="3"/>
  <c r="AH135" i="3"/>
  <c r="AE135" i="3"/>
  <c r="AX134" i="3"/>
  <c r="AU134" i="3"/>
  <c r="AT134" i="3"/>
  <c r="AH134" i="3"/>
  <c r="AE134" i="3"/>
  <c r="AX133" i="3"/>
  <c r="AU133" i="3"/>
  <c r="AT133" i="3"/>
  <c r="AH133" i="3"/>
  <c r="AE133" i="3"/>
  <c r="AX132" i="3"/>
  <c r="AU132" i="3"/>
  <c r="AT132" i="3"/>
  <c r="AH132" i="3"/>
  <c r="AE132" i="3"/>
  <c r="AX131" i="3"/>
  <c r="AU131" i="3"/>
  <c r="AT131" i="3"/>
  <c r="AH131" i="3"/>
  <c r="AE131" i="3"/>
  <c r="AX130" i="3"/>
  <c r="AU130" i="3"/>
  <c r="AT130" i="3"/>
  <c r="AH130" i="3"/>
  <c r="AE130" i="3"/>
  <c r="AX129" i="3"/>
  <c r="AU129" i="3"/>
  <c r="AT129" i="3"/>
  <c r="AH129" i="3"/>
  <c r="AE129" i="3"/>
  <c r="AX128" i="3"/>
  <c r="AU128" i="3"/>
  <c r="AT128" i="3"/>
  <c r="AH128" i="3"/>
  <c r="AE128" i="3"/>
  <c r="AX127" i="3"/>
  <c r="AU127" i="3"/>
  <c r="AT127" i="3"/>
  <c r="AH127" i="3"/>
  <c r="AE127" i="3"/>
  <c r="AX126" i="3"/>
  <c r="AU126" i="3"/>
  <c r="AT126" i="3"/>
  <c r="AH126" i="3"/>
  <c r="AE126" i="3"/>
  <c r="AX125" i="3"/>
  <c r="AU125" i="3"/>
  <c r="AT125" i="3"/>
  <c r="AH125" i="3"/>
  <c r="AE125" i="3"/>
  <c r="AX124" i="3"/>
  <c r="AU124" i="3"/>
  <c r="AT124" i="3"/>
  <c r="AH124" i="3"/>
  <c r="AE124" i="3"/>
  <c r="AX123" i="3"/>
  <c r="AU123" i="3"/>
  <c r="AT123" i="3"/>
  <c r="AH123" i="3"/>
  <c r="AE123" i="3"/>
  <c r="AX122" i="3"/>
  <c r="AU122" i="3"/>
  <c r="AT122" i="3"/>
  <c r="AH122" i="3"/>
  <c r="AE122" i="3"/>
  <c r="AX121" i="3"/>
  <c r="AU121" i="3"/>
  <c r="AT121" i="3"/>
  <c r="AH121" i="3"/>
  <c r="AE121" i="3"/>
  <c r="AX120" i="3"/>
  <c r="AU120" i="3"/>
  <c r="AT120" i="3"/>
  <c r="AH120" i="3"/>
  <c r="AE120" i="3"/>
  <c r="AX119" i="3"/>
  <c r="AU119" i="3"/>
  <c r="AT119" i="3"/>
  <c r="AH119" i="3"/>
  <c r="AE119" i="3"/>
  <c r="AX118" i="3"/>
  <c r="AU118" i="3"/>
  <c r="AT118" i="3"/>
  <c r="AH118" i="3"/>
  <c r="AE118" i="3"/>
  <c r="AX117" i="3"/>
  <c r="AU117" i="3"/>
  <c r="AT117" i="3"/>
  <c r="AH117" i="3"/>
  <c r="AE117" i="3"/>
  <c r="AX116" i="3"/>
  <c r="AU116" i="3"/>
  <c r="AT116" i="3"/>
  <c r="AH116" i="3"/>
  <c r="AE116" i="3"/>
  <c r="AX115" i="3"/>
  <c r="AU115" i="3"/>
  <c r="AT115" i="3"/>
  <c r="AH115" i="3"/>
  <c r="AE115" i="3"/>
  <c r="AX114" i="3"/>
  <c r="AU114" i="3"/>
  <c r="AT114" i="3"/>
  <c r="AH114" i="3"/>
  <c r="AE114" i="3"/>
  <c r="AX113" i="3"/>
  <c r="AU113" i="3"/>
  <c r="AT113" i="3"/>
  <c r="AH113" i="3"/>
  <c r="AE113" i="3"/>
  <c r="AX112" i="3"/>
  <c r="AU112" i="3"/>
  <c r="AT112" i="3"/>
  <c r="AH112" i="3"/>
  <c r="AE112" i="3"/>
  <c r="AX111" i="3"/>
  <c r="AU111" i="3"/>
  <c r="AT111" i="3"/>
  <c r="AH111" i="3"/>
  <c r="AE111" i="3"/>
  <c r="AX110" i="3"/>
  <c r="AU110" i="3"/>
  <c r="AT110" i="3"/>
  <c r="AH110" i="3"/>
  <c r="AE110" i="3"/>
  <c r="AX109" i="3"/>
  <c r="AU109" i="3"/>
  <c r="AT109" i="3"/>
  <c r="AH109" i="3"/>
  <c r="AE109" i="3"/>
  <c r="AX108" i="3"/>
  <c r="AU108" i="3"/>
  <c r="AT108" i="3"/>
  <c r="AH108" i="3"/>
  <c r="AE108" i="3"/>
  <c r="AX107" i="3"/>
  <c r="AU107" i="3"/>
  <c r="AT107" i="3"/>
  <c r="AH107" i="3"/>
  <c r="AE107" i="3"/>
  <c r="AX106" i="3"/>
  <c r="AU106" i="3"/>
  <c r="AT106" i="3"/>
  <c r="AH106" i="3"/>
  <c r="AE106" i="3"/>
  <c r="AX105" i="3"/>
  <c r="AU105" i="3"/>
  <c r="AT105" i="3"/>
  <c r="AH105" i="3"/>
  <c r="AE105" i="3"/>
  <c r="AX104" i="3"/>
  <c r="AU104" i="3"/>
  <c r="AT104" i="3"/>
  <c r="AH104" i="3"/>
  <c r="AE104" i="3"/>
  <c r="AX103" i="3"/>
  <c r="AU103" i="3"/>
  <c r="AT103" i="3"/>
  <c r="AH103" i="3"/>
  <c r="AE103" i="3"/>
  <c r="AX102" i="3"/>
  <c r="AU102" i="3"/>
  <c r="AT102" i="3"/>
  <c r="AH102" i="3"/>
  <c r="AE102" i="3"/>
  <c r="AX101" i="3"/>
  <c r="AU101" i="3"/>
  <c r="AT101" i="3"/>
  <c r="AH101" i="3"/>
  <c r="AE101" i="3"/>
  <c r="AX100" i="3"/>
  <c r="AU100" i="3"/>
  <c r="AT100" i="3"/>
  <c r="AH100" i="3"/>
  <c r="AE100" i="3"/>
  <c r="AX99" i="3"/>
  <c r="AU99" i="3"/>
  <c r="AT99" i="3"/>
  <c r="AH99" i="3"/>
  <c r="AE99" i="3"/>
  <c r="AX98" i="3"/>
  <c r="AU98" i="3"/>
  <c r="AT98" i="3"/>
  <c r="AH98" i="3"/>
  <c r="AE98" i="3"/>
  <c r="AX97" i="3"/>
  <c r="AU97" i="3"/>
  <c r="AT97" i="3"/>
  <c r="AH97" i="3"/>
  <c r="AE97" i="3"/>
  <c r="AX96" i="3"/>
  <c r="AU96" i="3"/>
  <c r="AT96" i="3"/>
  <c r="AH96" i="3"/>
  <c r="AE96" i="3"/>
  <c r="AX95" i="3"/>
  <c r="AU95" i="3"/>
  <c r="AT95" i="3"/>
  <c r="AH95" i="3"/>
  <c r="AE95" i="3"/>
  <c r="AX94" i="3"/>
  <c r="AU94" i="3"/>
  <c r="AT94" i="3"/>
  <c r="AH94" i="3"/>
  <c r="AE94" i="3"/>
  <c r="AX93" i="3"/>
  <c r="AU93" i="3"/>
  <c r="AT93" i="3"/>
  <c r="AH93" i="3"/>
  <c r="AE93" i="3"/>
  <c r="AX92" i="3"/>
  <c r="AU92" i="3"/>
  <c r="AT92" i="3"/>
  <c r="AH92" i="3"/>
  <c r="AE92" i="3"/>
  <c r="AX91" i="3"/>
  <c r="AU91" i="3"/>
  <c r="AT91" i="3"/>
  <c r="AH91" i="3"/>
  <c r="AE91" i="3"/>
  <c r="AX90" i="3"/>
  <c r="AU90" i="3"/>
  <c r="AT90" i="3"/>
  <c r="AH90" i="3"/>
  <c r="AE90" i="3"/>
  <c r="AX89" i="3"/>
  <c r="AU89" i="3"/>
  <c r="AT89" i="3"/>
  <c r="AH89" i="3"/>
  <c r="AE89" i="3"/>
  <c r="AX88" i="3"/>
  <c r="AU88" i="3"/>
  <c r="AT88" i="3"/>
  <c r="AH88" i="3"/>
  <c r="AE88" i="3"/>
  <c r="AX87" i="3"/>
  <c r="AU87" i="3"/>
  <c r="AT87" i="3"/>
  <c r="AH87" i="3"/>
  <c r="AE87" i="3"/>
  <c r="AX86" i="3"/>
  <c r="AU86" i="3"/>
  <c r="AT86" i="3"/>
  <c r="AH86" i="3"/>
  <c r="AE86" i="3"/>
  <c r="AX85" i="3"/>
  <c r="AU85" i="3"/>
  <c r="AT85" i="3"/>
  <c r="AH85" i="3"/>
  <c r="AE85" i="3"/>
  <c r="AX84" i="3"/>
  <c r="AU84" i="3"/>
  <c r="AT84" i="3"/>
  <c r="AH84" i="3"/>
  <c r="AE84" i="3"/>
  <c r="AX83" i="3"/>
  <c r="AU83" i="3"/>
  <c r="AT83" i="3"/>
  <c r="AH83" i="3"/>
  <c r="AE83" i="3"/>
  <c r="AX82" i="3"/>
  <c r="AU82" i="3"/>
  <c r="AT82" i="3"/>
  <c r="AH82" i="3"/>
  <c r="AE82" i="3"/>
  <c r="AX81" i="3"/>
  <c r="AU81" i="3"/>
  <c r="AT81" i="3"/>
  <c r="AH81" i="3"/>
  <c r="AE81" i="3"/>
  <c r="AX80" i="3"/>
  <c r="AU80" i="3"/>
  <c r="AT80" i="3"/>
  <c r="AH80" i="3"/>
  <c r="AE80" i="3"/>
  <c r="AX79" i="3"/>
  <c r="AU79" i="3"/>
  <c r="AT79" i="3"/>
  <c r="AH79" i="3"/>
  <c r="AE79" i="3"/>
  <c r="AX78" i="3"/>
  <c r="AU78" i="3"/>
  <c r="AT78" i="3"/>
  <c r="AH78" i="3"/>
  <c r="AE78" i="3"/>
  <c r="AX77" i="3"/>
  <c r="AU77" i="3"/>
  <c r="AT77" i="3"/>
  <c r="AH77" i="3"/>
  <c r="AE77" i="3"/>
  <c r="AX76" i="3"/>
  <c r="AU76" i="3"/>
  <c r="AT76" i="3"/>
  <c r="AH76" i="3"/>
  <c r="AE76" i="3"/>
  <c r="AX75" i="3"/>
  <c r="AU75" i="3"/>
  <c r="AT75" i="3"/>
  <c r="AH75" i="3"/>
  <c r="AE75" i="3"/>
  <c r="AX74" i="3"/>
  <c r="AU74" i="3"/>
  <c r="AT74" i="3"/>
  <c r="AH74" i="3"/>
  <c r="AE74" i="3"/>
  <c r="AX73" i="3"/>
  <c r="AU73" i="3"/>
  <c r="AT73" i="3"/>
  <c r="AH73" i="3"/>
  <c r="AE73" i="3"/>
  <c r="AX72" i="3"/>
  <c r="AU72" i="3"/>
  <c r="AT72" i="3"/>
  <c r="AH72" i="3"/>
  <c r="AE72" i="3"/>
  <c r="AX71" i="3"/>
  <c r="AU71" i="3"/>
  <c r="AT71" i="3"/>
  <c r="AH71" i="3"/>
  <c r="AE71" i="3"/>
  <c r="AX70" i="3"/>
  <c r="AU70" i="3"/>
  <c r="AT70" i="3"/>
  <c r="AH70" i="3"/>
  <c r="AE70" i="3"/>
  <c r="AX69" i="3"/>
  <c r="AU69" i="3"/>
  <c r="AT69" i="3"/>
  <c r="AH69" i="3"/>
  <c r="AE69" i="3"/>
  <c r="AX68" i="3"/>
  <c r="AV68" i="3"/>
  <c r="AU68" i="3"/>
  <c r="AT68" i="3"/>
  <c r="AM68" i="3"/>
  <c r="AK68" i="3"/>
  <c r="AJ68" i="3"/>
  <c r="AL68" i="3" s="1"/>
  <c r="AH68" i="3"/>
  <c r="AE68" i="3"/>
  <c r="AX67" i="3"/>
  <c r="AU67" i="3"/>
  <c r="AT67" i="3"/>
  <c r="AH67" i="3"/>
  <c r="AE67" i="3"/>
  <c r="AX66" i="3"/>
  <c r="AU66" i="3"/>
  <c r="AT66" i="3"/>
  <c r="AH66" i="3"/>
  <c r="AE66" i="3"/>
  <c r="AX65" i="3"/>
  <c r="AU65" i="3"/>
  <c r="AT65" i="3"/>
  <c r="AH65" i="3"/>
  <c r="AE65" i="3"/>
  <c r="AX64" i="3"/>
  <c r="AU64" i="3"/>
  <c r="AT64" i="3"/>
  <c r="AH64" i="3"/>
  <c r="AE64" i="3"/>
  <c r="AX63" i="3"/>
  <c r="AU63" i="3"/>
  <c r="AT63" i="3"/>
  <c r="AH63" i="3"/>
  <c r="AE63" i="3"/>
  <c r="AX62" i="3"/>
  <c r="AU62" i="3"/>
  <c r="AT62" i="3"/>
  <c r="AH62" i="3"/>
  <c r="AE62" i="3"/>
  <c r="AX61" i="3"/>
  <c r="AU61" i="3"/>
  <c r="AT61" i="3"/>
  <c r="AH61" i="3"/>
  <c r="AE61" i="3"/>
  <c r="AX60" i="3"/>
  <c r="AU60" i="3"/>
  <c r="AT60" i="3"/>
  <c r="AH60" i="3"/>
  <c r="AE60" i="3"/>
  <c r="AX59" i="3"/>
  <c r="AU59" i="3"/>
  <c r="AT59" i="3"/>
  <c r="AL59" i="3"/>
  <c r="AK59" i="3"/>
  <c r="AJ59" i="3"/>
  <c r="AH59" i="3"/>
  <c r="AE59" i="3"/>
  <c r="AX58" i="3"/>
  <c r="AV58" i="3"/>
  <c r="AU58" i="3"/>
  <c r="AT58" i="3"/>
  <c r="AK58" i="3"/>
  <c r="AJ58" i="3"/>
  <c r="AM58" i="3" s="1"/>
  <c r="AH58" i="3"/>
  <c r="AE58" i="3"/>
  <c r="AX57" i="3"/>
  <c r="AU57" i="3"/>
  <c r="AT57" i="3"/>
  <c r="AH57" i="3"/>
  <c r="AE57" i="3"/>
  <c r="AX56" i="3"/>
  <c r="AU56" i="3"/>
  <c r="AT56" i="3"/>
  <c r="AH56" i="3"/>
  <c r="AE56" i="3"/>
  <c r="AX55" i="3"/>
  <c r="AU55" i="3"/>
  <c r="AT55" i="3"/>
  <c r="AH55" i="3"/>
  <c r="AE55" i="3"/>
  <c r="AX54" i="3"/>
  <c r="AU54" i="3"/>
  <c r="AT54" i="3"/>
  <c r="AH54" i="3"/>
  <c r="AE54" i="3"/>
  <c r="AX53" i="3"/>
  <c r="AU53" i="3"/>
  <c r="AT53" i="3"/>
  <c r="AH53" i="3"/>
  <c r="AE53" i="3"/>
  <c r="AX52" i="3"/>
  <c r="AU52" i="3"/>
  <c r="AT52" i="3"/>
  <c r="AH52" i="3"/>
  <c r="AE52" i="3"/>
  <c r="AX51" i="3"/>
  <c r="AU51" i="3"/>
  <c r="AT51" i="3"/>
  <c r="AH51" i="3"/>
  <c r="AE51" i="3"/>
  <c r="AX50" i="3"/>
  <c r="AU50" i="3"/>
  <c r="AT50" i="3"/>
  <c r="AH50" i="3"/>
  <c r="AE50" i="3"/>
  <c r="AX49" i="3"/>
  <c r="AU49" i="3"/>
  <c r="AT49" i="3"/>
  <c r="AH49" i="3"/>
  <c r="AE49" i="3"/>
  <c r="AX48" i="3"/>
  <c r="AU48" i="3"/>
  <c r="AT48" i="3"/>
  <c r="AH48" i="3"/>
  <c r="AE48" i="3"/>
  <c r="AX47" i="3"/>
  <c r="AU47" i="3"/>
  <c r="AT47" i="3"/>
  <c r="AH47" i="3"/>
  <c r="AE47" i="3"/>
  <c r="AX46" i="3"/>
  <c r="AU46" i="3"/>
  <c r="AT46" i="3"/>
  <c r="AH46" i="3"/>
  <c r="AE46" i="3"/>
  <c r="AX45" i="3"/>
  <c r="AU45" i="3"/>
  <c r="AT45" i="3"/>
  <c r="AH45" i="3"/>
  <c r="AE45" i="3"/>
  <c r="AX44" i="3"/>
  <c r="AU44" i="3"/>
  <c r="AT44" i="3"/>
  <c r="AH44" i="3"/>
  <c r="AE44" i="3"/>
  <c r="AX43" i="3"/>
  <c r="AU43" i="3"/>
  <c r="AT43" i="3"/>
  <c r="AH43" i="3"/>
  <c r="AE43" i="3"/>
  <c r="AX42" i="3"/>
  <c r="AU42" i="3"/>
  <c r="AT42" i="3"/>
  <c r="AH42" i="3"/>
  <c r="AE42" i="3"/>
  <c r="AX41" i="3"/>
  <c r="AU41" i="3"/>
  <c r="AT41" i="3"/>
  <c r="AH41" i="3"/>
  <c r="AE41" i="3"/>
  <c r="AX40" i="3"/>
  <c r="AU40" i="3"/>
  <c r="AT40" i="3"/>
  <c r="AH40" i="3"/>
  <c r="AE40" i="3"/>
  <c r="AX39" i="3"/>
  <c r="AU39" i="3"/>
  <c r="AT39" i="3"/>
  <c r="AH39" i="3"/>
  <c r="AE39" i="3"/>
  <c r="AX38" i="3"/>
  <c r="AU38" i="3"/>
  <c r="AT38" i="3"/>
  <c r="AH38" i="3"/>
  <c r="AE38" i="3"/>
  <c r="AX37" i="3"/>
  <c r="AU37" i="3"/>
  <c r="AT37" i="3"/>
  <c r="AH37" i="3"/>
  <c r="AE37" i="3"/>
  <c r="AX36" i="3"/>
  <c r="AU36" i="3"/>
  <c r="AT36" i="3"/>
  <c r="AH36" i="3"/>
  <c r="AE36" i="3"/>
  <c r="AX35" i="3"/>
  <c r="AU35" i="3"/>
  <c r="AT35" i="3"/>
  <c r="AH35" i="3"/>
  <c r="AE35" i="3"/>
  <c r="AX34" i="3"/>
  <c r="AU34" i="3"/>
  <c r="AT34" i="3"/>
  <c r="AH34" i="3"/>
  <c r="AE34" i="3"/>
  <c r="AX33" i="3"/>
  <c r="AW33" i="3"/>
  <c r="AJ33" i="3" s="1"/>
  <c r="AU33" i="3"/>
  <c r="AT33" i="3"/>
  <c r="AH33" i="3"/>
  <c r="AE33" i="3"/>
  <c r="AX32" i="3"/>
  <c r="AU32" i="3"/>
  <c r="AT32" i="3"/>
  <c r="AH32" i="3"/>
  <c r="AE32" i="3"/>
  <c r="AX31" i="3"/>
  <c r="AU31" i="3"/>
  <c r="AT31" i="3"/>
  <c r="AH31" i="3"/>
  <c r="AE31" i="3"/>
  <c r="AX30" i="3"/>
  <c r="AU30" i="3"/>
  <c r="AT30" i="3"/>
  <c r="AH30" i="3"/>
  <c r="AE30" i="3"/>
  <c r="AX29" i="3"/>
  <c r="AU29" i="3"/>
  <c r="AT29" i="3"/>
  <c r="AH29" i="3"/>
  <c r="AE29" i="3"/>
  <c r="AX28" i="3"/>
  <c r="AU28" i="3"/>
  <c r="AT28" i="3"/>
  <c r="AH28" i="3"/>
  <c r="AE28" i="3"/>
  <c r="AX27" i="3"/>
  <c r="AU27" i="3"/>
  <c r="AT27" i="3"/>
  <c r="AH27" i="3"/>
  <c r="AE27" i="3"/>
  <c r="AX26" i="3"/>
  <c r="AU26" i="3"/>
  <c r="AT26" i="3"/>
  <c r="AH26" i="3"/>
  <c r="AE26" i="3"/>
  <c r="AX25" i="3"/>
  <c r="AU25" i="3"/>
  <c r="AT25" i="3"/>
  <c r="AH25" i="3"/>
  <c r="AE25" i="3"/>
  <c r="AX24" i="3"/>
  <c r="AU24" i="3"/>
  <c r="AT24" i="3"/>
  <c r="AH24" i="3"/>
  <c r="AE24" i="3"/>
  <c r="AX23" i="3"/>
  <c r="AU23" i="3"/>
  <c r="AT23" i="3"/>
  <c r="AH23" i="3"/>
  <c r="AE23" i="3"/>
  <c r="AX22" i="3"/>
  <c r="AU22" i="3"/>
  <c r="AT22" i="3"/>
  <c r="AH22" i="3"/>
  <c r="AE22" i="3"/>
  <c r="AX21" i="3"/>
  <c r="AU21" i="3"/>
  <c r="AT21" i="3"/>
  <c r="AH21" i="3"/>
  <c r="AE21" i="3"/>
  <c r="AX20" i="3"/>
  <c r="AU20" i="3"/>
  <c r="AT20" i="3"/>
  <c r="AH20" i="3"/>
  <c r="AE20" i="3"/>
  <c r="AX19" i="3"/>
  <c r="AU19" i="3"/>
  <c r="AT19" i="3"/>
  <c r="AH19" i="3"/>
  <c r="AE19" i="3"/>
  <c r="AX18" i="3"/>
  <c r="AU18" i="3"/>
  <c r="AT18" i="3"/>
  <c r="AH18" i="3"/>
  <c r="AE18" i="3"/>
  <c r="AX17" i="3"/>
  <c r="AW17" i="3"/>
  <c r="AJ17" i="3" s="1"/>
  <c r="AU17" i="3"/>
  <c r="AT17" i="3"/>
  <c r="AH17" i="3"/>
  <c r="AE17" i="3"/>
  <c r="AX16" i="3"/>
  <c r="AU16" i="3"/>
  <c r="AT16" i="3"/>
  <c r="AH16" i="3"/>
  <c r="AE16" i="3"/>
  <c r="AX15" i="3"/>
  <c r="AU15" i="3"/>
  <c r="AT15" i="3"/>
  <c r="AH15" i="3"/>
  <c r="AE15" i="3"/>
  <c r="AX14" i="3"/>
  <c r="AU14" i="3"/>
  <c r="AT14" i="3"/>
  <c r="AH14" i="3"/>
  <c r="AE14" i="3"/>
  <c r="AX13" i="3"/>
  <c r="AU13" i="3"/>
  <c r="AT13" i="3"/>
  <c r="AH13" i="3"/>
  <c r="AE13" i="3"/>
  <c r="AX12" i="3"/>
  <c r="AU12" i="3"/>
  <c r="AT12" i="3"/>
  <c r="AH12" i="3"/>
  <c r="AE12" i="3"/>
  <c r="AX11" i="3"/>
  <c r="AU11" i="3"/>
  <c r="AT11" i="3"/>
  <c r="AH11" i="3"/>
  <c r="AE11" i="3"/>
  <c r="AX10" i="3"/>
  <c r="AU10" i="3"/>
  <c r="AT10" i="3"/>
  <c r="AH10" i="3"/>
  <c r="AE10" i="3"/>
  <c r="AX9" i="3"/>
  <c r="AU9" i="3"/>
  <c r="AT9" i="3"/>
  <c r="AH9" i="3"/>
  <c r="AE9" i="3"/>
  <c r="AX8" i="3"/>
  <c r="AU8" i="3"/>
  <c r="AT8" i="3"/>
  <c r="AH8" i="3"/>
  <c r="AE8" i="3"/>
  <c r="AX7" i="3"/>
  <c r="AU7" i="3"/>
  <c r="AT7" i="3"/>
  <c r="AH7" i="3"/>
  <c r="AE7" i="3"/>
  <c r="AX6" i="3"/>
  <c r="AU6" i="3"/>
  <c r="AT6" i="3"/>
  <c r="AH6" i="3"/>
  <c r="AE6" i="3"/>
  <c r="AX5" i="3"/>
  <c r="AU5" i="3"/>
  <c r="AT5" i="3"/>
  <c r="AH5" i="3"/>
  <c r="AE5" i="3"/>
  <c r="AX4" i="3"/>
  <c r="AU4" i="3"/>
  <c r="AW4" i="3" s="1"/>
  <c r="AT4" i="3"/>
  <c r="AH4" i="3"/>
  <c r="AE4" i="3"/>
  <c r="AX3" i="3"/>
  <c r="AW3" i="3"/>
  <c r="AU3" i="3"/>
  <c r="AT3" i="3"/>
  <c r="AH3" i="3"/>
  <c r="AE3" i="3"/>
  <c r="AX2" i="3"/>
  <c r="AU2" i="3"/>
  <c r="AT2" i="3"/>
  <c r="AQ2" i="3"/>
  <c r="AP2" i="3"/>
  <c r="AH2" i="3"/>
  <c r="AW2" i="3" s="1"/>
  <c r="AG2" i="3"/>
  <c r="AF3" i="3" s="1"/>
  <c r="AE2" i="3"/>
  <c r="H8" i="32"/>
  <c r="H7" i="32"/>
  <c r="H6" i="32"/>
  <c r="H4" i="32"/>
  <c r="H3" i="32"/>
  <c r="H14" i="32" l="1"/>
  <c r="H15" i="32"/>
  <c r="H5" i="32"/>
  <c r="H16" i="32"/>
  <c r="H17" i="32"/>
  <c r="H9" i="32"/>
  <c r="AQ3" i="3"/>
  <c r="AP3" i="3"/>
  <c r="AG3" i="3"/>
  <c r="AM17" i="3"/>
  <c r="AL17" i="3"/>
  <c r="AK17" i="3"/>
  <c r="AV17" i="3"/>
  <c r="AE132" i="8" a="1"/>
  <c r="AE132" i="8" s="1"/>
  <c r="AE124" i="8" a="1"/>
  <c r="AE124" i="8" s="1"/>
  <c r="AE116" i="8" a="1"/>
  <c r="AE116" i="8" s="1"/>
  <c r="AE108" i="8" a="1"/>
  <c r="AE108" i="8" s="1"/>
  <c r="AE100" i="8" a="1"/>
  <c r="AE100" i="8" s="1"/>
  <c r="AE92" i="8" a="1"/>
  <c r="AE92" i="8" s="1"/>
  <c r="AE84" i="8" a="1"/>
  <c r="AE84" i="8" s="1"/>
  <c r="AE135" i="8" a="1"/>
  <c r="AE135" i="8" s="1"/>
  <c r="AE127" i="8" a="1"/>
  <c r="AE127" i="8" s="1"/>
  <c r="AE119" i="8" a="1"/>
  <c r="AE119" i="8" s="1"/>
  <c r="AE111" i="8" a="1"/>
  <c r="AE111" i="8" s="1"/>
  <c r="AE103" i="8" a="1"/>
  <c r="AE103" i="8" s="1"/>
  <c r="AE95" i="8" a="1"/>
  <c r="AE95" i="8" s="1"/>
  <c r="AE87" i="8" a="1"/>
  <c r="AE87" i="8" s="1"/>
  <c r="AE130" i="8" a="1"/>
  <c r="AE130" i="8" s="1"/>
  <c r="AE122" i="8" a="1"/>
  <c r="AE122" i="8" s="1"/>
  <c r="AE114" i="8" a="1"/>
  <c r="AE114" i="8" s="1"/>
  <c r="AE106" i="8" a="1"/>
  <c r="AE106" i="8" s="1"/>
  <c r="AE98" i="8" a="1"/>
  <c r="AE98" i="8" s="1"/>
  <c r="AE90" i="8" a="1"/>
  <c r="AE90" i="8" s="1"/>
  <c r="AE80" i="8" a="1"/>
  <c r="AE80" i="8" s="1"/>
  <c r="AE133" i="8" a="1"/>
  <c r="AE133" i="8" s="1"/>
  <c r="AE125" i="8" a="1"/>
  <c r="AE125" i="8" s="1"/>
  <c r="AE117" i="8" a="1"/>
  <c r="AE117" i="8" s="1"/>
  <c r="AE109" i="8" a="1"/>
  <c r="AE109" i="8" s="1"/>
  <c r="AE101" i="8" a="1"/>
  <c r="AE101" i="8" s="1"/>
  <c r="AE93" i="8" a="1"/>
  <c r="AE93" i="8" s="1"/>
  <c r="AE85" i="8" a="1"/>
  <c r="AE85" i="8" s="1"/>
  <c r="AE128" i="8" a="1"/>
  <c r="AE128" i="8" s="1"/>
  <c r="AE120" i="8" a="1"/>
  <c r="AE120" i="8" s="1"/>
  <c r="AE112" i="8" a="1"/>
  <c r="AE112" i="8" s="1"/>
  <c r="AE104" i="8" a="1"/>
  <c r="AE104" i="8" s="1"/>
  <c r="AE96" i="8" a="1"/>
  <c r="AE96" i="8" s="1"/>
  <c r="AE88" i="8" a="1"/>
  <c r="AE88" i="8" s="1"/>
  <c r="AE131" i="8" a="1"/>
  <c r="AE131" i="8" s="1"/>
  <c r="AE123" i="8" a="1"/>
  <c r="AE123" i="8" s="1"/>
  <c r="AE115" i="8" a="1"/>
  <c r="AE115" i="8" s="1"/>
  <c r="AE107" i="8" a="1"/>
  <c r="AE107" i="8" s="1"/>
  <c r="AE99" i="8" a="1"/>
  <c r="AE99" i="8" s="1"/>
  <c r="AE91" i="8" a="1"/>
  <c r="AE91" i="8" s="1"/>
  <c r="AE134" i="8" a="1"/>
  <c r="AE134" i="8" s="1"/>
  <c r="AE126" i="8" a="1"/>
  <c r="AE126" i="8" s="1"/>
  <c r="AE118" i="8" a="1"/>
  <c r="AE118" i="8" s="1"/>
  <c r="AE110" i="8" a="1"/>
  <c r="AE110" i="8" s="1"/>
  <c r="AE102" i="8" a="1"/>
  <c r="AE102" i="8" s="1"/>
  <c r="AE94" i="8" a="1"/>
  <c r="AE94" i="8" s="1"/>
  <c r="AE86" i="8" a="1"/>
  <c r="AE86" i="8" s="1"/>
  <c r="AE76" i="8" a="1"/>
  <c r="AE76" i="8" s="1"/>
  <c r="AE74" i="8" a="1"/>
  <c r="AE74" i="8" s="1"/>
  <c r="AE63" i="8" a="1"/>
  <c r="AE63" i="8" s="1"/>
  <c r="AE36" i="8" a="1"/>
  <c r="AE36" i="8" s="1"/>
  <c r="AE70" i="8" a="1"/>
  <c r="AE70" i="8" s="1"/>
  <c r="AE54" i="8" a="1"/>
  <c r="AE54" i="8" s="1"/>
  <c r="AE47" i="8" a="1"/>
  <c r="AE47" i="8" s="1"/>
  <c r="AE61" i="8" a="1"/>
  <c r="AE61" i="8" s="1"/>
  <c r="AE83" i="8" a="1"/>
  <c r="AE83" i="8" s="1"/>
  <c r="AE68" i="8" a="1"/>
  <c r="AE68" i="8" s="1"/>
  <c r="AE52" i="8" a="1"/>
  <c r="AE52" i="8" s="1"/>
  <c r="AE78" i="8" a="1"/>
  <c r="AE78" i="8" s="1"/>
  <c r="AE59" i="8" a="1"/>
  <c r="AE59" i="8" s="1"/>
  <c r="AE82" i="8" a="1"/>
  <c r="AE82" i="8" s="1"/>
  <c r="AE66" i="8" a="1"/>
  <c r="AE66" i="8" s="1"/>
  <c r="AE81" i="8" a="1"/>
  <c r="AE81" i="8" s="1"/>
  <c r="AE57" i="8" a="1"/>
  <c r="AE57" i="8" s="1"/>
  <c r="AE73" i="8" a="1"/>
  <c r="AE73" i="8" s="1"/>
  <c r="AE64" i="8" a="1"/>
  <c r="AE64" i="8" s="1"/>
  <c r="AE48" i="8" a="1"/>
  <c r="AE48" i="8" s="1"/>
  <c r="AE121" i="8" a="1"/>
  <c r="AE121" i="8" s="1"/>
  <c r="AE97" i="8" a="1"/>
  <c r="AE97" i="8" s="1"/>
  <c r="AE77" i="8" a="1"/>
  <c r="AE77" i="8" s="1"/>
  <c r="AE75" i="8" a="1"/>
  <c r="AE75" i="8" s="1"/>
  <c r="AE71" i="8" a="1"/>
  <c r="AE71" i="8" s="1"/>
  <c r="AE105" i="8" a="1"/>
  <c r="AE105" i="8" s="1"/>
  <c r="AE62" i="8" a="1"/>
  <c r="AE62" i="8" s="1"/>
  <c r="AE113" i="8" a="1"/>
  <c r="AE113" i="8" s="1"/>
  <c r="AE69" i="8" a="1"/>
  <c r="AE69" i="8" s="1"/>
  <c r="AE60" i="8" a="1"/>
  <c r="AE60" i="8" s="1"/>
  <c r="AE67" i="8" a="1"/>
  <c r="AE67" i="8" s="1"/>
  <c r="AE51" i="8" a="1"/>
  <c r="AE51" i="8" s="1"/>
  <c r="AE58" i="8" a="1"/>
  <c r="AE58" i="8" s="1"/>
  <c r="AE129" i="8" a="1"/>
  <c r="AE129" i="8" s="1"/>
  <c r="AE38" i="8" a="1"/>
  <c r="AE38" i="8" s="1"/>
  <c r="AE33" i="8" a="1"/>
  <c r="AE33" i="8" s="1"/>
  <c r="AE28" i="8" a="1"/>
  <c r="AE28" i="8" s="1"/>
  <c r="AE20" i="8" a="1"/>
  <c r="AE20" i="8" s="1"/>
  <c r="AE35" i="8" a="1"/>
  <c r="AE35" i="8" s="1"/>
  <c r="AE65" i="8" a="1"/>
  <c r="AE65" i="8" s="1"/>
  <c r="AE55" i="8" a="1"/>
  <c r="AE55" i="8" s="1"/>
  <c r="AE43" i="8" a="1"/>
  <c r="AE43" i="8" s="1"/>
  <c r="AE40" i="8" a="1"/>
  <c r="AE40" i="8" s="1"/>
  <c r="AE31" i="8" a="1"/>
  <c r="AE31" i="8" s="1"/>
  <c r="AE23" i="8" a="1"/>
  <c r="AE23" i="8" s="1"/>
  <c r="AE15" i="8" a="1"/>
  <c r="AE15" i="8" s="1"/>
  <c r="AE46" i="8" a="1"/>
  <c r="AE46" i="8" s="1"/>
  <c r="AE37" i="8" a="1"/>
  <c r="AE37" i="8" s="1"/>
  <c r="AE26" i="8" a="1"/>
  <c r="AE26" i="8" s="1"/>
  <c r="AE18" i="8" a="1"/>
  <c r="AE18" i="8" s="1"/>
  <c r="AE79" i="8" a="1"/>
  <c r="AE79" i="8" s="1"/>
  <c r="AE56" i="8" a="1"/>
  <c r="AE56" i="8" s="1"/>
  <c r="AE42" i="8" a="1"/>
  <c r="AE42" i="8" s="1"/>
  <c r="AE29" i="8" a="1"/>
  <c r="AE29" i="8" s="1"/>
  <c r="AE21" i="8" a="1"/>
  <c r="AE21" i="8" s="1"/>
  <c r="AE13" i="8" a="1"/>
  <c r="AE13" i="8" s="1"/>
  <c r="AE45" i="8" a="1"/>
  <c r="AE45" i="8" s="1"/>
  <c r="AE34" i="8" a="1"/>
  <c r="AE34" i="8" s="1"/>
  <c r="AE89" i="8" a="1"/>
  <c r="AE89" i="8" s="1"/>
  <c r="AE39" i="8" a="1"/>
  <c r="AE39" i="8" s="1"/>
  <c r="AE32" i="8" a="1"/>
  <c r="AE32" i="8" s="1"/>
  <c r="AE24" i="8" a="1"/>
  <c r="AE24" i="8" s="1"/>
  <c r="AE16" i="8" a="1"/>
  <c r="AE16" i="8" s="1"/>
  <c r="AE72" i="8" a="1"/>
  <c r="AE72" i="8" s="1"/>
  <c r="AE27" i="8" a="1"/>
  <c r="AE27" i="8" s="1"/>
  <c r="AE19" i="8" a="1"/>
  <c r="AE19" i="8" s="1"/>
  <c r="AE41" i="8" a="1"/>
  <c r="AE41" i="8" s="1"/>
  <c r="AE50" i="8" a="1"/>
  <c r="AE50" i="8" s="1"/>
  <c r="AE44" i="8" a="1"/>
  <c r="AE44" i="8" s="1"/>
  <c r="AE30" i="8" a="1"/>
  <c r="AE30" i="8" s="1"/>
  <c r="AE22" i="8" a="1"/>
  <c r="AE22" i="8" s="1"/>
  <c r="AE14" i="8" a="1"/>
  <c r="AE14" i="8" s="1"/>
  <c r="AE49" i="8" a="1"/>
  <c r="AE49" i="8" s="1"/>
  <c r="AE53" i="8" a="1"/>
  <c r="AE53" i="8" s="1"/>
  <c r="AE25" i="8" a="1"/>
  <c r="AE25" i="8" s="1"/>
  <c r="AE17" i="8" a="1"/>
  <c r="AE17" i="8" s="1"/>
  <c r="AW235" i="3"/>
  <c r="AW215" i="3"/>
  <c r="AW223" i="3"/>
  <c r="AW238" i="3"/>
  <c r="AW219" i="3"/>
  <c r="AW227" i="3"/>
  <c r="AW211" i="3"/>
  <c r="AW185" i="3"/>
  <c r="AJ185" i="3" s="1"/>
  <c r="AW231" i="3"/>
  <c r="AW207" i="3"/>
  <c r="AW226" i="3"/>
  <c r="AW203" i="3"/>
  <c r="AW186" i="3"/>
  <c r="AJ186" i="3" s="1"/>
  <c r="AW189" i="3"/>
  <c r="AJ189" i="3" s="1"/>
  <c r="AW178" i="3"/>
  <c r="AJ178" i="3" s="1"/>
  <c r="AW171" i="3"/>
  <c r="AJ171" i="3" s="1"/>
  <c r="AW163" i="3"/>
  <c r="AJ163" i="3" s="1"/>
  <c r="AW149" i="3"/>
  <c r="AJ149" i="3" s="1"/>
  <c r="AW206" i="3"/>
  <c r="AJ206" i="3" s="1"/>
  <c r="AW190" i="3"/>
  <c r="AW175" i="3"/>
  <c r="AJ175" i="3" s="1"/>
  <c r="AW167" i="3"/>
  <c r="AJ167" i="3" s="1"/>
  <c r="AW165" i="3"/>
  <c r="AJ165" i="3" s="1"/>
  <c r="AW179" i="3"/>
  <c r="AW142" i="3"/>
  <c r="AW131" i="3"/>
  <c r="AJ131" i="3" s="1"/>
  <c r="AW123" i="3"/>
  <c r="AJ123" i="3" s="1"/>
  <c r="AW169" i="3"/>
  <c r="AJ169" i="3" s="1"/>
  <c r="AW160" i="3"/>
  <c r="AJ160" i="3" s="1"/>
  <c r="AW143" i="3"/>
  <c r="AJ143" i="3" s="1"/>
  <c r="AW122" i="3"/>
  <c r="AJ122" i="3" s="1"/>
  <c r="AW138" i="3"/>
  <c r="AJ138" i="3" s="1"/>
  <c r="AW170" i="3"/>
  <c r="AW173" i="3"/>
  <c r="AJ173" i="3" s="1"/>
  <c r="AW158" i="3"/>
  <c r="AW140" i="3"/>
  <c r="AJ140" i="3" s="1"/>
  <c r="AW132" i="3"/>
  <c r="AW141" i="3"/>
  <c r="AJ141" i="3" s="1"/>
  <c r="AW115" i="3"/>
  <c r="AJ115" i="3" s="1"/>
  <c r="AW91" i="3"/>
  <c r="AJ91" i="3" s="1"/>
  <c r="AW90" i="3"/>
  <c r="AJ90" i="3" s="1"/>
  <c r="AW82" i="3"/>
  <c r="AJ82" i="3" s="1"/>
  <c r="AW89" i="3"/>
  <c r="AJ89" i="3" s="1"/>
  <c r="AW81" i="3"/>
  <c r="AJ81" i="3" s="1"/>
  <c r="AW73" i="3"/>
  <c r="AJ73" i="3" s="1"/>
  <c r="AW65" i="3"/>
  <c r="AJ65" i="3" s="1"/>
  <c r="AW159" i="3"/>
  <c r="AJ159" i="3" s="1"/>
  <c r="AW94" i="3"/>
  <c r="AJ94" i="3" s="1"/>
  <c r="AW134" i="3"/>
  <c r="AJ134" i="3" s="1"/>
  <c r="AW127" i="3"/>
  <c r="AJ127" i="3" s="1"/>
  <c r="AW48" i="3"/>
  <c r="AJ48" i="3" s="1"/>
  <c r="AW155" i="3"/>
  <c r="AW99" i="3"/>
  <c r="AW95" i="3"/>
  <c r="AJ95" i="3" s="1"/>
  <c r="AW79" i="3"/>
  <c r="AJ79" i="3" s="1"/>
  <c r="AW77" i="3"/>
  <c r="AJ77" i="3" s="1"/>
  <c r="AW147" i="3"/>
  <c r="AW85" i="3"/>
  <c r="AJ85" i="3" s="1"/>
  <c r="AW83" i="3"/>
  <c r="AJ83" i="3" s="1"/>
  <c r="AW75" i="3"/>
  <c r="AJ75" i="3" s="1"/>
  <c r="AW74" i="3"/>
  <c r="AJ74" i="3" s="1"/>
  <c r="AW119" i="3"/>
  <c r="AJ119" i="3" s="1"/>
  <c r="AW87" i="3"/>
  <c r="AJ87" i="3" s="1"/>
  <c r="AW71" i="3"/>
  <c r="AJ71" i="3" s="1"/>
  <c r="AW125" i="3"/>
  <c r="AW187" i="3"/>
  <c r="AJ187" i="3" s="1"/>
  <c r="AW128" i="3"/>
  <c r="AJ128" i="3" s="1"/>
  <c r="AW110" i="3"/>
  <c r="AW67" i="3"/>
  <c r="AJ67" i="3" s="1"/>
  <c r="AW66" i="3"/>
  <c r="AJ66" i="3" s="1"/>
  <c r="AW53" i="3"/>
  <c r="AJ53" i="3" s="1"/>
  <c r="AW45" i="3"/>
  <c r="AJ45" i="3" s="1"/>
  <c r="AW120" i="3"/>
  <c r="AW63" i="3"/>
  <c r="AJ63" i="3" s="1"/>
  <c r="AW174" i="3"/>
  <c r="AW13" i="3"/>
  <c r="AJ13" i="3" s="1"/>
  <c r="AW61" i="3"/>
  <c r="AJ61" i="3" s="1"/>
  <c r="AW30" i="3"/>
  <c r="AJ30" i="3" s="1"/>
  <c r="AW52" i="3"/>
  <c r="AJ52" i="3" s="1"/>
  <c r="AW31" i="3"/>
  <c r="AJ31" i="3" s="1"/>
  <c r="AW29" i="3"/>
  <c r="AJ29" i="3" s="1"/>
  <c r="AW12" i="3"/>
  <c r="AJ12" i="3" s="1"/>
  <c r="AW10" i="3"/>
  <c r="AJ10" i="3" s="1"/>
  <c r="AW93" i="3"/>
  <c r="AJ93" i="3" s="1"/>
  <c r="AW9" i="3"/>
  <c r="AJ9" i="3" s="1"/>
  <c r="AW7" i="3"/>
  <c r="AW54" i="3"/>
  <c r="AJ54" i="3" s="1"/>
  <c r="AW88" i="3"/>
  <c r="AW28" i="3"/>
  <c r="AW8" i="3"/>
  <c r="AW26" i="3"/>
  <c r="AW25" i="3"/>
  <c r="AJ25" i="3" s="1"/>
  <c r="AW6" i="3"/>
  <c r="AJ6" i="3" s="1"/>
  <c r="AW57" i="3"/>
  <c r="AJ57" i="3" s="1"/>
  <c r="AW114" i="3"/>
  <c r="AJ114" i="3" s="1"/>
  <c r="AW106" i="3"/>
  <c r="AJ106" i="3" s="1"/>
  <c r="AW92" i="3"/>
  <c r="AW5" i="3"/>
  <c r="AJ5" i="3" s="1"/>
  <c r="AW21" i="3"/>
  <c r="AJ21" i="3" s="1"/>
  <c r="AW39" i="3"/>
  <c r="AJ39" i="3" s="1"/>
  <c r="AW37" i="3"/>
  <c r="AJ37" i="3" s="1"/>
  <c r="AW41" i="3"/>
  <c r="AJ41" i="3" s="1"/>
  <c r="AW35" i="3"/>
  <c r="AJ35" i="3" s="1"/>
  <c r="AW151" i="3"/>
  <c r="AJ151" i="3" s="1"/>
  <c r="AW69" i="3"/>
  <c r="AJ69" i="3" s="1"/>
  <c r="AJ28" i="3"/>
  <c r="AW46" i="3"/>
  <c r="AJ46" i="3"/>
  <c r="AW50" i="3"/>
  <c r="AJ50" i="3" s="1"/>
  <c r="AW58" i="3"/>
  <c r="AJ44" i="3"/>
  <c r="AW60" i="3"/>
  <c r="AJ60" i="3" s="1"/>
  <c r="AJ20" i="3"/>
  <c r="AW32" i="3"/>
  <c r="AJ32" i="3" s="1"/>
  <c r="AW44" i="3"/>
  <c r="AW70" i="3"/>
  <c r="AJ70" i="3" s="1"/>
  <c r="AJ4" i="3"/>
  <c r="AW20" i="3"/>
  <c r="AW36" i="3"/>
  <c r="AJ36" i="3" s="1"/>
  <c r="AW40" i="3"/>
  <c r="AJ40" i="3" s="1"/>
  <c r="AW42" i="3"/>
  <c r="AJ42" i="3" s="1"/>
  <c r="AW108" i="3"/>
  <c r="AW56" i="3"/>
  <c r="AJ56" i="3"/>
  <c r="AW14" i="3"/>
  <c r="AJ14" i="3" s="1"/>
  <c r="AJ22" i="3"/>
  <c r="AW22" i="3"/>
  <c r="AW34" i="3"/>
  <c r="AJ34" i="3" s="1"/>
  <c r="AW18" i="3"/>
  <c r="AJ18" i="3" s="1"/>
  <c r="AJ27" i="3"/>
  <c r="AW27" i="3"/>
  <c r="AW16" i="3"/>
  <c r="AJ16" i="3" s="1"/>
  <c r="C20" i="2"/>
  <c r="AJ24" i="3"/>
  <c r="AJ121" i="3"/>
  <c r="AM33" i="3"/>
  <c r="AJ8" i="3"/>
  <c r="AJ43" i="3"/>
  <c r="AW59" i="3"/>
  <c r="AS2" i="3"/>
  <c r="AR2" i="3"/>
  <c r="AW49" i="3"/>
  <c r="AJ49" i="3" s="1"/>
  <c r="Y5" i="8"/>
  <c r="AI2" i="3"/>
  <c r="AJ2" i="3"/>
  <c r="AJ3" i="3"/>
  <c r="AW19" i="3"/>
  <c r="AJ19" i="3" s="1"/>
  <c r="AJ26" i="3"/>
  <c r="AV33" i="3"/>
  <c r="AW43" i="3"/>
  <c r="AJ23" i="3"/>
  <c r="AW23" i="3"/>
  <c r="AJ64" i="3"/>
  <c r="AW64" i="3"/>
  <c r="AW68" i="3"/>
  <c r="AJ92" i="3"/>
  <c r="AW133" i="3"/>
  <c r="AJ133" i="3" s="1"/>
  <c r="AW38" i="3"/>
  <c r="AW24" i="3"/>
  <c r="AJ80" i="3"/>
  <c r="AW80" i="3"/>
  <c r="AW72" i="3"/>
  <c r="AJ72" i="3" s="1"/>
  <c r="AW86" i="3"/>
  <c r="AJ86" i="3" s="1"/>
  <c r="AJ7" i="3"/>
  <c r="AW55" i="3"/>
  <c r="AJ55" i="3" s="1"/>
  <c r="AW62" i="3"/>
  <c r="AJ62" i="3"/>
  <c r="AW102" i="3"/>
  <c r="AJ102" i="3" s="1"/>
  <c r="AW146" i="3"/>
  <c r="AW107" i="3"/>
  <c r="AJ107" i="3" s="1"/>
  <c r="AW11" i="3"/>
  <c r="AJ11" i="3" s="1"/>
  <c r="AJ38" i="3"/>
  <c r="AJ51" i="3"/>
  <c r="AJ100" i="3"/>
  <c r="AW100" i="3"/>
  <c r="AJ15" i="3"/>
  <c r="AW15" i="3"/>
  <c r="AW51" i="3"/>
  <c r="AL58" i="3"/>
  <c r="AW117" i="3"/>
  <c r="AM59" i="3"/>
  <c r="AV59" i="3"/>
  <c r="AJ88" i="3"/>
  <c r="AW96" i="3"/>
  <c r="AJ96" i="3" s="1"/>
  <c r="AJ76" i="3"/>
  <c r="AW101" i="3"/>
  <c r="AJ101" i="3" s="1"/>
  <c r="AW113" i="3"/>
  <c r="AJ113" i="3" s="1"/>
  <c r="AW144" i="3"/>
  <c r="AJ144" i="3" s="1"/>
  <c r="AW47" i="3"/>
  <c r="AJ47" i="3" s="1"/>
  <c r="AW76" i="3"/>
  <c r="AW84" i="3"/>
  <c r="AJ84" i="3" s="1"/>
  <c r="AW130" i="3"/>
  <c r="AJ130" i="3" s="1"/>
  <c r="AW78" i="3"/>
  <c r="AJ78" i="3" s="1"/>
  <c r="AJ99" i="3"/>
  <c r="AW116" i="3"/>
  <c r="AJ116" i="3" s="1"/>
  <c r="AW98" i="3"/>
  <c r="AJ98" i="3" s="1"/>
  <c r="AW109" i="3"/>
  <c r="AJ109" i="3" s="1"/>
  <c r="AW112" i="3"/>
  <c r="AJ112" i="3" s="1"/>
  <c r="AW124" i="3"/>
  <c r="AJ124" i="3" s="1"/>
  <c r="AJ104" i="3"/>
  <c r="AW104" i="3"/>
  <c r="AW118" i="3"/>
  <c r="AJ118" i="3" s="1"/>
  <c r="AW121" i="3"/>
  <c r="AJ145" i="3"/>
  <c r="AW145" i="3"/>
  <c r="AJ117" i="3"/>
  <c r="AW161" i="3"/>
  <c r="AJ161" i="3" s="1"/>
  <c r="AW103" i="3"/>
  <c r="AJ103" i="3"/>
  <c r="AJ108" i="3"/>
  <c r="AW97" i="3"/>
  <c r="AJ97" i="3" s="1"/>
  <c r="AW126" i="3"/>
  <c r="AJ126" i="3" s="1"/>
  <c r="AW129" i="3"/>
  <c r="AJ129" i="3" s="1"/>
  <c r="AJ174" i="3"/>
  <c r="AJ153" i="3"/>
  <c r="AJ157" i="3"/>
  <c r="AW157" i="3"/>
  <c r="AW153" i="3"/>
  <c r="AW183" i="3"/>
  <c r="AJ183" i="3" s="1"/>
  <c r="AJ170" i="3"/>
  <c r="AJ132" i="3"/>
  <c r="AW136" i="3"/>
  <c r="AJ136" i="3" s="1"/>
  <c r="AW154" i="3"/>
  <c r="AJ154" i="3" s="1"/>
  <c r="AJ110" i="3"/>
  <c r="AW111" i="3"/>
  <c r="AJ111" i="3" s="1"/>
  <c r="AW152" i="3"/>
  <c r="AJ152" i="3" s="1"/>
  <c r="AJ135" i="3"/>
  <c r="AW135" i="3"/>
  <c r="AJ120" i="3"/>
  <c r="AW137" i="3"/>
  <c r="AJ137" i="3" s="1"/>
  <c r="AW164" i="3"/>
  <c r="AJ164" i="3"/>
  <c r="AW198" i="3"/>
  <c r="AW105" i="3"/>
  <c r="AJ105" i="3" s="1"/>
  <c r="AW150" i="3"/>
  <c r="AJ150" i="3" s="1"/>
  <c r="AJ156" i="3"/>
  <c r="AW156" i="3"/>
  <c r="AW172" i="3"/>
  <c r="AJ172" i="3"/>
  <c r="AW177" i="3"/>
  <c r="AJ177" i="3" s="1"/>
  <c r="AW139" i="3"/>
  <c r="AJ139" i="3" s="1"/>
  <c r="AJ142" i="3"/>
  <c r="AJ179" i="3"/>
  <c r="AJ181" i="3"/>
  <c r="AW181" i="3"/>
  <c r="AW166" i="3"/>
  <c r="AJ166" i="3" s="1"/>
  <c r="AJ226" i="3"/>
  <c r="AJ125" i="3"/>
  <c r="AW148" i="3"/>
  <c r="AJ148" i="3" s="1"/>
  <c r="AJ158" i="3"/>
  <c r="AJ162" i="3"/>
  <c r="AJ168" i="3"/>
  <c r="AW168" i="3"/>
  <c r="AJ176" i="3"/>
  <c r="AW176" i="3"/>
  <c r="AW202" i="3"/>
  <c r="AJ202" i="3" s="1"/>
  <c r="AW162" i="3"/>
  <c r="AW191" i="3"/>
  <c r="AW200" i="3"/>
  <c r="AJ200" i="3"/>
  <c r="AW228" i="3"/>
  <c r="AJ228" i="3" s="1"/>
  <c r="AW220" i="3"/>
  <c r="AJ220" i="3" s="1"/>
  <c r="AJ155" i="3"/>
  <c r="AJ194" i="3"/>
  <c r="AW194" i="3"/>
  <c r="AW197" i="3"/>
  <c r="AJ197" i="3" s="1"/>
  <c r="AW209" i="3"/>
  <c r="AJ209" i="3" s="1"/>
  <c r="AJ190" i="3"/>
  <c r="AW199" i="3"/>
  <c r="AW221" i="3"/>
  <c r="AJ221" i="3"/>
  <c r="AW193" i="3"/>
  <c r="AJ193" i="3"/>
  <c r="AW196" i="3"/>
  <c r="AJ196" i="3"/>
  <c r="AJ198" i="3"/>
  <c r="AW201" i="3"/>
  <c r="AJ201" i="3" s="1"/>
  <c r="AJ147" i="3"/>
  <c r="AJ191" i="3"/>
  <c r="AW210" i="3"/>
  <c r="AJ210" i="3" s="1"/>
  <c r="AW214" i="3"/>
  <c r="AJ214" i="3" s="1"/>
  <c r="AJ219" i="3"/>
  <c r="AJ230" i="3"/>
  <c r="AW230" i="3"/>
  <c r="AW212" i="3"/>
  <c r="AJ212" i="3" s="1"/>
  <c r="AW182" i="3"/>
  <c r="AJ182" i="3" s="1"/>
  <c r="AJ195" i="3"/>
  <c r="AW195" i="3"/>
  <c r="AW205" i="3"/>
  <c r="AJ205" i="3" s="1"/>
  <c r="AW188" i="3"/>
  <c r="AJ188" i="3" s="1"/>
  <c r="AW213" i="3"/>
  <c r="AJ213" i="3" s="1"/>
  <c r="AW218" i="3"/>
  <c r="AJ218" i="3" s="1"/>
  <c r="AW184" i="3"/>
  <c r="AJ184" i="3"/>
  <c r="AW229" i="3"/>
  <c r="AJ229" i="3" s="1"/>
  <c r="AW225" i="3"/>
  <c r="AJ225" i="3" s="1"/>
  <c r="AJ227" i="3"/>
  <c r="AJ146" i="3"/>
  <c r="AJ199" i="3"/>
  <c r="AW217" i="3"/>
  <c r="AJ217" i="3" s="1"/>
  <c r="AW222" i="3"/>
  <c r="AJ222" i="3" s="1"/>
  <c r="AJ235" i="3"/>
  <c r="AW237" i="3"/>
  <c r="AJ237" i="3" s="1"/>
  <c r="G52" i="4"/>
  <c r="F52" i="4"/>
  <c r="E52" i="4"/>
  <c r="D52" i="4"/>
  <c r="C52" i="4"/>
  <c r="B52" i="4"/>
  <c r="AJ231" i="3"/>
  <c r="G76" i="4"/>
  <c r="E36" i="2"/>
  <c r="AJ234" i="3"/>
  <c r="AJ211" i="3"/>
  <c r="AW234" i="3"/>
  <c r="J6" i="2"/>
  <c r="J37" i="2"/>
  <c r="AJ238" i="3"/>
  <c r="AW180" i="3"/>
  <c r="AJ180" i="3" s="1"/>
  <c r="AW233" i="3"/>
  <c r="AJ233" i="3" s="1"/>
  <c r="AW236" i="3"/>
  <c r="AJ236" i="3" s="1"/>
  <c r="AW192" i="3"/>
  <c r="AJ192" i="3" s="1"/>
  <c r="AW224" i="3"/>
  <c r="AJ224" i="3" s="1"/>
  <c r="AJ223" i="3"/>
  <c r="AJ207" i="3"/>
  <c r="AW208" i="3"/>
  <c r="AJ208" i="3" s="1"/>
  <c r="AW216" i="3"/>
  <c r="AJ216" i="3" s="1"/>
  <c r="AJ215" i="3"/>
  <c r="AJ203" i="3"/>
  <c r="AW204" i="3"/>
  <c r="AJ204" i="3" s="1"/>
  <c r="AW232" i="3"/>
  <c r="AJ232" i="3" s="1"/>
  <c r="C46" i="4"/>
  <c r="L28" i="2" s="1"/>
  <c r="G46" i="4"/>
  <c r="J24" i="2"/>
  <c r="G36" i="4"/>
  <c r="F36" i="4"/>
  <c r="O8" i="2" s="1"/>
  <c r="E36" i="4"/>
  <c r="N8" i="2" s="1"/>
  <c r="D36" i="4"/>
  <c r="M8" i="2" s="1"/>
  <c r="C36" i="4"/>
  <c r="B36" i="4"/>
  <c r="D39" i="4"/>
  <c r="M14" i="2" s="1"/>
  <c r="B39" i="4"/>
  <c r="G66" i="4"/>
  <c r="F66" i="4"/>
  <c r="E66" i="4"/>
  <c r="C66" i="4"/>
  <c r="B66" i="4"/>
  <c r="D44" i="4"/>
  <c r="M24" i="2" s="1"/>
  <c r="E48" i="4"/>
  <c r="N32" i="2" s="1"/>
  <c r="C48" i="4"/>
  <c r="L32" i="2" s="1"/>
  <c r="B48" i="4"/>
  <c r="O100" i="2"/>
  <c r="X5" i="8"/>
  <c r="D15" i="4" s="1"/>
  <c r="C13" i="2" s="1"/>
  <c r="F41" i="4"/>
  <c r="O18" i="2" s="1"/>
  <c r="D41" i="4"/>
  <c r="M18" i="2" s="1"/>
  <c r="C41" i="4"/>
  <c r="L18" i="2" s="1"/>
  <c r="B41" i="4"/>
  <c r="B46" i="4"/>
  <c r="D46" i="4"/>
  <c r="M28" i="2" s="1"/>
  <c r="C39" i="4"/>
  <c r="L14" i="2" s="1"/>
  <c r="E46" i="4"/>
  <c r="N28" i="2" s="1"/>
  <c r="G50" i="4"/>
  <c r="E50" i="4"/>
  <c r="D50" i="4"/>
  <c r="C50" i="4"/>
  <c r="B50" i="4"/>
  <c r="F46" i="4"/>
  <c r="O28" i="2" s="1"/>
  <c r="E62" i="4"/>
  <c r="G64" i="4"/>
  <c r="B67" i="4"/>
  <c r="F62" i="4"/>
  <c r="G62" i="4"/>
  <c r="B65" i="4"/>
  <c r="B45" i="4"/>
  <c r="D47" i="4"/>
  <c r="M30" i="2" s="1"/>
  <c r="F49" i="4"/>
  <c r="O34" i="2" s="1"/>
  <c r="C54" i="4"/>
  <c r="B63" i="4"/>
  <c r="D65" i="4"/>
  <c r="F67" i="4"/>
  <c r="C45" i="4"/>
  <c r="L26" i="2" s="1"/>
  <c r="E47" i="4"/>
  <c r="N30" i="2" s="1"/>
  <c r="D54" i="4"/>
  <c r="C63" i="4"/>
  <c r="E65" i="4"/>
  <c r="B43" i="4"/>
  <c r="D45" i="4"/>
  <c r="M26" i="2" s="1"/>
  <c r="F47" i="4"/>
  <c r="O30" i="2" s="1"/>
  <c r="E54" i="4"/>
  <c r="B61" i="4"/>
  <c r="D63" i="4"/>
  <c r="F65" i="4"/>
  <c r="X14" i="8"/>
  <c r="X15" i="8" s="1"/>
  <c r="X16" i="8" s="1"/>
  <c r="X17" i="8" s="1"/>
  <c r="X18" i="8" s="1"/>
  <c r="X19" i="8" s="1"/>
  <c r="X20" i="8" s="1"/>
  <c r="X21" i="8" s="1"/>
  <c r="X22" i="8" s="1"/>
  <c r="X23" i="8" s="1"/>
  <c r="X24" i="8" s="1"/>
  <c r="X25" i="8" s="1"/>
  <c r="X26" i="8" s="1"/>
  <c r="X27" i="8" s="1"/>
  <c r="X28" i="8" s="1"/>
  <c r="X29" i="8" s="1"/>
  <c r="X30" i="8" s="1"/>
  <c r="X31" i="8" s="1"/>
  <c r="X32" i="8" s="1"/>
  <c r="X33" i="8" s="1"/>
  <c r="X34" i="8" s="1"/>
  <c r="X35" i="8" s="1"/>
  <c r="X36" i="8" s="1"/>
  <c r="X37" i="8" s="1"/>
  <c r="X38" i="8" s="1"/>
  <c r="X39" i="8" s="1"/>
  <c r="X40" i="8" s="1"/>
  <c r="X41" i="8" s="1"/>
  <c r="X42" i="8" s="1"/>
  <c r="X43" i="8" s="1"/>
  <c r="X44" i="8" s="1"/>
  <c r="X45" i="8" s="1"/>
  <c r="X46" i="8" s="1"/>
  <c r="X47" i="8" s="1"/>
  <c r="X48" i="8" s="1"/>
  <c r="C43" i="4"/>
  <c r="L22" i="2" s="1"/>
  <c r="E45" i="4"/>
  <c r="N26" i="2" s="1"/>
  <c r="C61" i="4"/>
  <c r="E63" i="4"/>
  <c r="D43" i="4"/>
  <c r="M22" i="2" s="1"/>
  <c r="F45" i="4"/>
  <c r="O26" i="2" s="1"/>
  <c r="B59" i="4"/>
  <c r="M40" i="2" s="1"/>
  <c r="D61" i="4"/>
  <c r="F63" i="4"/>
  <c r="E43" i="4"/>
  <c r="N22" i="2" s="1"/>
  <c r="C59" i="4"/>
  <c r="J40" i="2" s="1"/>
  <c r="E61" i="4"/>
  <c r="C64" i="4"/>
  <c r="B62" i="4"/>
  <c r="D64" i="4"/>
  <c r="AM102" i="3" l="1"/>
  <c r="AV102" i="3"/>
  <c r="AM40" i="3"/>
  <c r="AV40" i="3"/>
  <c r="AL36" i="3"/>
  <c r="AM36" i="3"/>
  <c r="AK36" i="3"/>
  <c r="AV36" i="3"/>
  <c r="AV124" i="3"/>
  <c r="AM124" i="3"/>
  <c r="AM137" i="3"/>
  <c r="AV137" i="3"/>
  <c r="AV166" i="3"/>
  <c r="AM166" i="3"/>
  <c r="AV109" i="3"/>
  <c r="AM109" i="3"/>
  <c r="AL70" i="3"/>
  <c r="AM70" i="3"/>
  <c r="AK70" i="3"/>
  <c r="AV70" i="3"/>
  <c r="AM213" i="3"/>
  <c r="AL213" i="3"/>
  <c r="AK213" i="3"/>
  <c r="AV213" i="3"/>
  <c r="AM97" i="3"/>
  <c r="AV97" i="3"/>
  <c r="AV86" i="3"/>
  <c r="AM86" i="3"/>
  <c r="AM19" i="3"/>
  <c r="AL19" i="3"/>
  <c r="AK19" i="3"/>
  <c r="AV19" i="3"/>
  <c r="AM229" i="3"/>
  <c r="AL229" i="3"/>
  <c r="AV229" i="3"/>
  <c r="AK229" i="3"/>
  <c r="AL149" i="3"/>
  <c r="AV149" i="3"/>
  <c r="AM149" i="3"/>
  <c r="AK149" i="3"/>
  <c r="AL111" i="3"/>
  <c r="AV111" i="3"/>
  <c r="AK111" i="3"/>
  <c r="AM111" i="3"/>
  <c r="AM18" i="3"/>
  <c r="AV18" i="3"/>
  <c r="AM225" i="3"/>
  <c r="AL225" i="3"/>
  <c r="AV225" i="3"/>
  <c r="AK225" i="3"/>
  <c r="AM177" i="3"/>
  <c r="AV177" i="3"/>
  <c r="AL60" i="3"/>
  <c r="AM60" i="3"/>
  <c r="AK60" i="3"/>
  <c r="AV60" i="3"/>
  <c r="AL139" i="3"/>
  <c r="AV139" i="3"/>
  <c r="AK139" i="3"/>
  <c r="AM139" i="3"/>
  <c r="AM178" i="3"/>
  <c r="AV178" i="3"/>
  <c r="AM161" i="3"/>
  <c r="AL161" i="3"/>
  <c r="AV161" i="3"/>
  <c r="AK161" i="3"/>
  <c r="AM136" i="3"/>
  <c r="AV136" i="3"/>
  <c r="AV133" i="3"/>
  <c r="AM133" i="3"/>
  <c r="AL133" i="3"/>
  <c r="AK133" i="3"/>
  <c r="AM50" i="3"/>
  <c r="AV50" i="3"/>
  <c r="AM154" i="3"/>
  <c r="AV154" i="3"/>
  <c r="AL154" i="3"/>
  <c r="AK154" i="3"/>
  <c r="AM84" i="3"/>
  <c r="AV84" i="3"/>
  <c r="AV14" i="3"/>
  <c r="AM14" i="3"/>
  <c r="AL72" i="3"/>
  <c r="AV72" i="3"/>
  <c r="AM72" i="3"/>
  <c r="AK72" i="3"/>
  <c r="AM183" i="3"/>
  <c r="AV183" i="3"/>
  <c r="AM11" i="3"/>
  <c r="AV11" i="3"/>
  <c r="AL11" i="3"/>
  <c r="AK11" i="3"/>
  <c r="AM96" i="3"/>
  <c r="AV96" i="3"/>
  <c r="AM118" i="3"/>
  <c r="AV118" i="3"/>
  <c r="AM107" i="3"/>
  <c r="AV107" i="3"/>
  <c r="AL150" i="3"/>
  <c r="AM150" i="3"/>
  <c r="AV150" i="3"/>
  <c r="AK150" i="3"/>
  <c r="AM101" i="3"/>
  <c r="AV101" i="3"/>
  <c r="AV42" i="3"/>
  <c r="AM42" i="3"/>
  <c r="AV204" i="3"/>
  <c r="AK204" i="3"/>
  <c r="AL204" i="3"/>
  <c r="AM204" i="3"/>
  <c r="AK211" i="3"/>
  <c r="AM211" i="3"/>
  <c r="AL211" i="3"/>
  <c r="AV211" i="3"/>
  <c r="AM199" i="3"/>
  <c r="AV199" i="3"/>
  <c r="AM230" i="3"/>
  <c r="AL230" i="3"/>
  <c r="AK230" i="3"/>
  <c r="AV230" i="3"/>
  <c r="AM190" i="3"/>
  <c r="AV190" i="3"/>
  <c r="AV135" i="3"/>
  <c r="AM135" i="3"/>
  <c r="AM157" i="3"/>
  <c r="AV157" i="3"/>
  <c r="AK157" i="3"/>
  <c r="AL157" i="3"/>
  <c r="AL144" i="3"/>
  <c r="AM144" i="3"/>
  <c r="AV144" i="3"/>
  <c r="AK144" i="3"/>
  <c r="AM15" i="3"/>
  <c r="AV15" i="3"/>
  <c r="AK22" i="3"/>
  <c r="AM22" i="3"/>
  <c r="AL22" i="3"/>
  <c r="AV22" i="3"/>
  <c r="AM39" i="3"/>
  <c r="AV39" i="3"/>
  <c r="AM93" i="3"/>
  <c r="AV93" i="3"/>
  <c r="AK140" i="3"/>
  <c r="AV140" i="3"/>
  <c r="AM140" i="3"/>
  <c r="AL140" i="3"/>
  <c r="AC39" i="8" a="1"/>
  <c r="AC39" i="8" s="1"/>
  <c r="AD39" i="8" s="1"/>
  <c r="AC93" i="8" a="1"/>
  <c r="AC93" i="8" s="1"/>
  <c r="AD93" i="8" s="1"/>
  <c r="AC98" i="8" a="1"/>
  <c r="AC98" i="8" s="1"/>
  <c r="AD98" i="8" s="1"/>
  <c r="AC134" i="8" a="1"/>
  <c r="AC134" i="8" s="1"/>
  <c r="AD134" i="8" s="1"/>
  <c r="AK219" i="3"/>
  <c r="AM219" i="3"/>
  <c r="AL219" i="3"/>
  <c r="AV219" i="3"/>
  <c r="AV209" i="3"/>
  <c r="AM209" i="3"/>
  <c r="AM168" i="3"/>
  <c r="AV168" i="3"/>
  <c r="AL152" i="3"/>
  <c r="AM152" i="3"/>
  <c r="AV152" i="3"/>
  <c r="AK152" i="3"/>
  <c r="AV153" i="3"/>
  <c r="AL153" i="3"/>
  <c r="AK153" i="3"/>
  <c r="AM153" i="3"/>
  <c r="AM113" i="3"/>
  <c r="AV113" i="3"/>
  <c r="AM21" i="3"/>
  <c r="AV21" i="3"/>
  <c r="AK10" i="3"/>
  <c r="AV10" i="3"/>
  <c r="AM10" i="3"/>
  <c r="AL10" i="3"/>
  <c r="AK128" i="3"/>
  <c r="AL128" i="3"/>
  <c r="AV128" i="3"/>
  <c r="AM128" i="3"/>
  <c r="AM48" i="3"/>
  <c r="AV48" i="3"/>
  <c r="AV206" i="3"/>
  <c r="AM206" i="3"/>
  <c r="AC45" i="8" a="1"/>
  <c r="AC45" i="8" s="1"/>
  <c r="AD45" i="8" s="1"/>
  <c r="AC23" i="8" a="1"/>
  <c r="AC23" i="8" s="1"/>
  <c r="AD23" i="8" s="1"/>
  <c r="AC67" i="8" a="1"/>
  <c r="AC67" i="8" s="1"/>
  <c r="AD67" i="8" s="1"/>
  <c r="AC131" i="8" a="1"/>
  <c r="AC131" i="8" s="1"/>
  <c r="AD131" i="8" s="1"/>
  <c r="AC91" i="8" a="1"/>
  <c r="AC91" i="8" s="1"/>
  <c r="AD91" i="8" s="1"/>
  <c r="AC95" i="8" a="1"/>
  <c r="AC95" i="8" s="1"/>
  <c r="AD95" i="8" s="1"/>
  <c r="AC72" i="8" a="1"/>
  <c r="AC72" i="8" s="1"/>
  <c r="AD72" i="8" s="1"/>
  <c r="AC117" i="8" a="1"/>
  <c r="AC117" i="8" s="1"/>
  <c r="AD117" i="8" s="1"/>
  <c r="AC106" i="8" a="1"/>
  <c r="AC106" i="8" s="1"/>
  <c r="AD106" i="8" s="1"/>
  <c r="AK187" i="3"/>
  <c r="AV187" i="3"/>
  <c r="AL187" i="3"/>
  <c r="AM187" i="3"/>
  <c r="AV127" i="3"/>
  <c r="AM127" i="3"/>
  <c r="AM173" i="3"/>
  <c r="AV173" i="3"/>
  <c r="AC16" i="8" a="1"/>
  <c r="AC16" i="8" s="1"/>
  <c r="AD16" i="8" s="1"/>
  <c r="AC33" i="8" a="1"/>
  <c r="AC33" i="8" s="1"/>
  <c r="AD33" i="8" s="1"/>
  <c r="AC14" i="8" a="1"/>
  <c r="AC14" i="8" s="1"/>
  <c r="AD14" i="8" s="1"/>
  <c r="AC92" i="8" a="1"/>
  <c r="AC92" i="8" s="1"/>
  <c r="AD92" i="8" s="1"/>
  <c r="AC94" i="8" a="1"/>
  <c r="AC94" i="8" s="1"/>
  <c r="AD94" i="8" s="1"/>
  <c r="AC100" i="8" a="1"/>
  <c r="AC100" i="8" s="1"/>
  <c r="AD100" i="8" s="1"/>
  <c r="AC101" i="8" a="1"/>
  <c r="AC101" i="8" s="1"/>
  <c r="AD101" i="8" s="1"/>
  <c r="AL162" i="3"/>
  <c r="AV162" i="3"/>
  <c r="AM162" i="3"/>
  <c r="AK162" i="3"/>
  <c r="AV216" i="3"/>
  <c r="AK216" i="3"/>
  <c r="AM216" i="3"/>
  <c r="AL216" i="3"/>
  <c r="G77" i="4"/>
  <c r="E37" i="2"/>
  <c r="AM210" i="3"/>
  <c r="AV210" i="3"/>
  <c r="AV158" i="3"/>
  <c r="AM158" i="3"/>
  <c r="AL158" i="3"/>
  <c r="AK158" i="3"/>
  <c r="AV129" i="3"/>
  <c r="AM129" i="3"/>
  <c r="AM7" i="3"/>
  <c r="AK7" i="3"/>
  <c r="AV7" i="3"/>
  <c r="AL7" i="3"/>
  <c r="AV20" i="3"/>
  <c r="AM20" i="3"/>
  <c r="AV29" i="3"/>
  <c r="AM29" i="3"/>
  <c r="AL134" i="3"/>
  <c r="AK134" i="3"/>
  <c r="AM134" i="3"/>
  <c r="AV134" i="3"/>
  <c r="AV163" i="3"/>
  <c r="AK163" i="3"/>
  <c r="AM163" i="3"/>
  <c r="AL163" i="3"/>
  <c r="AC27" i="8" a="1"/>
  <c r="AC27" i="8" s="1"/>
  <c r="AD27" i="8" s="1"/>
  <c r="AC97" i="8" a="1"/>
  <c r="AC97" i="8" s="1"/>
  <c r="AD97" i="8" s="1"/>
  <c r="AC104" i="8" a="1"/>
  <c r="AC104" i="8" s="1"/>
  <c r="AD104" i="8" s="1"/>
  <c r="AC111" i="8" a="1"/>
  <c r="AC111" i="8" s="1"/>
  <c r="AD111" i="8" s="1"/>
  <c r="AC88" i="8" a="1"/>
  <c r="AC88" i="8" s="1"/>
  <c r="AD88" i="8" s="1"/>
  <c r="AC89" i="8" a="1"/>
  <c r="AC89" i="8" s="1"/>
  <c r="AD89" i="8" s="1"/>
  <c r="AV203" i="3"/>
  <c r="AM203" i="3"/>
  <c r="K18" i="2"/>
  <c r="J18" i="2"/>
  <c r="AL56" i="3"/>
  <c r="AV56" i="3"/>
  <c r="AM56" i="3"/>
  <c r="AK56" i="3"/>
  <c r="K22" i="2"/>
  <c r="J22" i="2"/>
  <c r="AM191" i="3"/>
  <c r="AV191" i="3"/>
  <c r="AM194" i="3"/>
  <c r="AV194" i="3"/>
  <c r="AM148" i="3"/>
  <c r="AV148" i="3"/>
  <c r="AK148" i="3"/>
  <c r="AL148" i="3"/>
  <c r="AL110" i="3"/>
  <c r="AV110" i="3"/>
  <c r="AM110" i="3"/>
  <c r="AK110" i="3"/>
  <c r="AM126" i="3"/>
  <c r="AV126" i="3"/>
  <c r="AL76" i="3"/>
  <c r="AM76" i="3"/>
  <c r="AK76" i="3"/>
  <c r="AV76" i="3"/>
  <c r="AM51" i="3"/>
  <c r="AV51" i="3"/>
  <c r="AM23" i="3"/>
  <c r="AL23" i="3"/>
  <c r="AK23" i="3"/>
  <c r="AV23" i="3"/>
  <c r="AV8" i="3"/>
  <c r="AM8" i="3"/>
  <c r="AL106" i="3"/>
  <c r="AM106" i="3"/>
  <c r="AV106" i="3"/>
  <c r="AK106" i="3"/>
  <c r="AM31" i="3"/>
  <c r="AV31" i="3"/>
  <c r="AM71" i="3"/>
  <c r="AV71" i="3"/>
  <c r="AL71" i="3"/>
  <c r="AK71" i="3"/>
  <c r="AM94" i="3"/>
  <c r="AV94" i="3"/>
  <c r="AL138" i="3"/>
  <c r="AM138" i="3"/>
  <c r="AK138" i="3"/>
  <c r="AV138" i="3"/>
  <c r="AV171" i="3"/>
  <c r="AM171" i="3"/>
  <c r="AC31" i="8" a="1"/>
  <c r="AC31" i="8" s="1"/>
  <c r="AD31" i="8" s="1"/>
  <c r="AC20" i="8" a="1"/>
  <c r="AC20" i="8" s="1"/>
  <c r="AD20" i="8" s="1"/>
  <c r="AC120" i="8" a="1"/>
  <c r="AC120" i="8" s="1"/>
  <c r="AD120" i="8" s="1"/>
  <c r="AC125" i="8" a="1"/>
  <c r="AC125" i="8" s="1"/>
  <c r="AD125" i="8" s="1"/>
  <c r="AC114" i="8" a="1"/>
  <c r="AC114" i="8" s="1"/>
  <c r="AD114" i="8" s="1"/>
  <c r="AM146" i="3"/>
  <c r="AV146" i="3"/>
  <c r="AL146" i="3"/>
  <c r="AK146" i="3"/>
  <c r="AK156" i="3"/>
  <c r="AL156" i="3"/>
  <c r="AV156" i="3"/>
  <c r="AM156" i="3"/>
  <c r="AM114" i="3"/>
  <c r="AV114" i="3"/>
  <c r="AL52" i="3"/>
  <c r="AK52" i="3"/>
  <c r="AV52" i="3"/>
  <c r="AM52" i="3"/>
  <c r="AM87" i="3"/>
  <c r="AK87" i="3"/>
  <c r="AL87" i="3"/>
  <c r="AV87" i="3"/>
  <c r="AV159" i="3"/>
  <c r="AK159" i="3"/>
  <c r="AM159" i="3"/>
  <c r="AL159" i="3"/>
  <c r="AL122" i="3"/>
  <c r="AK122" i="3"/>
  <c r="AM122" i="3"/>
  <c r="AV122" i="3"/>
  <c r="AC24" i="8" a="1"/>
  <c r="AC24" i="8" s="1"/>
  <c r="AD24" i="8" s="1"/>
  <c r="AC38" i="8" a="1"/>
  <c r="AC38" i="8" s="1"/>
  <c r="AD38" i="8" s="1"/>
  <c r="AC22" i="8" a="1"/>
  <c r="AC22" i="8" s="1"/>
  <c r="AD22" i="8" s="1"/>
  <c r="AC123" i="8" a="1"/>
  <c r="AC123" i="8" s="1"/>
  <c r="AD123" i="8" s="1"/>
  <c r="AC99" i="8" a="1"/>
  <c r="AC99" i="8" s="1"/>
  <c r="AD99" i="8" s="1"/>
  <c r="AC54" i="8" a="1"/>
  <c r="AC54" i="8" s="1"/>
  <c r="AD54" i="8" s="1"/>
  <c r="AC119" i="8" a="1"/>
  <c r="AC119" i="8" s="1"/>
  <c r="AD119" i="8" s="1"/>
  <c r="AC116" i="8" a="1"/>
  <c r="AC116" i="8" s="1"/>
  <c r="AD116" i="8" s="1"/>
  <c r="AC113" i="8" a="1"/>
  <c r="AC113" i="8" s="1"/>
  <c r="AD113" i="8" s="1"/>
  <c r="AF4" i="3"/>
  <c r="AS3" i="3"/>
  <c r="AR3" i="3"/>
  <c r="AV208" i="3"/>
  <c r="AM208" i="3"/>
  <c r="AV184" i="3"/>
  <c r="AM184" i="3"/>
  <c r="AM44" i="3"/>
  <c r="AV44" i="3"/>
  <c r="I5" i="5"/>
  <c r="L8" i="2"/>
  <c r="AV108" i="3"/>
  <c r="AM108" i="3"/>
  <c r="AV57" i="3"/>
  <c r="AM57" i="3"/>
  <c r="AV30" i="3"/>
  <c r="AM30" i="3"/>
  <c r="AL119" i="3"/>
  <c r="AK119" i="3"/>
  <c r="AM119" i="3"/>
  <c r="AV119" i="3"/>
  <c r="AM65" i="3"/>
  <c r="AK65" i="3"/>
  <c r="AV65" i="3"/>
  <c r="AL65" i="3"/>
  <c r="AV143" i="3"/>
  <c r="AM143" i="3"/>
  <c r="AM189" i="3"/>
  <c r="AV189" i="3"/>
  <c r="AC21" i="8" a="1"/>
  <c r="AC21" i="8" s="1"/>
  <c r="AD21" i="8" s="1"/>
  <c r="AC43" i="8" a="1"/>
  <c r="AC43" i="8" s="1"/>
  <c r="AD43" i="8" s="1"/>
  <c r="AC102" i="8" a="1"/>
  <c r="AC102" i="8" s="1"/>
  <c r="AD102" i="8" s="1"/>
  <c r="AM197" i="3"/>
  <c r="AV197" i="3"/>
  <c r="J8" i="2"/>
  <c r="K8" i="2"/>
  <c r="AK223" i="3"/>
  <c r="AV223" i="3"/>
  <c r="AM223" i="3"/>
  <c r="AL223" i="3"/>
  <c r="AM226" i="3"/>
  <c r="AL226" i="3"/>
  <c r="AK226" i="3"/>
  <c r="AV226" i="3"/>
  <c r="AL103" i="3"/>
  <c r="AK103" i="3"/>
  <c r="AV103" i="3"/>
  <c r="AM103" i="3"/>
  <c r="AL88" i="3"/>
  <c r="AM88" i="3"/>
  <c r="AK88" i="3"/>
  <c r="AV88" i="3"/>
  <c r="AV26" i="3"/>
  <c r="AM26" i="3"/>
  <c r="AV121" i="3"/>
  <c r="AM121" i="3"/>
  <c r="AL121" i="3"/>
  <c r="AK121" i="3"/>
  <c r="AL6" i="3"/>
  <c r="AK6" i="3"/>
  <c r="AM6" i="3"/>
  <c r="AV6" i="3"/>
  <c r="AL61" i="3"/>
  <c r="AK61" i="3"/>
  <c r="AV61" i="3"/>
  <c r="AM61" i="3"/>
  <c r="AV74" i="3"/>
  <c r="AM74" i="3"/>
  <c r="AL74" i="3"/>
  <c r="AK74" i="3"/>
  <c r="AM73" i="3"/>
  <c r="AV73" i="3"/>
  <c r="AL73" i="3"/>
  <c r="AK73" i="3"/>
  <c r="AM160" i="3"/>
  <c r="AL160" i="3"/>
  <c r="AV160" i="3"/>
  <c r="AK160" i="3"/>
  <c r="AV186" i="3"/>
  <c r="AM186" i="3"/>
  <c r="AC40" i="8" a="1"/>
  <c r="AC40" i="8" s="1"/>
  <c r="AD40" i="8" s="1"/>
  <c r="AC28" i="8" a="1"/>
  <c r="AC28" i="8" s="1"/>
  <c r="AD28" i="8" s="1"/>
  <c r="AC75" i="8" a="1"/>
  <c r="AC75" i="8" s="1"/>
  <c r="AD75" i="8" s="1"/>
  <c r="AC105" i="8" a="1"/>
  <c r="AC105" i="8" s="1"/>
  <c r="AD105" i="8" s="1"/>
  <c r="AC112" i="8" a="1"/>
  <c r="AC112" i="8" s="1"/>
  <c r="AD112" i="8" s="1"/>
  <c r="AC103" i="8" a="1"/>
  <c r="AC103" i="8" s="1"/>
  <c r="AD103" i="8" s="1"/>
  <c r="AC109" i="8" a="1"/>
  <c r="AC109" i="8" s="1"/>
  <c r="AD109" i="8" s="1"/>
  <c r="AC128" i="8" a="1"/>
  <c r="AC128" i="8" s="1"/>
  <c r="AD128" i="8" s="1"/>
  <c r="AC133" i="8" a="1"/>
  <c r="AC133" i="8" s="1"/>
  <c r="AD133" i="8" s="1"/>
  <c r="AC122" i="8" a="1"/>
  <c r="AC122" i="8" s="1"/>
  <c r="AD122" i="8" s="1"/>
  <c r="AC110" i="8" a="1"/>
  <c r="AC110" i="8" s="1"/>
  <c r="AD110" i="8" s="1"/>
  <c r="AM234" i="3"/>
  <c r="AL234" i="3"/>
  <c r="AV234" i="3"/>
  <c r="AK234" i="3"/>
  <c r="AV32" i="3"/>
  <c r="AM32" i="3"/>
  <c r="K14" i="2"/>
  <c r="J14" i="2"/>
  <c r="AV220" i="3"/>
  <c r="AK220" i="3"/>
  <c r="AM220" i="3"/>
  <c r="AL220" i="3"/>
  <c r="AM192" i="3"/>
  <c r="AV192" i="3"/>
  <c r="AV196" i="3"/>
  <c r="AM196" i="3"/>
  <c r="AV105" i="3"/>
  <c r="AM105" i="3"/>
  <c r="AL105" i="3"/>
  <c r="AK105" i="3"/>
  <c r="AL98" i="3"/>
  <c r="AK98" i="3"/>
  <c r="AM98" i="3"/>
  <c r="AV98" i="3"/>
  <c r="AV24" i="3"/>
  <c r="AM24" i="3"/>
  <c r="AL24" i="3"/>
  <c r="AK24" i="3"/>
  <c r="AM46" i="3"/>
  <c r="AV46" i="3"/>
  <c r="AM25" i="3"/>
  <c r="AV25" i="3"/>
  <c r="AV13" i="3"/>
  <c r="AM13" i="3"/>
  <c r="AM75" i="3"/>
  <c r="AK75" i="3"/>
  <c r="AV75" i="3"/>
  <c r="AL75" i="3"/>
  <c r="AM81" i="3"/>
  <c r="AV81" i="3"/>
  <c r="AM169" i="3"/>
  <c r="AV169" i="3"/>
  <c r="AC61" i="8" a="1"/>
  <c r="AC61" i="8" s="1"/>
  <c r="AD61" i="8" s="1"/>
  <c r="AC32" i="8" a="1"/>
  <c r="AC32" i="8" s="1"/>
  <c r="AD32" i="8" s="1"/>
  <c r="AC37" i="8" a="1"/>
  <c r="AC37" i="8" s="1"/>
  <c r="AD37" i="8" s="1"/>
  <c r="AC30" i="8" a="1"/>
  <c r="AC30" i="8" s="1"/>
  <c r="AD30" i="8" s="1"/>
  <c r="AC49" i="8" a="1"/>
  <c r="AC49" i="8" s="1"/>
  <c r="AD49" i="8" s="1"/>
  <c r="AC127" i="8" a="1"/>
  <c r="AC127" i="8" s="1"/>
  <c r="AD127" i="8" s="1"/>
  <c r="AC124" i="8" a="1"/>
  <c r="AC124" i="8" s="1"/>
  <c r="AD124" i="8" s="1"/>
  <c r="AC121" i="8" a="1"/>
  <c r="AC121" i="8" s="1"/>
  <c r="AD121" i="8" s="1"/>
  <c r="AM214" i="3"/>
  <c r="AL214" i="3"/>
  <c r="AV214" i="3"/>
  <c r="AK214" i="3"/>
  <c r="AV104" i="3"/>
  <c r="AM104" i="3"/>
  <c r="AM125" i="3"/>
  <c r="AL125" i="3"/>
  <c r="AV125" i="3"/>
  <c r="AK125" i="3"/>
  <c r="AV228" i="3"/>
  <c r="AK228" i="3"/>
  <c r="AM228" i="3"/>
  <c r="AL228" i="3"/>
  <c r="AV236" i="3"/>
  <c r="AL236" i="3"/>
  <c r="AK236" i="3"/>
  <c r="AM236" i="3"/>
  <c r="AM188" i="3"/>
  <c r="AL188" i="3"/>
  <c r="AK188" i="3"/>
  <c r="AV188" i="3"/>
  <c r="AV132" i="3"/>
  <c r="AM132" i="3"/>
  <c r="AV116" i="3"/>
  <c r="AL116" i="3"/>
  <c r="AK116" i="3"/>
  <c r="AM116" i="3"/>
  <c r="AM83" i="3"/>
  <c r="AV83" i="3"/>
  <c r="AM89" i="3"/>
  <c r="AL89" i="3"/>
  <c r="AK89" i="3"/>
  <c r="AV89" i="3"/>
  <c r="AM123" i="3"/>
  <c r="AV123" i="3"/>
  <c r="AC44" i="8" a="1"/>
  <c r="AC44" i="8" s="1"/>
  <c r="AD44" i="8" s="1"/>
  <c r="AC29" i="8" a="1"/>
  <c r="AC29" i="8" s="1"/>
  <c r="AD29" i="8" s="1"/>
  <c r="AC90" i="8" a="1"/>
  <c r="AC90" i="8" s="1"/>
  <c r="AD90" i="8" s="1"/>
  <c r="AC35" i="8" a="1"/>
  <c r="AC35" i="8" s="1"/>
  <c r="AD35" i="8" s="1"/>
  <c r="AC96" i="8" a="1"/>
  <c r="AC96" i="8" s="1"/>
  <c r="AD96" i="8" s="1"/>
  <c r="AC59" i="8" a="1"/>
  <c r="AC59" i="8" s="1"/>
  <c r="AD59" i="8" s="1"/>
  <c r="AC70" i="8" a="1"/>
  <c r="AC70" i="8" s="1"/>
  <c r="AD70" i="8" s="1"/>
  <c r="AC85" i="8" a="1"/>
  <c r="AC85" i="8" s="1"/>
  <c r="AD85" i="8" s="1"/>
  <c r="AK215" i="3"/>
  <c r="AM215" i="3"/>
  <c r="AV215" i="3"/>
  <c r="AL215" i="3"/>
  <c r="AM100" i="3"/>
  <c r="AV100" i="3"/>
  <c r="AV12" i="3"/>
  <c r="AM12" i="3"/>
  <c r="AK12" i="3"/>
  <c r="AL12" i="3"/>
  <c r="AV207" i="3"/>
  <c r="AM207" i="3"/>
  <c r="AV224" i="3"/>
  <c r="AK224" i="3"/>
  <c r="AM224" i="3"/>
  <c r="AL224" i="3"/>
  <c r="AM233" i="3"/>
  <c r="AL233" i="3"/>
  <c r="AV233" i="3"/>
  <c r="AK233" i="3"/>
  <c r="AV205" i="3"/>
  <c r="AM205" i="3"/>
  <c r="AV193" i="3"/>
  <c r="AM193" i="3"/>
  <c r="AM164" i="3"/>
  <c r="AV164" i="3"/>
  <c r="AV170" i="3"/>
  <c r="AM170" i="3"/>
  <c r="AV99" i="3"/>
  <c r="AM99" i="3"/>
  <c r="AM80" i="3"/>
  <c r="AV80" i="3"/>
  <c r="AM3" i="3"/>
  <c r="AL3" i="3"/>
  <c r="AK3" i="3"/>
  <c r="AV3" i="3"/>
  <c r="AV16" i="3"/>
  <c r="AM16" i="3"/>
  <c r="AK16" i="3"/>
  <c r="AL16" i="3"/>
  <c r="AV28" i="3"/>
  <c r="AM28" i="3"/>
  <c r="AM63" i="3"/>
  <c r="AV63" i="3"/>
  <c r="AM85" i="3"/>
  <c r="AV85" i="3"/>
  <c r="AV82" i="3"/>
  <c r="AM82" i="3"/>
  <c r="AL131" i="3"/>
  <c r="AM131" i="3"/>
  <c r="AV131" i="3"/>
  <c r="AK131" i="3"/>
  <c r="AC18" i="8" a="1"/>
  <c r="AC18" i="8" s="1"/>
  <c r="AD18" i="8" s="1"/>
  <c r="AC108" i="8" a="1"/>
  <c r="AC108" i="8" s="1"/>
  <c r="AD108" i="8" s="1"/>
  <c r="Y13" i="8" a="1"/>
  <c r="Y13" i="8" s="1"/>
  <c r="AC57" i="8" a="1"/>
  <c r="AC57" i="8" s="1"/>
  <c r="AD57" i="8" s="1"/>
  <c r="AC87" i="8" a="1"/>
  <c r="AC87" i="8" s="1"/>
  <c r="AD87" i="8" s="1"/>
  <c r="AC130" i="8" a="1"/>
  <c r="AC130" i="8" s="1"/>
  <c r="AD130" i="8" s="1"/>
  <c r="AC118" i="8" a="1"/>
  <c r="AC118" i="8" s="1"/>
  <c r="AD118" i="8" s="1"/>
  <c r="AK231" i="3"/>
  <c r="AV231" i="3"/>
  <c r="AM231" i="3"/>
  <c r="AL231" i="3"/>
  <c r="AM201" i="3"/>
  <c r="AL201" i="3"/>
  <c r="AV201" i="3"/>
  <c r="AK201" i="3"/>
  <c r="AM198" i="3"/>
  <c r="AV198" i="3"/>
  <c r="I9" i="5"/>
  <c r="AV200" i="3"/>
  <c r="AM200" i="3"/>
  <c r="K32" i="2"/>
  <c r="J32" i="2"/>
  <c r="AV180" i="3"/>
  <c r="AM180" i="3"/>
  <c r="AM237" i="3"/>
  <c r="AL237" i="3"/>
  <c r="AV237" i="3"/>
  <c r="AK237" i="3"/>
  <c r="AM117" i="3"/>
  <c r="AV117" i="3"/>
  <c r="AL78" i="3"/>
  <c r="AV78" i="3"/>
  <c r="AM78" i="3"/>
  <c r="AK78" i="3"/>
  <c r="V8" i="5"/>
  <c r="AV2" i="3"/>
  <c r="AL2" i="3"/>
  <c r="AK2" i="3"/>
  <c r="AM2" i="3"/>
  <c r="AM69" i="3"/>
  <c r="AL69" i="3"/>
  <c r="AK69" i="3"/>
  <c r="AV69" i="3"/>
  <c r="AM90" i="3"/>
  <c r="AL90" i="3"/>
  <c r="AK90" i="3"/>
  <c r="AV90" i="3"/>
  <c r="AC48" i="8" a="1"/>
  <c r="AC48" i="8" s="1"/>
  <c r="AD48" i="8" s="1"/>
  <c r="AC86" i="8" a="1"/>
  <c r="AC86" i="8" s="1"/>
  <c r="AD86" i="8" s="1"/>
  <c r="AC135" i="8" a="1"/>
  <c r="AC135" i="8" s="1"/>
  <c r="AD135" i="8" s="1"/>
  <c r="AC132" i="8" a="1"/>
  <c r="AC132" i="8" s="1"/>
  <c r="AD132" i="8" s="1"/>
  <c r="AC129" i="8" a="1"/>
  <c r="AC129" i="8" s="1"/>
  <c r="AD129" i="8" s="1"/>
  <c r="AV155" i="3"/>
  <c r="AL155" i="3"/>
  <c r="AM155" i="3"/>
  <c r="AK155" i="3"/>
  <c r="AM218" i="3"/>
  <c r="AL218" i="3"/>
  <c r="AK218" i="3"/>
  <c r="AV218" i="3"/>
  <c r="AM238" i="3"/>
  <c r="AL238" i="3"/>
  <c r="AK238" i="3"/>
  <c r="AV238" i="3"/>
  <c r="AK235" i="3"/>
  <c r="AV235" i="3"/>
  <c r="AM235" i="3"/>
  <c r="AL235" i="3"/>
  <c r="AM195" i="3"/>
  <c r="AV195" i="3"/>
  <c r="AM181" i="3"/>
  <c r="AV181" i="3"/>
  <c r="AM130" i="3"/>
  <c r="AV130" i="3"/>
  <c r="D16" i="4"/>
  <c r="C14" i="2" s="1"/>
  <c r="AI3" i="3"/>
  <c r="AI4" i="3" s="1"/>
  <c r="AI5" i="3" s="1"/>
  <c r="AI6" i="3" s="1"/>
  <c r="AI7" i="3" s="1"/>
  <c r="AI8" i="3" s="1"/>
  <c r="AI9" i="3" s="1"/>
  <c r="AI10" i="3" s="1"/>
  <c r="AI11" i="3" s="1"/>
  <c r="AI12" i="3" s="1"/>
  <c r="AI13" i="3" s="1"/>
  <c r="AI14" i="3" s="1"/>
  <c r="AI15" i="3" s="1"/>
  <c r="AI16" i="3" s="1"/>
  <c r="AI17" i="3" s="1"/>
  <c r="AI18" i="3" s="1"/>
  <c r="AI19" i="3" s="1"/>
  <c r="AI20" i="3" s="1"/>
  <c r="AI21" i="3" s="1"/>
  <c r="AI22" i="3" s="1"/>
  <c r="AI23" i="3" s="1"/>
  <c r="AI24" i="3" s="1"/>
  <c r="AI25" i="3" s="1"/>
  <c r="AI26" i="3" s="1"/>
  <c r="AI27" i="3" s="1"/>
  <c r="AI28" i="3" s="1"/>
  <c r="AI29" i="3" s="1"/>
  <c r="AI30" i="3" s="1"/>
  <c r="AI31" i="3" s="1"/>
  <c r="AI32" i="3" s="1"/>
  <c r="AI33" i="3" s="1"/>
  <c r="AI34" i="3" s="1"/>
  <c r="AI35" i="3" s="1"/>
  <c r="AI36" i="3" s="1"/>
  <c r="AI37" i="3" s="1"/>
  <c r="AI38" i="3" s="1"/>
  <c r="AI39" i="3" s="1"/>
  <c r="AI40" i="3" s="1"/>
  <c r="AI41" i="3" s="1"/>
  <c r="AI42" i="3" s="1"/>
  <c r="AI43" i="3" s="1"/>
  <c r="AI44" i="3" s="1"/>
  <c r="AI45" i="3" s="1"/>
  <c r="AI46" i="3" s="1"/>
  <c r="AI47" i="3" s="1"/>
  <c r="AI48" i="3" s="1"/>
  <c r="AI49" i="3" s="1"/>
  <c r="AI50" i="3" s="1"/>
  <c r="AI51" i="3" s="1"/>
  <c r="AI52" i="3" s="1"/>
  <c r="AI53" i="3" s="1"/>
  <c r="AI54" i="3" s="1"/>
  <c r="AI55" i="3" s="1"/>
  <c r="AI56" i="3" s="1"/>
  <c r="AI57" i="3" s="1"/>
  <c r="AI58" i="3" s="1"/>
  <c r="AI59" i="3" s="1"/>
  <c r="AI60" i="3" s="1"/>
  <c r="AI61" i="3" s="1"/>
  <c r="AI62" i="3" s="1"/>
  <c r="AI63" i="3" s="1"/>
  <c r="AI64" i="3" s="1"/>
  <c r="AI65" i="3" s="1"/>
  <c r="AI66" i="3" s="1"/>
  <c r="AI67" i="3" s="1"/>
  <c r="AI68" i="3" s="1"/>
  <c r="AI69" i="3" s="1"/>
  <c r="AI70" i="3" s="1"/>
  <c r="AI71" i="3" s="1"/>
  <c r="AI72" i="3" s="1"/>
  <c r="AI73" i="3" s="1"/>
  <c r="AI74" i="3" s="1"/>
  <c r="AI75" i="3" s="1"/>
  <c r="AI76" i="3" s="1"/>
  <c r="AI77" i="3" s="1"/>
  <c r="AI78" i="3" s="1"/>
  <c r="AI79" i="3" s="1"/>
  <c r="AI80" i="3" s="1"/>
  <c r="AI81" i="3" s="1"/>
  <c r="AI82" i="3" s="1"/>
  <c r="AI83" i="3" s="1"/>
  <c r="AI84" i="3" s="1"/>
  <c r="AI85" i="3" s="1"/>
  <c r="AI86" i="3" s="1"/>
  <c r="AI87" i="3" s="1"/>
  <c r="AI88" i="3" s="1"/>
  <c r="AI89" i="3" s="1"/>
  <c r="AI90" i="3" s="1"/>
  <c r="AI91" i="3" s="1"/>
  <c r="AI92" i="3" s="1"/>
  <c r="AI93" i="3" s="1"/>
  <c r="AI94" i="3" s="1"/>
  <c r="AI95" i="3" s="1"/>
  <c r="AI96" i="3" s="1"/>
  <c r="AI97" i="3" s="1"/>
  <c r="AI98" i="3" s="1"/>
  <c r="AI99" i="3" s="1"/>
  <c r="AI100" i="3" s="1"/>
  <c r="AI101" i="3" s="1"/>
  <c r="AI102" i="3" s="1"/>
  <c r="AI103" i="3" s="1"/>
  <c r="AI104" i="3" s="1"/>
  <c r="AI105" i="3" s="1"/>
  <c r="AI106" i="3" s="1"/>
  <c r="AI107" i="3" s="1"/>
  <c r="AI108" i="3" s="1"/>
  <c r="AI109" i="3" s="1"/>
  <c r="AI110" i="3" s="1"/>
  <c r="AI111" i="3" s="1"/>
  <c r="AI112" i="3" s="1"/>
  <c r="AI113" i="3" s="1"/>
  <c r="AI114" i="3" s="1"/>
  <c r="AI115" i="3" s="1"/>
  <c r="AI116" i="3" s="1"/>
  <c r="AI117" i="3" s="1"/>
  <c r="AI118" i="3" s="1"/>
  <c r="AI119" i="3" s="1"/>
  <c r="AI120" i="3" s="1"/>
  <c r="AI121" i="3" s="1"/>
  <c r="AI122" i="3" s="1"/>
  <c r="AI123" i="3" s="1"/>
  <c r="AI124" i="3" s="1"/>
  <c r="AI125" i="3" s="1"/>
  <c r="AI126" i="3" s="1"/>
  <c r="AI127" i="3" s="1"/>
  <c r="AI128" i="3" s="1"/>
  <c r="AI129" i="3" s="1"/>
  <c r="AI130" i="3" s="1"/>
  <c r="AI131" i="3" s="1"/>
  <c r="AI132" i="3" s="1"/>
  <c r="AI133" i="3" s="1"/>
  <c r="AI134" i="3" s="1"/>
  <c r="AI135" i="3" s="1"/>
  <c r="AI136" i="3" s="1"/>
  <c r="AI137" i="3" s="1"/>
  <c r="AI138" i="3" s="1"/>
  <c r="AI139" i="3" s="1"/>
  <c r="AI140" i="3" s="1"/>
  <c r="AI141" i="3" s="1"/>
  <c r="AI142" i="3" s="1"/>
  <c r="AI143" i="3" s="1"/>
  <c r="AI144" i="3" s="1"/>
  <c r="AI145" i="3" s="1"/>
  <c r="AI146" i="3" s="1"/>
  <c r="AI147" i="3" s="1"/>
  <c r="AI148" i="3" s="1"/>
  <c r="AI149" i="3" s="1"/>
  <c r="AI150" i="3" s="1"/>
  <c r="AI151" i="3" s="1"/>
  <c r="AI152" i="3" s="1"/>
  <c r="AI153" i="3" s="1"/>
  <c r="AI154" i="3" s="1"/>
  <c r="AI155" i="3" s="1"/>
  <c r="AI156" i="3" s="1"/>
  <c r="AI157" i="3" s="1"/>
  <c r="AI158" i="3" s="1"/>
  <c r="AI159" i="3" s="1"/>
  <c r="AI160" i="3" s="1"/>
  <c r="AI161" i="3" s="1"/>
  <c r="AI162" i="3" s="1"/>
  <c r="AI163" i="3" s="1"/>
  <c r="AI164" i="3" s="1"/>
  <c r="AI165" i="3" s="1"/>
  <c r="AI166" i="3" s="1"/>
  <c r="AI167" i="3" s="1"/>
  <c r="AI168" i="3" s="1"/>
  <c r="AI169" i="3" s="1"/>
  <c r="AI170" i="3" s="1"/>
  <c r="AI171" i="3" s="1"/>
  <c r="AI172" i="3" s="1"/>
  <c r="AI173" i="3" s="1"/>
  <c r="AI174" i="3" s="1"/>
  <c r="AI175" i="3" s="1"/>
  <c r="AI176" i="3" s="1"/>
  <c r="AI177" i="3" s="1"/>
  <c r="AI178" i="3" s="1"/>
  <c r="AI179" i="3" s="1"/>
  <c r="AI180" i="3" s="1"/>
  <c r="AI181" i="3" s="1"/>
  <c r="AI182" i="3" s="1"/>
  <c r="AI183" i="3" s="1"/>
  <c r="AI184" i="3" s="1"/>
  <c r="AI185" i="3" s="1"/>
  <c r="AI186" i="3" s="1"/>
  <c r="AI187" i="3" s="1"/>
  <c r="AI188" i="3" s="1"/>
  <c r="AI189" i="3" s="1"/>
  <c r="AI190" i="3" s="1"/>
  <c r="AI191" i="3" s="1"/>
  <c r="AI192" i="3" s="1"/>
  <c r="AI193" i="3" s="1"/>
  <c r="AI194" i="3" s="1"/>
  <c r="AI195" i="3" s="1"/>
  <c r="AI196" i="3" s="1"/>
  <c r="AI197" i="3" s="1"/>
  <c r="AI198" i="3" s="1"/>
  <c r="AI199" i="3" s="1"/>
  <c r="AI200" i="3" s="1"/>
  <c r="AI201" i="3" s="1"/>
  <c r="AI202" i="3" s="1"/>
  <c r="AI203" i="3" s="1"/>
  <c r="AI204" i="3" s="1"/>
  <c r="AI205" i="3" s="1"/>
  <c r="AI206" i="3" s="1"/>
  <c r="AI207" i="3" s="1"/>
  <c r="AI208" i="3" s="1"/>
  <c r="AI209" i="3" s="1"/>
  <c r="AI210" i="3" s="1"/>
  <c r="AI211" i="3" s="1"/>
  <c r="AI212" i="3" s="1"/>
  <c r="AI213" i="3" s="1"/>
  <c r="AI214" i="3" s="1"/>
  <c r="AI215" i="3" s="1"/>
  <c r="AI216" i="3" s="1"/>
  <c r="AI217" i="3" s="1"/>
  <c r="AI218" i="3" s="1"/>
  <c r="AI219" i="3" s="1"/>
  <c r="AI220" i="3" s="1"/>
  <c r="AI221" i="3" s="1"/>
  <c r="AI222" i="3" s="1"/>
  <c r="AI223" i="3" s="1"/>
  <c r="AI224" i="3" s="1"/>
  <c r="AI225" i="3" s="1"/>
  <c r="AI226" i="3" s="1"/>
  <c r="AI227" i="3" s="1"/>
  <c r="AI228" i="3" s="1"/>
  <c r="AI229" i="3" s="1"/>
  <c r="AI230" i="3" s="1"/>
  <c r="AI231" i="3" s="1"/>
  <c r="AI232" i="3" s="1"/>
  <c r="AI233" i="3" s="1"/>
  <c r="AI234" i="3" s="1"/>
  <c r="AI235" i="3" s="1"/>
  <c r="AI236" i="3" s="1"/>
  <c r="AI237" i="3" s="1"/>
  <c r="AI238" i="3" s="1"/>
  <c r="AM27" i="3"/>
  <c r="AV27" i="3"/>
  <c r="AV151" i="3"/>
  <c r="AL151" i="3"/>
  <c r="AM151" i="3"/>
  <c r="AK151" i="3"/>
  <c r="AM45" i="3"/>
  <c r="AV45" i="3"/>
  <c r="AM77" i="3"/>
  <c r="AV77" i="3"/>
  <c r="AL77" i="3"/>
  <c r="AK77" i="3"/>
  <c r="AM91" i="3"/>
  <c r="AK91" i="3"/>
  <c r="AL91" i="3"/>
  <c r="AV91" i="3"/>
  <c r="AV185" i="3"/>
  <c r="AM185" i="3"/>
  <c r="AC42" i="8" a="1"/>
  <c r="AC42" i="8" s="1"/>
  <c r="AD42" i="8" s="1"/>
  <c r="AC46" i="8" a="1"/>
  <c r="AC46" i="8" s="1"/>
  <c r="AD46" i="8" s="1"/>
  <c r="AC17" i="8" a="1"/>
  <c r="AC17" i="8" s="1"/>
  <c r="AD17" i="8" s="1"/>
  <c r="AC53" i="8" a="1"/>
  <c r="AC53" i="8" s="1"/>
  <c r="AD53" i="8" s="1"/>
  <c r="AC107" i="8" a="1"/>
  <c r="AC107" i="8" s="1"/>
  <c r="AD107" i="8" s="1"/>
  <c r="AC115" i="8" a="1"/>
  <c r="AC115" i="8" s="1"/>
  <c r="AD115" i="8" s="1"/>
  <c r="AC65" i="8" a="1"/>
  <c r="AC65" i="8" s="1"/>
  <c r="AD65" i="8" s="1"/>
  <c r="AK227" i="3"/>
  <c r="AV227" i="3"/>
  <c r="AM227" i="3"/>
  <c r="AL227" i="3"/>
  <c r="AM222" i="3"/>
  <c r="AL222" i="3"/>
  <c r="AV222" i="3"/>
  <c r="AK222" i="3"/>
  <c r="AM182" i="3"/>
  <c r="AV182" i="3"/>
  <c r="AV202" i="3"/>
  <c r="AM202" i="3"/>
  <c r="AV179" i="3"/>
  <c r="AM179" i="3"/>
  <c r="AM120" i="3"/>
  <c r="AV120" i="3"/>
  <c r="AV145" i="3"/>
  <c r="AM145" i="3"/>
  <c r="AL145" i="3"/>
  <c r="AK145" i="3"/>
  <c r="AM62" i="3"/>
  <c r="AV62" i="3"/>
  <c r="AV4" i="3"/>
  <c r="AL4" i="3"/>
  <c r="AM4" i="3"/>
  <c r="AM35" i="3"/>
  <c r="AV35" i="3"/>
  <c r="AV54" i="3"/>
  <c r="AM54" i="3"/>
  <c r="AL54" i="3"/>
  <c r="AK54" i="3"/>
  <c r="AV53" i="3"/>
  <c r="AL53" i="3"/>
  <c r="AM53" i="3"/>
  <c r="AK53" i="3"/>
  <c r="AM79" i="3"/>
  <c r="AK79" i="3"/>
  <c r="AV79" i="3"/>
  <c r="AL79" i="3"/>
  <c r="AV115" i="3"/>
  <c r="AM115" i="3"/>
  <c r="AM165" i="3"/>
  <c r="AV165" i="3"/>
  <c r="AC52" i="8" a="1"/>
  <c r="AC52" i="8" s="1"/>
  <c r="AD52" i="8" s="1"/>
  <c r="AD13" i="8" a="1"/>
  <c r="AD13" i="8" s="1"/>
  <c r="AC26" i="8" a="1"/>
  <c r="AC26" i="8" s="1"/>
  <c r="AD26" i="8" s="1"/>
  <c r="Y14" i="8" a="1"/>
  <c r="Y14" i="8" s="1"/>
  <c r="AC47" i="8" a="1"/>
  <c r="AC47" i="8" s="1"/>
  <c r="AD47" i="8" s="1"/>
  <c r="AC126" i="8" a="1"/>
  <c r="AC126" i="8" s="1"/>
  <c r="AD126" i="8" s="1"/>
  <c r="AM172" i="3"/>
  <c r="AV172" i="3"/>
  <c r="AM64" i="3"/>
  <c r="AV64" i="3"/>
  <c r="AV5" i="3"/>
  <c r="AM5" i="3"/>
  <c r="AV112" i="3"/>
  <c r="AM112" i="3"/>
  <c r="AM38" i="3"/>
  <c r="AV38" i="3"/>
  <c r="AM221" i="3"/>
  <c r="AL221" i="3"/>
  <c r="AV221" i="3"/>
  <c r="AK221" i="3"/>
  <c r="AM217" i="3"/>
  <c r="AL217" i="3"/>
  <c r="AV217" i="3"/>
  <c r="AK217" i="3"/>
  <c r="AV212" i="3"/>
  <c r="AK212" i="3"/>
  <c r="AM212" i="3"/>
  <c r="AL212" i="3"/>
  <c r="AM49" i="3"/>
  <c r="AL49" i="3"/>
  <c r="AK49" i="3"/>
  <c r="AV49" i="3"/>
  <c r="AM34" i="3"/>
  <c r="AL34" i="3"/>
  <c r="AK34" i="3"/>
  <c r="AV34" i="3"/>
  <c r="AV41" i="3"/>
  <c r="AM41" i="3"/>
  <c r="AL41" i="3"/>
  <c r="AK41" i="3"/>
  <c r="AK66" i="3"/>
  <c r="AV66" i="3"/>
  <c r="AM66" i="3"/>
  <c r="AL66" i="3"/>
  <c r="AV95" i="3"/>
  <c r="AM95" i="3"/>
  <c r="AK141" i="3"/>
  <c r="AV141" i="3"/>
  <c r="AM141" i="3"/>
  <c r="AL141" i="3"/>
  <c r="AV167" i="3"/>
  <c r="AK167" i="3"/>
  <c r="AL167" i="3"/>
  <c r="AM167" i="3"/>
  <c r="AC15" i="8" a="1"/>
  <c r="AC15" i="8" s="1"/>
  <c r="AD15" i="8" s="1"/>
  <c r="AC55" i="8" a="1"/>
  <c r="AC55" i="8" s="1"/>
  <c r="AD55" i="8" s="1"/>
  <c r="J28" i="2"/>
  <c r="K28" i="2"/>
  <c r="AV174" i="3"/>
  <c r="AM174" i="3"/>
  <c r="AM43" i="3"/>
  <c r="AV43" i="3"/>
  <c r="AV147" i="3"/>
  <c r="AK147" i="3"/>
  <c r="AM147" i="3"/>
  <c r="AL147" i="3"/>
  <c r="K26" i="2"/>
  <c r="J26" i="2"/>
  <c r="AV232" i="3"/>
  <c r="AK232" i="3"/>
  <c r="AM232" i="3"/>
  <c r="AL232" i="3"/>
  <c r="AM176" i="3"/>
  <c r="AK176" i="3"/>
  <c r="AV176" i="3"/>
  <c r="AL176" i="3"/>
  <c r="AV142" i="3"/>
  <c r="AM142" i="3"/>
  <c r="AM47" i="3"/>
  <c r="AV47" i="3"/>
  <c r="AM55" i="3"/>
  <c r="AV55" i="3"/>
  <c r="AL55" i="3"/>
  <c r="AK55" i="3"/>
  <c r="AL92" i="3"/>
  <c r="AV92" i="3"/>
  <c r="AM92" i="3"/>
  <c r="AK92" i="3"/>
  <c r="AV37" i="3"/>
  <c r="AM37" i="3"/>
  <c r="AV9" i="3"/>
  <c r="AM9" i="3"/>
  <c r="AM67" i="3"/>
  <c r="AV67" i="3"/>
  <c r="AV175" i="3"/>
  <c r="AM175" i="3"/>
  <c r="AC25" i="8" a="1"/>
  <c r="AC25" i="8" s="1"/>
  <c r="AD25" i="8" s="1"/>
  <c r="M13" i="8" l="1"/>
  <c r="AG4" i="3"/>
  <c r="AQ4" i="3"/>
  <c r="AP4" i="3"/>
  <c r="G78" i="4"/>
  <c r="E38" i="2"/>
  <c r="AK4" i="3"/>
  <c r="X3" i="8"/>
  <c r="E39" i="2" l="1"/>
  <c r="G79" i="4"/>
  <c r="AR4" i="3"/>
  <c r="AF5" i="3"/>
  <c r="AS4" i="3"/>
  <c r="Z14" i="8" a="1"/>
  <c r="Z14" i="8" s="1"/>
  <c r="AF14" i="8" s="1"/>
  <c r="S13" i="8"/>
  <c r="N13" i="8"/>
  <c r="Y7" i="8"/>
  <c r="V5" i="5"/>
  <c r="U11" i="5" s="1"/>
  <c r="Y8" i="8"/>
  <c r="X8" i="8" s="1"/>
  <c r="X7" i="8" l="1"/>
  <c r="X9" i="8" s="1"/>
  <c r="V9" i="5"/>
  <c r="M14" i="8"/>
  <c r="T13" i="8"/>
  <c r="AG5" i="3"/>
  <c r="AQ5" i="3"/>
  <c r="AP5" i="3"/>
  <c r="AK5" i="3"/>
  <c r="AL5" i="3"/>
  <c r="Y15" i="8" a="1"/>
  <c r="Y15" i="8" s="1"/>
  <c r="G80" i="4"/>
  <c r="G81" i="4" s="1"/>
  <c r="E40" i="2"/>
  <c r="AA14" i="8" l="1"/>
  <c r="AG14" i="8"/>
  <c r="AR5" i="3"/>
  <c r="AF6" i="3"/>
  <c r="AS5" i="3"/>
  <c r="Z15" i="8" a="1"/>
  <c r="Z15" i="8" s="1"/>
  <c r="AF15" i="8" s="1"/>
  <c r="G82" i="4"/>
  <c r="F43" i="2" s="1"/>
  <c r="F42" i="2"/>
  <c r="N14" i="8"/>
  <c r="S14" i="8"/>
  <c r="T14" i="8" l="1"/>
  <c r="AJ14" i="8" s="1"/>
  <c r="D14" i="4"/>
  <c r="C12" i="2" s="1"/>
  <c r="AQ6" i="3"/>
  <c r="AG6" i="3"/>
  <c r="AP6" i="3"/>
  <c r="M15" i="8"/>
  <c r="AH14" i="8"/>
  <c r="AB14" i="8" s="1"/>
  <c r="S15" i="8" l="1"/>
  <c r="T15" i="8" s="1"/>
  <c r="AJ15" i="8" s="1"/>
  <c r="N15" i="8"/>
  <c r="AF7" i="3"/>
  <c r="AS6" i="3"/>
  <c r="AR6" i="3"/>
  <c r="M16" i="8" l="1"/>
  <c r="AG7" i="3"/>
  <c r="AP7" i="3"/>
  <c r="AQ7" i="3"/>
  <c r="AF8" i="3" l="1"/>
  <c r="AS7" i="3"/>
  <c r="AR7" i="3"/>
  <c r="S16" i="8"/>
  <c r="T16" i="8" s="1"/>
  <c r="N16" i="8"/>
  <c r="M17" i="8" l="1"/>
  <c r="AG8" i="3"/>
  <c r="AQ8" i="3"/>
  <c r="AP8" i="3"/>
  <c r="AL8" i="3"/>
  <c r="AK8" i="3"/>
  <c r="Y16" i="8" a="1"/>
  <c r="Y16" i="8" s="1"/>
  <c r="AS8" i="3" l="1"/>
  <c r="AF9" i="3"/>
  <c r="AR8" i="3"/>
  <c r="Z16" i="8" a="1"/>
  <c r="Z16" i="8" s="1"/>
  <c r="AJ16" i="8" s="1"/>
  <c r="AG15" i="8"/>
  <c r="AA15" i="8"/>
  <c r="N17" i="8"/>
  <c r="S17" i="8"/>
  <c r="T17" i="8" s="1"/>
  <c r="AH15" i="8" l="1"/>
  <c r="AB15" i="8" s="1"/>
  <c r="M18" i="8"/>
  <c r="AF16" i="8"/>
  <c r="AP9" i="3"/>
  <c r="AG9" i="3"/>
  <c r="AQ9" i="3"/>
  <c r="AK9" i="3"/>
  <c r="AL9" i="3"/>
  <c r="Y17" i="8" a="1"/>
  <c r="Y17" i="8" s="1"/>
  <c r="AG16" i="8" l="1"/>
  <c r="AA16" i="8"/>
  <c r="AR9" i="3"/>
  <c r="AF10" i="3"/>
  <c r="AS9" i="3"/>
  <c r="Z17" i="8" a="1"/>
  <c r="Z17" i="8" s="1"/>
  <c r="AJ17" i="8" s="1"/>
  <c r="S18" i="8"/>
  <c r="T18" i="8" s="1"/>
  <c r="N18" i="8"/>
  <c r="M19" i="8" s="1"/>
  <c r="S19" i="8" l="1"/>
  <c r="T19" i="8" s="1"/>
  <c r="N19" i="8"/>
  <c r="M20" i="8" s="1"/>
  <c r="AH16" i="8"/>
  <c r="AB16" i="8" s="1"/>
  <c r="AQ10" i="3"/>
  <c r="AP10" i="3"/>
  <c r="AG10" i="3"/>
  <c r="Y18" i="8" a="1"/>
  <c r="Y18" i="8" s="1"/>
  <c r="AF17" i="8"/>
  <c r="AA17" i="8" l="1"/>
  <c r="AG17" i="8"/>
  <c r="AS10" i="3"/>
  <c r="AR10" i="3"/>
  <c r="AF11" i="3"/>
  <c r="Z18" i="8" a="1"/>
  <c r="Z18" i="8" s="1"/>
  <c r="AJ18" i="8" s="1"/>
  <c r="S20" i="8"/>
  <c r="T20" i="8" s="1"/>
  <c r="N20" i="8"/>
  <c r="M21" i="8" s="1"/>
  <c r="S21" i="8" l="1"/>
  <c r="T21" i="8" s="1"/>
  <c r="N21" i="8"/>
  <c r="M22" i="8" s="1"/>
  <c r="AG11" i="3"/>
  <c r="AQ11" i="3"/>
  <c r="AP11" i="3"/>
  <c r="Y19" i="8" a="1"/>
  <c r="Y19" i="8" s="1"/>
  <c r="AH17" i="8"/>
  <c r="AB17" i="8" s="1"/>
  <c r="AF18" i="8"/>
  <c r="AG18" i="8" l="1"/>
  <c r="AA18" i="8"/>
  <c r="AF12" i="3"/>
  <c r="AS11" i="3"/>
  <c r="AR11" i="3"/>
  <c r="N22" i="8"/>
  <c r="M23" i="8" s="1"/>
  <c r="S22" i="8"/>
  <c r="T22" i="8" s="1"/>
  <c r="S23" i="8" l="1"/>
  <c r="T23" i="8" s="1"/>
  <c r="N23" i="8"/>
  <c r="M24" i="8" s="1"/>
  <c r="AQ12" i="3"/>
  <c r="AP12" i="3"/>
  <c r="AG12" i="3"/>
  <c r="AH18" i="8"/>
  <c r="AB18" i="8" s="1"/>
  <c r="AS12" i="3" l="1"/>
  <c r="AR12" i="3"/>
  <c r="AF13" i="3"/>
  <c r="S24" i="8"/>
  <c r="T24" i="8" s="1"/>
  <c r="N24" i="8"/>
  <c r="M25" i="8" s="1"/>
  <c r="N25" i="8" l="1"/>
  <c r="M26" i="8" s="1"/>
  <c r="S25" i="8"/>
  <c r="T25" i="8" s="1"/>
  <c r="AQ13" i="3"/>
  <c r="AP13" i="3"/>
  <c r="AG13" i="3"/>
  <c r="Y20" i="8" a="1"/>
  <c r="Y20" i="8" s="1"/>
  <c r="AL13" i="3"/>
  <c r="AK13" i="3"/>
  <c r="AR13" i="3" l="1"/>
  <c r="AS13" i="3"/>
  <c r="AF14" i="3"/>
  <c r="Z20" i="8" a="1"/>
  <c r="Z20" i="8" s="1"/>
  <c r="AJ20" i="8" s="1"/>
  <c r="S26" i="8"/>
  <c r="T26" i="8" s="1"/>
  <c r="N26" i="8"/>
  <c r="M27" i="8" s="1"/>
  <c r="AQ14" i="3" l="1"/>
  <c r="AP14" i="3"/>
  <c r="AG14" i="3"/>
  <c r="Y21" i="8" a="1"/>
  <c r="Y21" i="8" s="1"/>
  <c r="AK14" i="3"/>
  <c r="AL14" i="3"/>
  <c r="S27" i="8"/>
  <c r="T27" i="8" s="1"/>
  <c r="N27" i="8"/>
  <c r="AF20" i="8"/>
  <c r="AA20" i="8" l="1"/>
  <c r="AG20" i="8"/>
  <c r="AS14" i="3"/>
  <c r="AR14" i="3"/>
  <c r="AF15" i="3"/>
  <c r="Z21" i="8" a="1"/>
  <c r="Z21" i="8" s="1"/>
  <c r="AJ21" i="8" s="1"/>
  <c r="AG15" i="3" l="1"/>
  <c r="AQ15" i="3"/>
  <c r="AP15" i="3"/>
  <c r="AK15" i="3"/>
  <c r="AL15" i="3"/>
  <c r="Y22" i="8" a="1"/>
  <c r="Y22" i="8" s="1"/>
  <c r="AH20" i="8"/>
  <c r="AB20" i="8" s="1"/>
  <c r="AF21" i="8"/>
  <c r="AG21" i="8" l="1"/>
  <c r="AA21" i="8"/>
  <c r="AF16" i="3"/>
  <c r="AS15" i="3"/>
  <c r="AR15" i="3"/>
  <c r="Z22" i="8" a="1"/>
  <c r="Z22" i="8" s="1"/>
  <c r="AJ22" i="8" s="1"/>
  <c r="AH21" i="8" l="1"/>
  <c r="AB21" i="8" s="1"/>
  <c r="AQ16" i="3"/>
  <c r="AP16" i="3"/>
  <c r="AG16" i="3"/>
  <c r="Y23" i="8" a="1"/>
  <c r="Y23" i="8" s="1"/>
  <c r="AF22" i="8"/>
  <c r="AA22" i="8" l="1"/>
  <c r="AG22" i="8"/>
  <c r="AS16" i="3"/>
  <c r="AR16" i="3"/>
  <c r="AF17" i="3"/>
  <c r="Z23" i="8" a="1"/>
  <c r="Z23" i="8" s="1"/>
  <c r="AJ23" i="8" s="1"/>
  <c r="AQ17" i="3" l="1"/>
  <c r="AP17" i="3"/>
  <c r="AG17" i="3"/>
  <c r="Y24" i="8" a="1"/>
  <c r="Y24" i="8" s="1"/>
  <c r="AH22" i="8"/>
  <c r="AB22" i="8" s="1"/>
  <c r="AF23" i="8"/>
  <c r="AR17" i="3" l="1"/>
  <c r="AS17" i="3"/>
  <c r="AF18" i="3"/>
  <c r="Z24" i="8" a="1"/>
  <c r="Z24" i="8" s="1"/>
  <c r="AJ24" i="8" s="1"/>
  <c r="AG23" i="8"/>
  <c r="AA23" i="8"/>
  <c r="AH23" i="8" l="1"/>
  <c r="AB23" i="8" s="1"/>
  <c r="AF24" i="8"/>
  <c r="AQ18" i="3"/>
  <c r="AP18" i="3"/>
  <c r="AG18" i="3"/>
  <c r="AK18" i="3"/>
  <c r="Y25" i="8" a="1"/>
  <c r="Y25" i="8" s="1"/>
  <c r="AL18" i="3"/>
  <c r="AG24" i="8" l="1"/>
  <c r="AA24" i="8"/>
  <c r="AS18" i="3"/>
  <c r="AR18" i="3"/>
  <c r="AF19" i="3"/>
  <c r="Z25" i="8" a="1"/>
  <c r="Z25" i="8" s="1"/>
  <c r="AJ25" i="8" s="1"/>
  <c r="AG19" i="3" l="1"/>
  <c r="AQ19" i="3"/>
  <c r="AP19" i="3"/>
  <c r="Y26" i="8" a="1"/>
  <c r="Y26" i="8" s="1"/>
  <c r="AH24" i="8"/>
  <c r="AB24" i="8"/>
  <c r="AF25" i="8"/>
  <c r="AA25" i="8" l="1"/>
  <c r="AG25" i="8"/>
  <c r="AF20" i="3"/>
  <c r="AR19" i="3"/>
  <c r="AS19" i="3"/>
  <c r="Z26" i="8" a="1"/>
  <c r="Z26" i="8" s="1"/>
  <c r="AJ26" i="8" s="1"/>
  <c r="AQ20" i="3" l="1"/>
  <c r="AP20" i="3"/>
  <c r="AG20" i="3"/>
  <c r="Y27" i="8" a="1"/>
  <c r="Y27" i="8" s="1"/>
  <c r="AH25" i="8"/>
  <c r="AB25" i="8" s="1"/>
  <c r="AF26" i="8"/>
  <c r="AS20" i="3" l="1"/>
  <c r="AF21" i="3"/>
  <c r="AR20" i="3"/>
  <c r="AG26" i="8"/>
  <c r="AA26" i="8"/>
  <c r="AH26" i="8" l="1"/>
  <c r="AB26" i="8" s="1"/>
  <c r="AP21" i="3"/>
  <c r="AN21" i="3"/>
  <c r="AQ21" i="3"/>
  <c r="AG21" i="3"/>
  <c r="AL21" i="3"/>
  <c r="AK21" i="3"/>
  <c r="AN20" i="3"/>
  <c r="AN17" i="3"/>
  <c r="AN19" i="3"/>
  <c r="AL20" i="3"/>
  <c r="AO20" i="3" s="1"/>
  <c r="AK20" i="3"/>
  <c r="AO18" i="3"/>
  <c r="AN18" i="3"/>
  <c r="AO19" i="3"/>
  <c r="AO17" i="3"/>
  <c r="AR21" i="3" l="1"/>
  <c r="AF22" i="3"/>
  <c r="AS21" i="3"/>
  <c r="Z27" i="8" a="1"/>
  <c r="Z27" i="8" s="1"/>
  <c r="AO21" i="3"/>
  <c r="AJ27" i="8" l="1"/>
  <c r="AF27" i="8"/>
  <c r="AQ22" i="3"/>
  <c r="AG22" i="3"/>
  <c r="AP22" i="3"/>
  <c r="Y28" i="8" a="1"/>
  <c r="Y28" i="8" s="1"/>
  <c r="AA27" i="8" l="1"/>
  <c r="M28" i="8"/>
  <c r="AG27" i="8"/>
  <c r="AF23" i="3"/>
  <c r="AS22" i="3"/>
  <c r="AR22" i="3"/>
  <c r="AG23" i="3" l="1"/>
  <c r="AQ23" i="3"/>
  <c r="AP23" i="3"/>
  <c r="S28" i="8"/>
  <c r="T28" i="8" s="1"/>
  <c r="N28" i="8"/>
  <c r="M29" i="8" s="1"/>
  <c r="AH27" i="8"/>
  <c r="AB27" i="8" s="1"/>
  <c r="S29" i="8" l="1"/>
  <c r="T29" i="8" s="1"/>
  <c r="N29" i="8"/>
  <c r="M30" i="8" s="1"/>
  <c r="AF24" i="3"/>
  <c r="AS23" i="3"/>
  <c r="AR23" i="3"/>
  <c r="N30" i="8" l="1"/>
  <c r="M31" i="8" s="1"/>
  <c r="S30" i="8"/>
  <c r="T30" i="8" s="1"/>
  <c r="AG24" i="3"/>
  <c r="AQ24" i="3"/>
  <c r="AP24" i="3"/>
  <c r="AS24" i="3" l="1"/>
  <c r="AF25" i="3"/>
  <c r="AR24" i="3"/>
  <c r="S31" i="8"/>
  <c r="T31" i="8" s="1"/>
  <c r="N31" i="8"/>
  <c r="M32" i="8" s="1"/>
  <c r="S32" i="8" l="1"/>
  <c r="T32" i="8" s="1"/>
  <c r="N32" i="8"/>
  <c r="M33" i="8" s="1"/>
  <c r="AG25" i="3"/>
  <c r="AQ25" i="3"/>
  <c r="AP25" i="3"/>
  <c r="AR25" i="3" l="1"/>
  <c r="AF26" i="3"/>
  <c r="AS25" i="3"/>
  <c r="N33" i="8"/>
  <c r="M34" i="8" s="1"/>
  <c r="S33" i="8"/>
  <c r="T33" i="8" s="1"/>
  <c r="S34" i="8" l="1"/>
  <c r="T34" i="8" s="1"/>
  <c r="N34" i="8"/>
  <c r="M35" i="8" s="1"/>
  <c r="AQ26" i="3"/>
  <c r="AG26" i="3"/>
  <c r="AP26" i="3"/>
  <c r="AR26" i="3" l="1"/>
  <c r="AF27" i="3"/>
  <c r="AS26" i="3"/>
  <c r="N35" i="8"/>
  <c r="M36" i="8" s="1"/>
  <c r="S35" i="8"/>
  <c r="T35" i="8" s="1"/>
  <c r="S36" i="8" l="1"/>
  <c r="T36" i="8" s="1"/>
  <c r="N36" i="8"/>
  <c r="M37" i="8" s="1"/>
  <c r="AG27" i="3"/>
  <c r="AQ27" i="3"/>
  <c r="AP27" i="3"/>
  <c r="AF28" i="3" l="1"/>
  <c r="AS27" i="3"/>
  <c r="AR27" i="3"/>
  <c r="S37" i="8"/>
  <c r="T37" i="8" s="1"/>
  <c r="N37" i="8"/>
  <c r="M38" i="8" s="1"/>
  <c r="S38" i="8" l="1"/>
  <c r="T38" i="8" s="1"/>
  <c r="N38" i="8"/>
  <c r="M39" i="8" s="1"/>
  <c r="AG28" i="3"/>
  <c r="AQ28" i="3"/>
  <c r="AP28" i="3"/>
  <c r="AF29" i="3" l="1"/>
  <c r="AR28" i="3"/>
  <c r="AS28" i="3"/>
  <c r="S39" i="8"/>
  <c r="T39" i="8" s="1"/>
  <c r="N39" i="8"/>
  <c r="M40" i="8" s="1"/>
  <c r="S40" i="8" l="1"/>
  <c r="T40" i="8" s="1"/>
  <c r="N40" i="8"/>
  <c r="M41" i="8" s="1"/>
  <c r="AG29" i="3"/>
  <c r="AQ29" i="3"/>
  <c r="AP29" i="3"/>
  <c r="AR29" i="3" l="1"/>
  <c r="AS29" i="3"/>
  <c r="AF30" i="3"/>
  <c r="S41" i="8"/>
  <c r="T41" i="8" s="1"/>
  <c r="N41" i="8"/>
  <c r="M42" i="8" s="1"/>
  <c r="S42" i="8" l="1"/>
  <c r="T42" i="8" s="1"/>
  <c r="N42" i="8"/>
  <c r="M43" i="8" s="1"/>
  <c r="AQ30" i="3"/>
  <c r="AP30" i="3"/>
  <c r="AG30" i="3"/>
  <c r="AR30" i="3" l="1"/>
  <c r="AS30" i="3"/>
  <c r="AF31" i="3"/>
  <c r="N43" i="8"/>
  <c r="M44" i="8" s="1"/>
  <c r="S43" i="8"/>
  <c r="T43" i="8" s="1"/>
  <c r="S44" i="8" l="1"/>
  <c r="T44" i="8" s="1"/>
  <c r="N44" i="8"/>
  <c r="M45" i="8" s="1"/>
  <c r="AQ31" i="3"/>
  <c r="AP31" i="3"/>
  <c r="AG31" i="3"/>
  <c r="AR31" i="3" l="1"/>
  <c r="AS31" i="3"/>
  <c r="AF32" i="3"/>
  <c r="S45" i="8"/>
  <c r="T45" i="8" s="1"/>
  <c r="N45" i="8"/>
  <c r="M46" i="8" s="1"/>
  <c r="S46" i="8" l="1"/>
  <c r="T46" i="8" s="1"/>
  <c r="N46" i="8"/>
  <c r="M47" i="8" s="1"/>
  <c r="AQ32" i="3"/>
  <c r="AP32" i="3"/>
  <c r="AG32" i="3"/>
  <c r="AS32" i="3" l="1"/>
  <c r="AR32" i="3"/>
  <c r="AF33" i="3"/>
  <c r="S47" i="8"/>
  <c r="T47" i="8" s="1"/>
  <c r="N47" i="8"/>
  <c r="M48" i="8" s="1"/>
  <c r="S48" i="8" l="1"/>
  <c r="T48" i="8" s="1"/>
  <c r="N48" i="8"/>
  <c r="M49" i="8" s="1"/>
  <c r="AQ33" i="3"/>
  <c r="AP33" i="3"/>
  <c r="AG33" i="3"/>
  <c r="AK33" i="3"/>
  <c r="AL33" i="3"/>
  <c r="AK31" i="3"/>
  <c r="AL31" i="3"/>
  <c r="AL32" i="3"/>
  <c r="AK30" i="3"/>
  <c r="AK32" i="3"/>
  <c r="AL30" i="3"/>
  <c r="AS33" i="3" l="1"/>
  <c r="AR33" i="3"/>
  <c r="AF34" i="3"/>
  <c r="Z28" i="8" a="1"/>
  <c r="Z28" i="8" s="1"/>
  <c r="N49" i="8"/>
  <c r="M50" i="8" s="1"/>
  <c r="S49" i="8"/>
  <c r="T49" i="8" s="1"/>
  <c r="N50" i="8" l="1"/>
  <c r="M51" i="8" s="1"/>
  <c r="S50" i="8"/>
  <c r="T50" i="8" s="1"/>
  <c r="AF28" i="8"/>
  <c r="AJ28" i="8"/>
  <c r="AQ34" i="3"/>
  <c r="AG34" i="3"/>
  <c r="AP34" i="3"/>
  <c r="Y32" i="8" a="1"/>
  <c r="Y32" i="8" s="1"/>
  <c r="AR34" i="3" l="1"/>
  <c r="AS34" i="3"/>
  <c r="AF35" i="3"/>
  <c r="S51" i="8"/>
  <c r="T51" i="8" s="1"/>
  <c r="N51" i="8"/>
  <c r="M52" i="8" s="1"/>
  <c r="AQ35" i="3" l="1"/>
  <c r="AP35" i="3"/>
  <c r="AG35" i="3"/>
  <c r="S52" i="8"/>
  <c r="T52" i="8" s="1"/>
  <c r="N52" i="8"/>
  <c r="M53" i="8" s="1"/>
  <c r="N53" i="8" l="1"/>
  <c r="M54" i="8" s="1"/>
  <c r="S53" i="8"/>
  <c r="T53" i="8" s="1"/>
  <c r="AR35" i="3"/>
  <c r="AS35" i="3"/>
  <c r="AF36" i="3"/>
  <c r="AQ36" i="3" l="1"/>
  <c r="AP36" i="3"/>
  <c r="AG36" i="3"/>
  <c r="S54" i="8"/>
  <c r="T54" i="8" s="1"/>
  <c r="N54" i="8"/>
  <c r="M55" i="8" s="1"/>
  <c r="S55" i="8" l="1"/>
  <c r="T55" i="8" s="1"/>
  <c r="N55" i="8"/>
  <c r="M56" i="8" s="1"/>
  <c r="AR36" i="3"/>
  <c r="AF37" i="3"/>
  <c r="AS36" i="3"/>
  <c r="AP37" i="3" l="1"/>
  <c r="AG37" i="3"/>
  <c r="AQ37" i="3"/>
  <c r="N56" i="8"/>
  <c r="M57" i="8" s="1"/>
  <c r="S56" i="8"/>
  <c r="T56" i="8" s="1"/>
  <c r="S57" i="8" l="1"/>
  <c r="T57" i="8" s="1"/>
  <c r="N57" i="8"/>
  <c r="AF38" i="3"/>
  <c r="AS37" i="3"/>
  <c r="AR37" i="3"/>
  <c r="AQ38" i="3" l="1"/>
  <c r="AG38" i="3"/>
  <c r="AP38" i="3"/>
  <c r="AS38" i="3" l="1"/>
  <c r="AF39" i="3"/>
  <c r="AR38" i="3"/>
  <c r="AP39" i="3" l="1"/>
  <c r="AQ39" i="3"/>
  <c r="AG39" i="3"/>
  <c r="AL39" i="3"/>
  <c r="AK39" i="3"/>
  <c r="AK38" i="3"/>
  <c r="AK37" i="3"/>
  <c r="AL38" i="3"/>
  <c r="AL37" i="3"/>
  <c r="AL35" i="3"/>
  <c r="AK35" i="3"/>
  <c r="AF40" i="3" l="1"/>
  <c r="AS39" i="3"/>
  <c r="AR39" i="3"/>
  <c r="Z32" i="8" a="1"/>
  <c r="Z32" i="8" s="1"/>
  <c r="AJ32" i="8" l="1"/>
  <c r="AF32" i="8"/>
  <c r="AG40" i="3"/>
  <c r="AP40" i="3"/>
  <c r="AQ40" i="3"/>
  <c r="AL40" i="3"/>
  <c r="AK40" i="3"/>
  <c r="Y33" i="8" a="1"/>
  <c r="Y33" i="8" s="1"/>
  <c r="AG32" i="8" l="1"/>
  <c r="AA32" i="8"/>
  <c r="AS40" i="3"/>
  <c r="AF41" i="3"/>
  <c r="AR40" i="3"/>
  <c r="Z33" i="8" a="1"/>
  <c r="Z33" i="8" s="1"/>
  <c r="AJ33" i="8" s="1"/>
  <c r="AP41" i="3" l="1"/>
  <c r="AG41" i="3"/>
  <c r="AQ41" i="3"/>
  <c r="Y29" i="8" a="1"/>
  <c r="Y29" i="8" s="1"/>
  <c r="AH32" i="8"/>
  <c r="AB32" i="8" s="1"/>
  <c r="AF33" i="8"/>
  <c r="AA28" i="8" l="1"/>
  <c r="AG28" i="8"/>
  <c r="AS41" i="3"/>
  <c r="AR41" i="3"/>
  <c r="AF42" i="3"/>
  <c r="AQ42" i="3" l="1"/>
  <c r="AP42" i="3"/>
  <c r="AG42" i="3"/>
  <c r="AH28" i="8"/>
  <c r="AB28" i="8" s="1"/>
  <c r="AS42" i="3" l="1"/>
  <c r="AF43" i="3"/>
  <c r="AR42" i="3"/>
  <c r="AQ43" i="3" l="1"/>
  <c r="AP43" i="3"/>
  <c r="AG43" i="3"/>
  <c r="AS43" i="3" l="1"/>
  <c r="AR43" i="3"/>
  <c r="AF44" i="3"/>
  <c r="AP44" i="3" l="1"/>
  <c r="AQ44" i="3"/>
  <c r="AG44" i="3"/>
  <c r="AF45" i="3" l="1"/>
  <c r="AS44" i="3"/>
  <c r="AR44" i="3"/>
  <c r="AQ45" i="3" l="1"/>
  <c r="AP45" i="3"/>
  <c r="AG45" i="3"/>
  <c r="AL45" i="3"/>
  <c r="AK45" i="3"/>
  <c r="AL44" i="3"/>
  <c r="AK44" i="3"/>
  <c r="AL43" i="3"/>
  <c r="AK43" i="3"/>
  <c r="AL42" i="3"/>
  <c r="AK42" i="3"/>
  <c r="AF46" i="3" l="1"/>
  <c r="AS45" i="3"/>
  <c r="AR45" i="3"/>
  <c r="Z29" i="8" a="1"/>
  <c r="Z29" i="8" s="1"/>
  <c r="AJ29" i="8" l="1"/>
  <c r="AF29" i="8"/>
  <c r="AQ46" i="3"/>
  <c r="AP46" i="3"/>
  <c r="AG46" i="3"/>
  <c r="Y30" i="8" a="1"/>
  <c r="Y30" i="8" s="1"/>
  <c r="AG29" i="8" l="1"/>
  <c r="AA29" i="8"/>
  <c r="AF47" i="3"/>
  <c r="AS46" i="3"/>
  <c r="AR46" i="3"/>
  <c r="AH29" i="8" l="1"/>
  <c r="AB29" i="8" s="1"/>
  <c r="AP47" i="3"/>
  <c r="AQ47" i="3"/>
  <c r="AG47" i="3"/>
  <c r="AL47" i="3"/>
  <c r="AK47" i="3"/>
  <c r="AL46" i="3"/>
  <c r="AK46" i="3"/>
  <c r="AR47" i="3" l="1"/>
  <c r="AS47" i="3"/>
  <c r="AF48" i="3"/>
  <c r="Z30" i="8" a="1"/>
  <c r="Z30" i="8" s="1"/>
  <c r="AJ30" i="8" l="1"/>
  <c r="AF30" i="8"/>
  <c r="AQ48" i="3"/>
  <c r="AP48" i="3"/>
  <c r="AG48" i="3"/>
  <c r="Y31" i="8" a="1"/>
  <c r="Y31" i="8" s="1"/>
  <c r="AA30" i="8" l="1"/>
  <c r="AG30" i="8"/>
  <c r="AA31" i="8"/>
  <c r="AS48" i="3"/>
  <c r="AR48" i="3"/>
  <c r="AF49" i="3"/>
  <c r="AQ49" i="3" l="1"/>
  <c r="AP49" i="3"/>
  <c r="AG49" i="3"/>
  <c r="AH30" i="8"/>
  <c r="AB30" i="8" s="1"/>
  <c r="AS49" i="3" l="1"/>
  <c r="AR49" i="3"/>
  <c r="AF50" i="3"/>
  <c r="AQ50" i="3" l="1"/>
  <c r="AP50" i="3"/>
  <c r="AG50" i="3"/>
  <c r="AR50" i="3" l="1"/>
  <c r="AS50" i="3"/>
  <c r="AF51" i="3"/>
  <c r="AP51" i="3" l="1"/>
  <c r="AQ51" i="3"/>
  <c r="AG51" i="3"/>
  <c r="AL51" i="3"/>
  <c r="AK51" i="3"/>
  <c r="AL50" i="3"/>
  <c r="AK50" i="3"/>
  <c r="AL48" i="3"/>
  <c r="AK48" i="3"/>
  <c r="AS51" i="3" l="1"/>
  <c r="AR51" i="3"/>
  <c r="AF52" i="3"/>
  <c r="Z31" i="8" a="1"/>
  <c r="Z31" i="8" s="1"/>
  <c r="AG52" i="3" l="1"/>
  <c r="AQ52" i="3"/>
  <c r="AP52" i="3"/>
  <c r="AJ31" i="8"/>
  <c r="AG31" i="8"/>
  <c r="AF31" i="8"/>
  <c r="AH31" i="8" l="1"/>
  <c r="AB31" i="8" s="1"/>
  <c r="AF53" i="3"/>
  <c r="AS52" i="3"/>
  <c r="AR52" i="3"/>
  <c r="AQ53" i="3" l="1"/>
  <c r="AP53" i="3"/>
  <c r="AG53" i="3"/>
  <c r="AF54" i="3" l="1"/>
  <c r="AS53" i="3"/>
  <c r="AR53" i="3"/>
  <c r="AQ54" i="3" l="1"/>
  <c r="AG54" i="3"/>
  <c r="AP54" i="3"/>
  <c r="AS54" i="3" l="1"/>
  <c r="AF55" i="3"/>
  <c r="AR54" i="3"/>
  <c r="AP55" i="3" l="1"/>
  <c r="AQ55" i="3"/>
  <c r="AG55" i="3"/>
  <c r="Y34" i="8" a="1"/>
  <c r="Y34" i="8" s="1"/>
  <c r="AA33" i="8" l="1"/>
  <c r="AG33" i="8"/>
  <c r="AF56" i="3"/>
  <c r="AR55" i="3"/>
  <c r="AS55" i="3"/>
  <c r="AG56" i="3" l="1"/>
  <c r="AQ56" i="3"/>
  <c r="AP56" i="3"/>
  <c r="AH33" i="8"/>
  <c r="AB33" i="8" s="1"/>
  <c r="AS56" i="3" l="1"/>
  <c r="AF57" i="3"/>
  <c r="AR56" i="3"/>
  <c r="AP57" i="3" l="1"/>
  <c r="AG57" i="3"/>
  <c r="AQ57" i="3"/>
  <c r="AK57" i="3"/>
  <c r="AL57" i="3"/>
  <c r="AS57" i="3" l="1"/>
  <c r="AF58" i="3"/>
  <c r="AR57" i="3"/>
  <c r="AQ58" i="3" l="1"/>
  <c r="AG58" i="3"/>
  <c r="AP58" i="3"/>
  <c r="AR58" i="3" l="1"/>
  <c r="AF59" i="3"/>
  <c r="AS58" i="3"/>
  <c r="AP59" i="3" l="1"/>
  <c r="AQ59" i="3"/>
  <c r="AG59" i="3"/>
  <c r="AR59" i="3" l="1"/>
  <c r="AF60" i="3"/>
  <c r="AS59" i="3"/>
  <c r="AQ60" i="3" l="1"/>
  <c r="AP60" i="3"/>
  <c r="AG60" i="3"/>
  <c r="Y36" i="8" a="1"/>
  <c r="Y36" i="8" s="1"/>
  <c r="AF61" i="3" l="1"/>
  <c r="AS60" i="3"/>
  <c r="AR60" i="3"/>
  <c r="AP61" i="3" l="1"/>
  <c r="AG61" i="3"/>
  <c r="AQ61" i="3"/>
  <c r="AF62" i="3" l="1"/>
  <c r="AS61" i="3"/>
  <c r="AR61" i="3"/>
  <c r="AQ62" i="3" l="1"/>
  <c r="AP62" i="3"/>
  <c r="AG62" i="3"/>
  <c r="Y44" i="8" a="1"/>
  <c r="Y44" i="8" s="1"/>
  <c r="AF63" i="3" l="1"/>
  <c r="AS62" i="3"/>
  <c r="AR62" i="3"/>
  <c r="AP63" i="3" l="1"/>
  <c r="AG63" i="3"/>
  <c r="AQ63" i="3"/>
  <c r="AL63" i="3"/>
  <c r="AK63" i="3"/>
  <c r="AK62" i="3"/>
  <c r="AL62" i="3"/>
  <c r="AF64" i="3" l="1"/>
  <c r="AS63" i="3"/>
  <c r="AR63" i="3"/>
  <c r="Z44" i="8" a="1"/>
  <c r="Z44" i="8" s="1"/>
  <c r="Y45" i="8" l="1" a="1"/>
  <c r="Y45" i="8" s="1"/>
  <c r="AJ44" i="8"/>
  <c r="AF44" i="8"/>
  <c r="AQ64" i="3"/>
  <c r="AG64" i="3"/>
  <c r="AP64" i="3"/>
  <c r="Y40" i="8" a="1"/>
  <c r="Y40" i="8" s="1"/>
  <c r="AL64" i="3"/>
  <c r="AK64" i="3"/>
  <c r="AF65" i="3" l="1"/>
  <c r="AS64" i="3"/>
  <c r="AR64" i="3"/>
  <c r="Z40" i="8" a="1"/>
  <c r="Z40" i="8" s="1"/>
  <c r="AJ40" i="8" s="1"/>
  <c r="AG44" i="8"/>
  <c r="AA44" i="8"/>
  <c r="Z45" i="8" a="1"/>
  <c r="Z45" i="8" s="1"/>
  <c r="AF45" i="8" s="1"/>
  <c r="AF40" i="8" l="1"/>
  <c r="Y46" i="8" a="1"/>
  <c r="Y46" i="8" s="1"/>
  <c r="AJ45" i="8"/>
  <c r="AH44" i="8"/>
  <c r="AB44" i="8" s="1"/>
  <c r="AQ65" i="3"/>
  <c r="AP65" i="3"/>
  <c r="AG65" i="3"/>
  <c r="AR65" i="3" l="1"/>
  <c r="AF66" i="3"/>
  <c r="AS65" i="3"/>
  <c r="AG45" i="8"/>
  <c r="AA45" i="8"/>
  <c r="Z46" i="8" a="1"/>
  <c r="Z46" i="8" s="1"/>
  <c r="AJ46" i="8" s="1"/>
  <c r="AH45" i="8" l="1"/>
  <c r="AB45" i="8" s="1"/>
  <c r="AF46" i="8"/>
  <c r="AQ66" i="3"/>
  <c r="AG66" i="3"/>
  <c r="AP66" i="3"/>
  <c r="AF67" i="3" l="1"/>
  <c r="AS66" i="3"/>
  <c r="AR66" i="3"/>
  <c r="AP67" i="3" l="1"/>
  <c r="AG67" i="3"/>
  <c r="AQ67" i="3"/>
  <c r="Y41" i="8" a="1"/>
  <c r="Y41" i="8" s="1"/>
  <c r="AK67" i="3"/>
  <c r="AL67" i="3"/>
  <c r="AG40" i="8" l="1"/>
  <c r="AA40" i="8"/>
  <c r="AS67" i="3"/>
  <c r="AF68" i="3"/>
  <c r="AR67" i="3"/>
  <c r="AQ68" i="3" l="1"/>
  <c r="AG68" i="3"/>
  <c r="AP68" i="3"/>
  <c r="AH40" i="8"/>
  <c r="AB40" i="8" s="1"/>
  <c r="AR68" i="3" l="1"/>
  <c r="AF69" i="3"/>
  <c r="AS68" i="3"/>
  <c r="AG69" i="3" l="1"/>
  <c r="AQ69" i="3"/>
  <c r="AP69" i="3"/>
  <c r="AF70" i="3" l="1"/>
  <c r="AR69" i="3"/>
  <c r="AS69" i="3"/>
  <c r="AQ70" i="3" l="1"/>
  <c r="AG70" i="3"/>
  <c r="AP70" i="3"/>
  <c r="AF71" i="3" l="1"/>
  <c r="AS70" i="3"/>
  <c r="AR70" i="3"/>
  <c r="AP71" i="3" l="1"/>
  <c r="AG71" i="3"/>
  <c r="AQ71" i="3"/>
  <c r="AF72" i="3" l="1"/>
  <c r="AS71" i="3"/>
  <c r="AR71" i="3"/>
  <c r="AQ72" i="3" l="1"/>
  <c r="AG72" i="3"/>
  <c r="AP72" i="3"/>
  <c r="Y47" i="8" a="1"/>
  <c r="Y47" i="8" s="1"/>
  <c r="AG46" i="8" l="1"/>
  <c r="AA46" i="8"/>
  <c r="AF73" i="3"/>
  <c r="AS72" i="3"/>
  <c r="AR72" i="3"/>
  <c r="AH46" i="8" l="1"/>
  <c r="AB46" i="8" s="1"/>
  <c r="AQ73" i="3"/>
  <c r="AG73" i="3"/>
  <c r="AP73" i="3"/>
  <c r="AF74" i="3" l="1"/>
  <c r="AS73" i="3"/>
  <c r="AR73" i="3"/>
  <c r="AQ74" i="3" l="1"/>
  <c r="AG74" i="3"/>
  <c r="AP74" i="3"/>
  <c r="AF75" i="3" l="1"/>
  <c r="AS74" i="3"/>
  <c r="AR74" i="3"/>
  <c r="AP75" i="3" l="1"/>
  <c r="AG75" i="3"/>
  <c r="AQ75" i="3"/>
  <c r="AS75" i="3" l="1"/>
  <c r="AF76" i="3"/>
  <c r="AR75" i="3"/>
  <c r="AQ76" i="3" l="1"/>
  <c r="AG76" i="3"/>
  <c r="AP76" i="3"/>
  <c r="AR76" i="3" l="1"/>
  <c r="AF77" i="3"/>
  <c r="AS76" i="3"/>
  <c r="AG77" i="3" l="1"/>
  <c r="AQ77" i="3"/>
  <c r="AP77" i="3"/>
  <c r="AF78" i="3" l="1"/>
  <c r="AS77" i="3"/>
  <c r="AR77" i="3"/>
  <c r="AQ78" i="3" l="1"/>
  <c r="AG78" i="3"/>
  <c r="AP78" i="3"/>
  <c r="AF79" i="3" l="1"/>
  <c r="AR78" i="3"/>
  <c r="AS78" i="3"/>
  <c r="AP79" i="3" l="1"/>
  <c r="AG79" i="3"/>
  <c r="AQ79" i="3"/>
  <c r="AF80" i="3" l="1"/>
  <c r="AS79" i="3"/>
  <c r="AR79" i="3"/>
  <c r="AQ80" i="3" l="1"/>
  <c r="AG80" i="3"/>
  <c r="AP80" i="3"/>
  <c r="AF81" i="3" l="1"/>
  <c r="AS80" i="3"/>
  <c r="AR80" i="3"/>
  <c r="AQ81" i="3" l="1"/>
  <c r="AG81" i="3"/>
  <c r="AP81" i="3"/>
  <c r="AF82" i="3" l="1"/>
  <c r="AS81" i="3"/>
  <c r="AR81" i="3"/>
  <c r="AQ82" i="3" l="1"/>
  <c r="AG82" i="3"/>
  <c r="AP82" i="3"/>
  <c r="AF83" i="3" l="1"/>
  <c r="AS82" i="3"/>
  <c r="AR82" i="3"/>
  <c r="AP83" i="3" l="1"/>
  <c r="AG83" i="3"/>
  <c r="AQ83" i="3"/>
  <c r="AS83" i="3" l="1"/>
  <c r="AF84" i="3"/>
  <c r="AR83" i="3"/>
  <c r="AQ84" i="3" l="1"/>
  <c r="AG84" i="3"/>
  <c r="AP84" i="3"/>
  <c r="AR84" i="3" l="1"/>
  <c r="AF85" i="3"/>
  <c r="AS84" i="3"/>
  <c r="AQ85" i="3" l="1"/>
  <c r="AG85" i="3"/>
  <c r="AP85" i="3"/>
  <c r="AK85" i="3"/>
  <c r="AL85" i="3"/>
  <c r="AL84" i="3"/>
  <c r="AK84" i="3"/>
  <c r="AK83" i="3"/>
  <c r="AL83" i="3"/>
  <c r="AL82" i="3"/>
  <c r="AK82" i="3"/>
  <c r="AF86" i="3" l="1"/>
  <c r="AS85" i="3"/>
  <c r="AR85" i="3"/>
  <c r="Z47" i="8" a="1"/>
  <c r="Z47" i="8" s="1"/>
  <c r="Y48" i="8" l="1" a="1"/>
  <c r="Y48" i="8" s="1"/>
  <c r="AJ47" i="8"/>
  <c r="AF47" i="8"/>
  <c r="AQ86" i="3"/>
  <c r="AG86" i="3"/>
  <c r="AP86" i="3"/>
  <c r="AL86" i="3"/>
  <c r="AK86" i="3"/>
  <c r="Y49" i="8" a="1"/>
  <c r="Y49" i="8" s="1"/>
  <c r="AA48" i="8" l="1"/>
  <c r="AF87" i="3"/>
  <c r="AS86" i="3"/>
  <c r="AR86" i="3"/>
  <c r="Z49" i="8" a="1"/>
  <c r="Z49" i="8" s="1"/>
  <c r="AJ49" i="8" s="1"/>
  <c r="AA47" i="8"/>
  <c r="AG47" i="8"/>
  <c r="Z48" i="8" a="1"/>
  <c r="Z48" i="8" s="1"/>
  <c r="AJ48" i="8" s="1"/>
  <c r="AH47" i="8" l="1"/>
  <c r="AB47" i="8" s="1"/>
  <c r="AG48" i="8"/>
  <c r="AF48" i="8"/>
  <c r="AP87" i="3"/>
  <c r="AG87" i="3"/>
  <c r="AQ87" i="3"/>
  <c r="Y50" i="8" a="1"/>
  <c r="Y50" i="8" s="1"/>
  <c r="AF49" i="8"/>
  <c r="AG49" i="8" l="1"/>
  <c r="AA49" i="8"/>
  <c r="AF88" i="3"/>
  <c r="AS87" i="3"/>
  <c r="AR87" i="3"/>
  <c r="AH48" i="8"/>
  <c r="AB48" i="8" s="1"/>
  <c r="AQ88" i="3" l="1"/>
  <c r="AG88" i="3"/>
  <c r="AP88" i="3"/>
  <c r="Y51" i="8" a="1"/>
  <c r="Y51" i="8" s="1"/>
  <c r="AH49" i="8"/>
  <c r="AB49" i="8" s="1"/>
  <c r="AF89" i="3" l="1"/>
  <c r="AS88" i="3"/>
  <c r="AR88" i="3"/>
  <c r="AQ89" i="3" l="1"/>
  <c r="AG89" i="3"/>
  <c r="AP89" i="3"/>
  <c r="AF90" i="3" l="1"/>
  <c r="AR89" i="3"/>
  <c r="AS89" i="3"/>
  <c r="AQ90" i="3" l="1"/>
  <c r="AG90" i="3"/>
  <c r="AP90" i="3"/>
  <c r="AF91" i="3" l="1"/>
  <c r="AS90" i="3"/>
  <c r="AR90" i="3"/>
  <c r="AP91" i="3" l="1"/>
  <c r="AQ91" i="3"/>
  <c r="AG91" i="3"/>
  <c r="AS91" i="3" l="1"/>
  <c r="AR91" i="3"/>
  <c r="AF92" i="3"/>
  <c r="AQ92" i="3" l="1"/>
  <c r="AP92" i="3"/>
  <c r="AG92" i="3"/>
  <c r="AR92" i="3" l="1"/>
  <c r="AS92" i="3"/>
  <c r="AF93" i="3"/>
  <c r="AQ93" i="3" l="1"/>
  <c r="AP93" i="3"/>
  <c r="AG93" i="3"/>
  <c r="AL93" i="3"/>
  <c r="AK93" i="3"/>
  <c r="AS93" i="3" l="1"/>
  <c r="AR93" i="3"/>
  <c r="AF94" i="3"/>
  <c r="AQ94" i="3" l="1"/>
  <c r="AP94" i="3"/>
  <c r="AG94" i="3"/>
  <c r="Y56" i="8" a="1"/>
  <c r="Y56" i="8" s="1"/>
  <c r="AR94" i="3" l="1"/>
  <c r="AF95" i="3"/>
  <c r="AS94" i="3"/>
  <c r="AQ95" i="3" l="1"/>
  <c r="AP95" i="3"/>
  <c r="AG95" i="3"/>
  <c r="AF96" i="3" l="1"/>
  <c r="AR95" i="3"/>
  <c r="AS95" i="3"/>
  <c r="AP96" i="3" l="1"/>
  <c r="AN96" i="3"/>
  <c r="AG96" i="3"/>
  <c r="AQ96" i="3"/>
  <c r="AK96" i="3"/>
  <c r="AL96" i="3"/>
  <c r="AN95" i="3"/>
  <c r="AK95" i="3"/>
  <c r="AK94" i="3"/>
  <c r="AL95" i="3"/>
  <c r="AN94" i="3"/>
  <c r="AL94" i="3"/>
  <c r="AN92" i="3"/>
  <c r="AN93" i="3"/>
  <c r="AF97" i="3" l="1"/>
  <c r="AR96" i="3"/>
  <c r="AS96" i="3"/>
  <c r="AP97" i="3" l="1"/>
  <c r="AQ97" i="3"/>
  <c r="AG97" i="3"/>
  <c r="AK97" i="3"/>
  <c r="Y58" i="8" a="1"/>
  <c r="Y58" i="8" s="1"/>
  <c r="AL97" i="3"/>
  <c r="M58" i="8" l="1"/>
  <c r="AF98" i="3"/>
  <c r="AS97" i="3"/>
  <c r="AR97" i="3"/>
  <c r="AQ98" i="3" l="1"/>
  <c r="AP98" i="3"/>
  <c r="AG98" i="3"/>
  <c r="Y60" i="8" a="1"/>
  <c r="Y60" i="8" s="1"/>
  <c r="S58" i="8"/>
  <c r="N58" i="8"/>
  <c r="M59" i="8" s="1"/>
  <c r="S59" i="8" l="1"/>
  <c r="T59" i="8" s="1"/>
  <c r="N59" i="8"/>
  <c r="M60" i="8" s="1"/>
  <c r="T58" i="8"/>
  <c r="AF99" i="3"/>
  <c r="AS98" i="3"/>
  <c r="AR98" i="3"/>
  <c r="AP99" i="3" l="1"/>
  <c r="AQ99" i="3"/>
  <c r="AG99" i="3"/>
  <c r="AL99" i="3"/>
  <c r="AK99" i="3"/>
  <c r="Y62" i="8" a="1"/>
  <c r="Y62" i="8" s="1"/>
  <c r="N60" i="8"/>
  <c r="M61" i="8" s="1"/>
  <c r="S60" i="8"/>
  <c r="T60" i="8" l="1"/>
  <c r="S61" i="8"/>
  <c r="T61" i="8" s="1"/>
  <c r="N61" i="8"/>
  <c r="M62" i="8" s="1"/>
  <c r="AS99" i="3"/>
  <c r="AF100" i="3"/>
  <c r="AR99" i="3"/>
  <c r="AG100" i="3" l="1"/>
  <c r="AQ100" i="3"/>
  <c r="AP100" i="3"/>
  <c r="Y63" i="8" a="1"/>
  <c r="Y63" i="8" s="1"/>
  <c r="N62" i="8"/>
  <c r="M63" i="8" s="1"/>
  <c r="S62" i="8"/>
  <c r="T62" i="8" l="1"/>
  <c r="N63" i="8"/>
  <c r="M64" i="8" s="1"/>
  <c r="S63" i="8"/>
  <c r="T63" i="8" s="1"/>
  <c r="AF101" i="3"/>
  <c r="AS100" i="3"/>
  <c r="AR100" i="3"/>
  <c r="AP101" i="3" l="1"/>
  <c r="AQ101" i="3"/>
  <c r="AG101" i="3"/>
  <c r="AK101" i="3"/>
  <c r="AL101" i="3"/>
  <c r="AL100" i="3"/>
  <c r="AK100" i="3"/>
  <c r="S64" i="8"/>
  <c r="T64" i="8" s="1"/>
  <c r="N64" i="8"/>
  <c r="M65" i="8" s="1"/>
  <c r="N65" i="8" l="1"/>
  <c r="M66" i="8" s="1"/>
  <c r="S65" i="8"/>
  <c r="T65" i="8" s="1"/>
  <c r="AS101" i="3"/>
  <c r="AF102" i="3"/>
  <c r="AR101" i="3"/>
  <c r="AP102" i="3" l="1"/>
  <c r="AG102" i="3"/>
  <c r="AQ102" i="3"/>
  <c r="Y64" i="8" a="1"/>
  <c r="Y64" i="8" s="1"/>
  <c r="S66" i="8"/>
  <c r="T66" i="8" s="1"/>
  <c r="N66" i="8"/>
  <c r="M67" i="8" s="1"/>
  <c r="S67" i="8" l="1"/>
  <c r="T67" i="8" s="1"/>
  <c r="N67" i="8"/>
  <c r="M68" i="8" s="1"/>
  <c r="AF103" i="3"/>
  <c r="AR102" i="3"/>
  <c r="AS102" i="3"/>
  <c r="S68" i="8" l="1"/>
  <c r="T68" i="8" s="1"/>
  <c r="N68" i="8"/>
  <c r="M69" i="8" s="1"/>
  <c r="AQ103" i="3"/>
  <c r="AP103" i="3"/>
  <c r="AG103" i="3"/>
  <c r="AR103" i="3" l="1"/>
  <c r="AS103" i="3"/>
  <c r="AF104" i="3"/>
  <c r="S69" i="8"/>
  <c r="T69" i="8" s="1"/>
  <c r="N69" i="8"/>
  <c r="M70" i="8" s="1"/>
  <c r="S70" i="8" l="1"/>
  <c r="T70" i="8" s="1"/>
  <c r="N70" i="8"/>
  <c r="M71" i="8" s="1"/>
  <c r="AQ104" i="3"/>
  <c r="AP104" i="3"/>
  <c r="AG104" i="3"/>
  <c r="AK104" i="3"/>
  <c r="AL104" i="3"/>
  <c r="AL102" i="3"/>
  <c r="AK102" i="3"/>
  <c r="AF105" i="3" l="1"/>
  <c r="AS104" i="3"/>
  <c r="AR104" i="3"/>
  <c r="S71" i="8"/>
  <c r="T71" i="8" s="1"/>
  <c r="N71" i="8"/>
  <c r="M72" i="8" s="1"/>
  <c r="N72" i="8" l="1"/>
  <c r="M73" i="8" s="1"/>
  <c r="S72" i="8"/>
  <c r="T72" i="8" s="1"/>
  <c r="AP105" i="3"/>
  <c r="AG105" i="3"/>
  <c r="AQ105" i="3"/>
  <c r="AR105" i="3" l="1"/>
  <c r="AF106" i="3"/>
  <c r="AS105" i="3"/>
  <c r="S73" i="8"/>
  <c r="T73" i="8" s="1"/>
  <c r="N73" i="8"/>
  <c r="M74" i="8" s="1"/>
  <c r="AP106" i="3" l="1"/>
  <c r="AQ106" i="3"/>
  <c r="AG106" i="3"/>
  <c r="N74" i="8"/>
  <c r="M75" i="8" s="1"/>
  <c r="S74" i="8"/>
  <c r="T74" i="8" s="1"/>
  <c r="S75" i="8" l="1"/>
  <c r="T75" i="8" s="1"/>
  <c r="N75" i="8"/>
  <c r="M76" i="8" s="1"/>
  <c r="AR106" i="3"/>
  <c r="AF107" i="3"/>
  <c r="AS106" i="3"/>
  <c r="AQ107" i="3" l="1"/>
  <c r="AG107" i="3"/>
  <c r="AP107" i="3"/>
  <c r="AL107" i="3"/>
  <c r="AK107" i="3"/>
  <c r="Y66" i="8" a="1"/>
  <c r="Y66" i="8" s="1"/>
  <c r="N76" i="8"/>
  <c r="M77" i="8" s="1"/>
  <c r="S76" i="8"/>
  <c r="T76" i="8" s="1"/>
  <c r="S77" i="8" l="1"/>
  <c r="T77" i="8" s="1"/>
  <c r="N77" i="8"/>
  <c r="M78" i="8" s="1"/>
  <c r="AR107" i="3"/>
  <c r="AF108" i="3"/>
  <c r="AS107" i="3"/>
  <c r="AQ108" i="3" l="1"/>
  <c r="AP108" i="3"/>
  <c r="AG108" i="3"/>
  <c r="Y68" i="8" a="1"/>
  <c r="Y68" i="8" s="1"/>
  <c r="AK108" i="3"/>
  <c r="AL108" i="3"/>
  <c r="N78" i="8"/>
  <c r="M79" i="8" s="1"/>
  <c r="S78" i="8"/>
  <c r="T78" i="8" s="1"/>
  <c r="AF109" i="3" l="1"/>
  <c r="AS108" i="3"/>
  <c r="AR108" i="3"/>
  <c r="S79" i="8"/>
  <c r="T79" i="8" s="1"/>
  <c r="N79" i="8"/>
  <c r="M80" i="8" s="1"/>
  <c r="S80" i="8" l="1"/>
  <c r="T80" i="8" s="1"/>
  <c r="N80" i="8"/>
  <c r="M81" i="8" s="1"/>
  <c r="AP109" i="3"/>
  <c r="AQ109" i="3"/>
  <c r="AG109" i="3"/>
  <c r="AL109" i="3"/>
  <c r="Y69" i="8" a="1"/>
  <c r="Y69" i="8" s="1"/>
  <c r="AK109" i="3"/>
  <c r="AF110" i="3" l="1"/>
  <c r="AS109" i="3"/>
  <c r="AR109" i="3"/>
  <c r="S81" i="8"/>
  <c r="T81" i="8" s="1"/>
  <c r="N81" i="8"/>
  <c r="M82" i="8" s="1"/>
  <c r="N82" i="8" l="1"/>
  <c r="M83" i="8" s="1"/>
  <c r="S82" i="8"/>
  <c r="T82" i="8" s="1"/>
  <c r="AP110" i="3"/>
  <c r="AG110" i="3"/>
  <c r="AQ110" i="3"/>
  <c r="AF111" i="3" l="1"/>
  <c r="AS110" i="3"/>
  <c r="AR110" i="3"/>
  <c r="S83" i="8"/>
  <c r="T83" i="8" s="1"/>
  <c r="N83" i="8"/>
  <c r="M84" i="8" s="1"/>
  <c r="N84" i="8" l="1"/>
  <c r="S84" i="8"/>
  <c r="T84" i="8" s="1"/>
  <c r="AP111" i="3"/>
  <c r="AQ111" i="3"/>
  <c r="AG111" i="3"/>
  <c r="AS111" i="3" l="1"/>
  <c r="AF112" i="3"/>
  <c r="AR111" i="3"/>
  <c r="AP112" i="3" l="1"/>
  <c r="AQ112" i="3"/>
  <c r="AG112" i="3"/>
  <c r="AK112" i="3"/>
  <c r="Y71" i="8" a="1"/>
  <c r="Y71" i="8" s="1"/>
  <c r="AL112" i="3"/>
  <c r="AR112" i="3" l="1"/>
  <c r="AF113" i="3"/>
  <c r="AS112" i="3"/>
  <c r="AP113" i="3" l="1"/>
  <c r="AQ113" i="3"/>
  <c r="AG113" i="3"/>
  <c r="AK113" i="3"/>
  <c r="AL113" i="3"/>
  <c r="Y73" i="8" a="1"/>
  <c r="Y73" i="8" s="1"/>
  <c r="AR113" i="3" l="1"/>
  <c r="AF114" i="3"/>
  <c r="AS113" i="3"/>
  <c r="AP114" i="3" l="1"/>
  <c r="AQ114" i="3"/>
  <c r="AG114" i="3"/>
  <c r="Y74" i="8" a="1"/>
  <c r="Y74" i="8" s="1"/>
  <c r="AF115" i="3" l="1"/>
  <c r="AS114" i="3"/>
  <c r="AR114" i="3"/>
  <c r="AQ115" i="3" l="1"/>
  <c r="AP115" i="3"/>
  <c r="AG115" i="3"/>
  <c r="AF116" i="3" l="1"/>
  <c r="AR115" i="3"/>
  <c r="AS115" i="3"/>
  <c r="AQ116" i="3" l="1"/>
  <c r="AG116" i="3"/>
  <c r="AP116" i="3"/>
  <c r="AF117" i="3" l="1"/>
  <c r="AR116" i="3"/>
  <c r="AS116" i="3"/>
  <c r="AP117" i="3" l="1"/>
  <c r="AQ117" i="3"/>
  <c r="AG117" i="3"/>
  <c r="AS117" i="3" l="1"/>
  <c r="AF118" i="3"/>
  <c r="AR117" i="3"/>
  <c r="AP118" i="3" l="1"/>
  <c r="AQ118" i="3"/>
  <c r="AG118" i="3"/>
  <c r="AL118" i="3"/>
  <c r="AK118" i="3"/>
  <c r="AL117" i="3"/>
  <c r="AK117" i="3"/>
  <c r="AK115" i="3"/>
  <c r="AL115" i="3"/>
  <c r="AL114" i="3"/>
  <c r="AK114" i="3"/>
  <c r="AF119" i="3" l="1"/>
  <c r="AS118" i="3"/>
  <c r="AR118" i="3"/>
  <c r="AG119" i="3" l="1"/>
  <c r="AQ119" i="3"/>
  <c r="AP119" i="3"/>
  <c r="Y76" i="8" a="1"/>
  <c r="Y76" i="8" s="1"/>
  <c r="AS119" i="3" l="1"/>
  <c r="AF120" i="3"/>
  <c r="AR119" i="3"/>
  <c r="AG120" i="3" l="1"/>
  <c r="AQ120" i="3"/>
  <c r="AP120" i="3"/>
  <c r="AK120" i="3"/>
  <c r="AL120" i="3"/>
  <c r="Y77" i="8" a="1"/>
  <c r="Y77" i="8" s="1"/>
  <c r="AF121" i="3" l="1"/>
  <c r="AR120" i="3"/>
  <c r="AS120" i="3"/>
  <c r="AP121" i="3" l="1"/>
  <c r="AG121" i="3"/>
  <c r="AQ121" i="3"/>
  <c r="Y78" i="8" a="1"/>
  <c r="Y78" i="8" s="1"/>
  <c r="AS121" i="3" l="1"/>
  <c r="AF122" i="3"/>
  <c r="AR121" i="3"/>
  <c r="AP122" i="3" l="1"/>
  <c r="AQ122" i="3"/>
  <c r="AG122" i="3"/>
  <c r="AR122" i="3" l="1"/>
  <c r="AF123" i="3"/>
  <c r="AS122" i="3"/>
  <c r="AQ123" i="3" l="1"/>
  <c r="AP123" i="3"/>
  <c r="AG123" i="3"/>
  <c r="Y79" i="8" a="1"/>
  <c r="Y79" i="8" s="1"/>
  <c r="AR123" i="3" l="1"/>
  <c r="AF124" i="3"/>
  <c r="AS123" i="3"/>
  <c r="AP124" i="3" l="1"/>
  <c r="AG124" i="3"/>
  <c r="AQ124" i="3"/>
  <c r="AF125" i="3" l="1"/>
  <c r="AR124" i="3"/>
  <c r="AS124" i="3"/>
  <c r="AP125" i="3" l="1"/>
  <c r="AQ125" i="3"/>
  <c r="AG125" i="3"/>
  <c r="AR125" i="3" l="1"/>
  <c r="AF126" i="3"/>
  <c r="AS125" i="3"/>
  <c r="AP126" i="3" l="1"/>
  <c r="AG126" i="3"/>
  <c r="AQ126" i="3"/>
  <c r="AF127" i="3" l="1"/>
  <c r="AR126" i="3"/>
  <c r="AS126" i="3"/>
  <c r="AQ127" i="3" l="1"/>
  <c r="AP127" i="3"/>
  <c r="AG127" i="3"/>
  <c r="AF128" i="3" l="1"/>
  <c r="AS127" i="3"/>
  <c r="AR127" i="3"/>
  <c r="AQ128" i="3" l="1"/>
  <c r="AG128" i="3"/>
  <c r="AP128" i="3"/>
  <c r="AR128" i="3" l="1"/>
  <c r="AF129" i="3"/>
  <c r="AS128" i="3"/>
  <c r="AP129" i="3" l="1"/>
  <c r="AG129" i="3"/>
  <c r="AQ129" i="3"/>
  <c r="AK129" i="3"/>
  <c r="AL129" i="3"/>
  <c r="AL127" i="3"/>
  <c r="AK127" i="3"/>
  <c r="AL126" i="3"/>
  <c r="AK126" i="3"/>
  <c r="AL124" i="3"/>
  <c r="AK124" i="3"/>
  <c r="AF130" i="3" l="1"/>
  <c r="AS129" i="3"/>
  <c r="AR129" i="3"/>
  <c r="AP130" i="3" l="1"/>
  <c r="AQ130" i="3"/>
  <c r="AG130" i="3"/>
  <c r="AL130" i="3"/>
  <c r="Y80" i="8" a="1"/>
  <c r="Y80" i="8" s="1"/>
  <c r="AK130" i="3"/>
  <c r="AR130" i="3" l="1"/>
  <c r="AF131" i="3"/>
  <c r="AS130" i="3"/>
  <c r="AP131" i="3" l="1"/>
  <c r="AQ131" i="3"/>
  <c r="AG131" i="3"/>
  <c r="Y83" i="8" a="1"/>
  <c r="Y83" i="8" s="1"/>
  <c r="AF132" i="3" l="1"/>
  <c r="AS131" i="3"/>
  <c r="AR131" i="3"/>
  <c r="AG132" i="3" l="1"/>
  <c r="AP132" i="3"/>
  <c r="AQ132" i="3"/>
  <c r="AK132" i="3"/>
  <c r="AL132" i="3"/>
  <c r="Y81" i="8" a="1"/>
  <c r="Y81" i="8" s="1"/>
  <c r="AS132" i="3" l="1"/>
  <c r="AR132" i="3"/>
  <c r="AF133" i="3"/>
  <c r="AP133" i="3" l="1"/>
  <c r="AG133" i="3"/>
  <c r="AQ133" i="3"/>
  <c r="Y82" i="8" a="1"/>
  <c r="Y82" i="8" s="1"/>
  <c r="AS133" i="3" l="1"/>
  <c r="AR133" i="3"/>
  <c r="AF134" i="3"/>
  <c r="AP134" i="3" l="1"/>
  <c r="AQ134" i="3"/>
  <c r="AG134" i="3"/>
  <c r="AR134" i="3" l="1"/>
  <c r="AF135" i="3"/>
  <c r="AS134" i="3"/>
  <c r="AP135" i="3" l="1"/>
  <c r="AG135" i="3"/>
  <c r="AQ135" i="3"/>
  <c r="Y84" i="8" a="1"/>
  <c r="Y84" i="8" s="1"/>
  <c r="AS135" i="3" l="1"/>
  <c r="AR135" i="3"/>
  <c r="AF136" i="3"/>
  <c r="AP136" i="3" l="1"/>
  <c r="AQ136" i="3"/>
  <c r="AG136" i="3"/>
  <c r="AF137" i="3" l="1"/>
  <c r="AS136" i="3"/>
  <c r="AR136" i="3"/>
  <c r="AP137" i="3" l="1"/>
  <c r="AQ137" i="3"/>
  <c r="AG137" i="3"/>
  <c r="AN137" i="3"/>
  <c r="AL137" i="3"/>
  <c r="AK137" i="3"/>
  <c r="AL136" i="3"/>
  <c r="AN136" i="3"/>
  <c r="AK136" i="3"/>
  <c r="AN135" i="3"/>
  <c r="AL135" i="3"/>
  <c r="AK135" i="3"/>
  <c r="AN134" i="3"/>
  <c r="AN133" i="3"/>
  <c r="AF138" i="3" l="1"/>
  <c r="AS137" i="3"/>
  <c r="AR137" i="3"/>
  <c r="AP138" i="3" l="1"/>
  <c r="AQ138" i="3"/>
  <c r="AG138" i="3"/>
  <c r="Y86" i="8" a="1"/>
  <c r="Y86" i="8" s="1"/>
  <c r="AF139" i="3" l="1"/>
  <c r="AS138" i="3"/>
  <c r="AR138" i="3"/>
  <c r="AG139" i="3" l="1"/>
  <c r="AQ139" i="3"/>
  <c r="AP139" i="3"/>
  <c r="AR139" i="3" l="1"/>
  <c r="AS139" i="3"/>
  <c r="AF140" i="3"/>
  <c r="AP140" i="3" l="1"/>
  <c r="AQ140" i="3"/>
  <c r="AG140" i="3"/>
  <c r="AR140" i="3" l="1"/>
  <c r="AF141" i="3"/>
  <c r="AS140" i="3"/>
  <c r="AQ141" i="3" l="1"/>
  <c r="AP141" i="3"/>
  <c r="AG141" i="3"/>
  <c r="AR141" i="3" l="1"/>
  <c r="AF142" i="3"/>
  <c r="AS141" i="3"/>
  <c r="AG142" i="3" l="1"/>
  <c r="AP142" i="3"/>
  <c r="AQ142" i="3"/>
  <c r="AK142" i="3"/>
  <c r="AL142" i="3"/>
  <c r="AF143" i="3" l="1"/>
  <c r="AR142" i="3"/>
  <c r="AS142" i="3"/>
  <c r="Z86" i="8" a="1"/>
  <c r="Z86" i="8" s="1"/>
  <c r="AF86" i="8" s="1"/>
  <c r="AG143" i="3" l="1"/>
  <c r="AQ143" i="3"/>
  <c r="AP143" i="3"/>
  <c r="AK143" i="3"/>
  <c r="AL143" i="3"/>
  <c r="Y100" i="8" a="1"/>
  <c r="Y100" i="8" s="1"/>
  <c r="AS143" i="3" l="1"/>
  <c r="AF144" i="3"/>
  <c r="AR143" i="3"/>
  <c r="Z100" i="8" a="1"/>
  <c r="Z100" i="8" s="1"/>
  <c r="AF100" i="8" s="1"/>
  <c r="AQ144" i="3" l="1"/>
  <c r="AP144" i="3"/>
  <c r="AG144" i="3"/>
  <c r="AR144" i="3" l="1"/>
  <c r="AS144" i="3"/>
  <c r="AF145" i="3"/>
  <c r="AP145" i="3" l="1"/>
  <c r="AQ145" i="3"/>
  <c r="AG145" i="3"/>
  <c r="AF146" i="3" l="1"/>
  <c r="AR145" i="3"/>
  <c r="AS145" i="3"/>
  <c r="AQ146" i="3" l="1"/>
  <c r="AG146" i="3"/>
  <c r="AP146" i="3"/>
  <c r="Y93" i="8" a="1"/>
  <c r="Y93" i="8" s="1"/>
  <c r="Y95" i="8" a="1"/>
  <c r="Y95" i="8" s="1"/>
  <c r="AF147" i="3" l="1"/>
  <c r="AS146" i="3"/>
  <c r="AR146" i="3"/>
  <c r="AP147" i="3" l="1"/>
  <c r="AQ147" i="3"/>
  <c r="AG147" i="3"/>
  <c r="Y90" i="8" a="1"/>
  <c r="Y90" i="8" s="1"/>
  <c r="AR147" i="3" l="1"/>
  <c r="AF148" i="3"/>
  <c r="AS147" i="3"/>
  <c r="AG148" i="3" l="1"/>
  <c r="AQ148" i="3"/>
  <c r="AP148" i="3"/>
  <c r="AR148" i="3" l="1"/>
  <c r="AF149" i="3"/>
  <c r="AS148" i="3"/>
  <c r="AQ149" i="3" l="1"/>
  <c r="AP149" i="3"/>
  <c r="AG149" i="3"/>
  <c r="AF150" i="3" l="1"/>
  <c r="AS149" i="3"/>
  <c r="AR149" i="3"/>
  <c r="AG150" i="3" l="1"/>
  <c r="AQ150" i="3"/>
  <c r="AP150" i="3"/>
  <c r="AF151" i="3" l="1"/>
  <c r="AR150" i="3"/>
  <c r="AS150" i="3"/>
  <c r="AG151" i="3" l="1"/>
  <c r="AP151" i="3"/>
  <c r="AQ151" i="3"/>
  <c r="AF152" i="3" l="1"/>
  <c r="AS151" i="3"/>
  <c r="AR151" i="3"/>
  <c r="AQ152" i="3" l="1"/>
  <c r="AG152" i="3"/>
  <c r="AP152" i="3"/>
  <c r="AR152" i="3" l="1"/>
  <c r="AS152" i="3"/>
  <c r="AF153" i="3"/>
  <c r="AP153" i="3" l="1"/>
  <c r="AQ153" i="3"/>
  <c r="AG153" i="3"/>
  <c r="AR153" i="3" l="1"/>
  <c r="AF154" i="3"/>
  <c r="AS153" i="3"/>
  <c r="AQ154" i="3" l="1"/>
  <c r="AG154" i="3"/>
  <c r="AP154" i="3"/>
  <c r="AF155" i="3" l="1"/>
  <c r="AS154" i="3"/>
  <c r="AR154" i="3"/>
  <c r="AG155" i="3" l="1"/>
  <c r="AQ155" i="3"/>
  <c r="AP155" i="3"/>
  <c r="AS155" i="3" l="1"/>
  <c r="AR155" i="3"/>
  <c r="AF156" i="3"/>
  <c r="AG156" i="3" l="1"/>
  <c r="AQ156" i="3"/>
  <c r="AP156" i="3"/>
  <c r="AR156" i="3" l="1"/>
  <c r="AF157" i="3"/>
  <c r="AS156" i="3"/>
  <c r="AP157" i="3" l="1"/>
  <c r="AG157" i="3"/>
  <c r="AQ157" i="3"/>
  <c r="AF158" i="3" l="1"/>
  <c r="AS157" i="3"/>
  <c r="AR157" i="3"/>
  <c r="AQ158" i="3" l="1"/>
  <c r="AP158" i="3"/>
  <c r="AG158" i="3"/>
  <c r="AF159" i="3" l="1"/>
  <c r="AR158" i="3"/>
  <c r="AS158" i="3"/>
  <c r="AQ159" i="3" l="1"/>
  <c r="AP159" i="3"/>
  <c r="AG159" i="3"/>
  <c r="AS159" i="3" l="1"/>
  <c r="AF160" i="3"/>
  <c r="AR159" i="3"/>
  <c r="AQ160" i="3" l="1"/>
  <c r="AP160" i="3"/>
  <c r="AG160" i="3"/>
  <c r="AR160" i="3" l="1"/>
  <c r="AF161" i="3"/>
  <c r="AS160" i="3"/>
  <c r="AP161" i="3" l="1"/>
  <c r="AQ161" i="3"/>
  <c r="AG161" i="3"/>
  <c r="Y92" i="8" a="1"/>
  <c r="Y92" i="8" s="1"/>
  <c r="AR161" i="3" l="1"/>
  <c r="AS161" i="3"/>
  <c r="AF162" i="3"/>
  <c r="AP162" i="3" l="1"/>
  <c r="AG162" i="3"/>
  <c r="AQ162" i="3"/>
  <c r="AF163" i="3" l="1"/>
  <c r="AS162" i="3"/>
  <c r="AR162" i="3"/>
  <c r="AQ163" i="3" l="1"/>
  <c r="AP163" i="3"/>
  <c r="AG163" i="3"/>
  <c r="AF164" i="3" l="1"/>
  <c r="AS163" i="3"/>
  <c r="AR163" i="3"/>
  <c r="AQ164" i="3" l="1"/>
  <c r="AP164" i="3"/>
  <c r="AG164" i="3"/>
  <c r="AR164" i="3" l="1"/>
  <c r="AF165" i="3"/>
  <c r="AS164" i="3"/>
  <c r="AP165" i="3" l="1"/>
  <c r="AQ165" i="3"/>
  <c r="AG165" i="3"/>
  <c r="AF166" i="3" l="1"/>
  <c r="AR165" i="3"/>
  <c r="AS165" i="3"/>
  <c r="AG166" i="3" l="1"/>
  <c r="AQ166" i="3"/>
  <c r="AP166" i="3"/>
  <c r="AF167" i="3" l="1"/>
  <c r="AS166" i="3"/>
  <c r="AR166" i="3"/>
  <c r="AQ167" i="3" l="1"/>
  <c r="AP167" i="3"/>
  <c r="AG167" i="3"/>
  <c r="AS167" i="3" l="1"/>
  <c r="AF168" i="3"/>
  <c r="AR167" i="3"/>
  <c r="AQ168" i="3" l="1"/>
  <c r="AP168" i="3"/>
  <c r="AG168" i="3"/>
  <c r="AR168" i="3" l="1"/>
  <c r="AF169" i="3"/>
  <c r="AS168" i="3"/>
  <c r="AP169" i="3" l="1"/>
  <c r="AQ169" i="3"/>
  <c r="AG169" i="3"/>
  <c r="AR169" i="3" l="1"/>
  <c r="AF170" i="3"/>
  <c r="AS169" i="3"/>
  <c r="AP170" i="3" l="1"/>
  <c r="AG170" i="3"/>
  <c r="AQ170" i="3"/>
  <c r="AF171" i="3" l="1"/>
  <c r="AS170" i="3"/>
  <c r="AR170" i="3"/>
  <c r="AQ171" i="3" l="1"/>
  <c r="AP171" i="3"/>
  <c r="AG171" i="3"/>
  <c r="AF172" i="3" l="1"/>
  <c r="AS171" i="3"/>
  <c r="AR171" i="3"/>
  <c r="AQ172" i="3" l="1"/>
  <c r="AP172" i="3"/>
  <c r="AG172" i="3"/>
  <c r="AR172" i="3" l="1"/>
  <c r="AF173" i="3"/>
  <c r="AS172" i="3"/>
  <c r="AP173" i="3" l="1"/>
  <c r="AG173" i="3"/>
  <c r="AQ173" i="3"/>
  <c r="AF174" i="3" l="1"/>
  <c r="AR173" i="3"/>
  <c r="AS173" i="3"/>
  <c r="AG174" i="3" l="1"/>
  <c r="AQ174" i="3"/>
  <c r="AP174" i="3"/>
  <c r="AF175" i="3" l="1"/>
  <c r="AS174" i="3"/>
  <c r="AR174" i="3"/>
  <c r="AQ175" i="3" l="1"/>
  <c r="AP175" i="3"/>
  <c r="AG175" i="3"/>
  <c r="AK175" i="3"/>
  <c r="AL175" i="3"/>
  <c r="AL174" i="3"/>
  <c r="AK174" i="3"/>
  <c r="AL173" i="3"/>
  <c r="AK173" i="3"/>
  <c r="AL172" i="3"/>
  <c r="AK172" i="3"/>
  <c r="AS175" i="3" l="1"/>
  <c r="AF176" i="3"/>
  <c r="AR175" i="3"/>
  <c r="Z92" i="8" a="1"/>
  <c r="Z92" i="8" s="1"/>
  <c r="AA92" i="8" l="1"/>
  <c r="AF92" i="8"/>
  <c r="AQ176" i="3"/>
  <c r="AP176" i="3"/>
  <c r="AG176" i="3"/>
  <c r="AR176" i="3" l="1"/>
  <c r="AF177" i="3"/>
  <c r="AS176" i="3"/>
  <c r="AH92" i="8"/>
  <c r="AB92" i="8" s="1"/>
  <c r="AP177" i="3" l="1"/>
  <c r="AQ177" i="3"/>
  <c r="AG177" i="3"/>
  <c r="AS177" i="3" l="1"/>
  <c r="AR177" i="3"/>
  <c r="AF178" i="3"/>
  <c r="AP178" i="3" l="1"/>
  <c r="AG178" i="3"/>
  <c r="AQ178" i="3"/>
  <c r="AR178" i="3" l="1"/>
  <c r="AF179" i="3"/>
  <c r="AS178" i="3"/>
  <c r="AG179" i="3" l="1"/>
  <c r="AP179" i="3"/>
  <c r="AQ179" i="3"/>
  <c r="AF180" i="3" l="1"/>
  <c r="AS179" i="3"/>
  <c r="AR179" i="3"/>
  <c r="AG180" i="3" l="1"/>
  <c r="AQ180" i="3"/>
  <c r="AP180" i="3"/>
  <c r="AF181" i="3" l="1"/>
  <c r="AS180" i="3"/>
  <c r="AR180" i="3"/>
  <c r="AG181" i="3" l="1"/>
  <c r="AQ181" i="3"/>
  <c r="AP181" i="3"/>
  <c r="AS181" i="3" l="1"/>
  <c r="AR181" i="3"/>
  <c r="AF182" i="3"/>
  <c r="AQ182" i="3" l="1"/>
  <c r="AP182" i="3"/>
  <c r="AG182" i="3"/>
  <c r="AF183" i="3" l="1"/>
  <c r="AR182" i="3"/>
  <c r="AS182" i="3"/>
  <c r="AQ183" i="3" l="1"/>
  <c r="AG183" i="3"/>
  <c r="AP183" i="3"/>
  <c r="AS183" i="3" l="1"/>
  <c r="AR183" i="3"/>
  <c r="AF184" i="3"/>
  <c r="AG184" i="3" l="1"/>
  <c r="AP184" i="3"/>
  <c r="AQ184" i="3"/>
  <c r="AK184" i="3"/>
  <c r="Y102" i="8" a="1"/>
  <c r="Y102" i="8" s="1"/>
  <c r="AL184" i="3"/>
  <c r="Y89" i="8" a="1"/>
  <c r="Y89" i="8" s="1"/>
  <c r="AR184" i="3" l="1"/>
  <c r="AF185" i="3"/>
  <c r="AS184" i="3"/>
  <c r="Z102" i="8" a="1"/>
  <c r="Z102" i="8" s="1"/>
  <c r="AF102" i="8" s="1"/>
  <c r="Z89" i="8" a="1"/>
  <c r="Z89" i="8" s="1"/>
  <c r="AA89" i="8" s="1"/>
  <c r="AG185" i="3" l="1"/>
  <c r="AQ185" i="3"/>
  <c r="AP185" i="3"/>
  <c r="AF89" i="8"/>
  <c r="AS185" i="3" l="1"/>
  <c r="AR185" i="3"/>
  <c r="AF186" i="3"/>
  <c r="AH89" i="8"/>
  <c r="AB89" i="8" s="1"/>
  <c r="AQ186" i="3" l="1"/>
  <c r="AG186" i="3"/>
  <c r="AP186" i="3"/>
  <c r="AR186" i="3" l="1"/>
  <c r="AF187" i="3"/>
  <c r="AS186" i="3"/>
  <c r="AP187" i="3" l="1"/>
  <c r="AG187" i="3"/>
  <c r="AQ187" i="3"/>
  <c r="AS187" i="3" l="1"/>
  <c r="AR187" i="3"/>
  <c r="AF188" i="3"/>
  <c r="AG188" i="3" l="1"/>
  <c r="AP188" i="3"/>
  <c r="AQ188" i="3"/>
  <c r="AS188" i="3" l="1"/>
  <c r="AF189" i="3"/>
  <c r="AR188" i="3"/>
  <c r="AP189" i="3" l="1"/>
  <c r="AG189" i="3"/>
  <c r="AQ189" i="3"/>
  <c r="AS189" i="3" l="1"/>
  <c r="AR189" i="3"/>
  <c r="AF190" i="3"/>
  <c r="AP190" i="3" l="1"/>
  <c r="AG190" i="3"/>
  <c r="AQ190" i="3"/>
  <c r="AL190" i="3"/>
  <c r="AK190" i="3"/>
  <c r="AL189" i="3"/>
  <c r="AK189" i="3"/>
  <c r="AF191" i="3" l="1"/>
  <c r="AR190" i="3"/>
  <c r="AS190" i="3"/>
  <c r="Z90" i="8" a="1"/>
  <c r="Z90" i="8" s="1"/>
  <c r="AF90" i="8" s="1"/>
  <c r="AG191" i="3" l="1"/>
  <c r="AQ191" i="3"/>
  <c r="AP191" i="3"/>
  <c r="AF192" i="3" l="1"/>
  <c r="AS191" i="3"/>
  <c r="AR191" i="3"/>
  <c r="AG192" i="3" l="1"/>
  <c r="AQ192" i="3"/>
  <c r="AP192" i="3"/>
  <c r="AR192" i="3" l="1"/>
  <c r="AF193" i="3"/>
  <c r="AS192" i="3"/>
  <c r="AP193" i="3" l="1"/>
  <c r="AQ193" i="3"/>
  <c r="AG193" i="3"/>
  <c r="AS193" i="3" l="1"/>
  <c r="AR193" i="3"/>
  <c r="AF194" i="3"/>
  <c r="AP194" i="3" l="1"/>
  <c r="AG194" i="3"/>
  <c r="AQ194" i="3"/>
  <c r="AS194" i="3" l="1"/>
  <c r="AR194" i="3"/>
  <c r="AF195" i="3"/>
  <c r="AQ195" i="3" l="1"/>
  <c r="AP195" i="3"/>
  <c r="AG195" i="3"/>
  <c r="AR195" i="3" l="1"/>
  <c r="AF196" i="3"/>
  <c r="AS195" i="3"/>
  <c r="AG196" i="3" l="1"/>
  <c r="AP196" i="3"/>
  <c r="AQ196" i="3"/>
  <c r="AF197" i="3" l="1"/>
  <c r="AR196" i="3"/>
  <c r="AS196" i="3"/>
  <c r="AP197" i="3" l="1"/>
  <c r="AG197" i="3"/>
  <c r="AQ197" i="3"/>
  <c r="AS197" i="3" l="1"/>
  <c r="AF198" i="3"/>
  <c r="AR197" i="3"/>
  <c r="AQ198" i="3" l="1"/>
  <c r="AP198" i="3"/>
  <c r="AG198" i="3"/>
  <c r="AS198" i="3" l="1"/>
  <c r="AR198" i="3"/>
  <c r="AF199" i="3"/>
  <c r="AG199" i="3" l="1"/>
  <c r="AQ199" i="3"/>
  <c r="AP199" i="3"/>
  <c r="AF200" i="3" l="1"/>
  <c r="AS199" i="3"/>
  <c r="AR199" i="3"/>
  <c r="AG200" i="3" l="1"/>
  <c r="AQ200" i="3"/>
  <c r="AP200" i="3"/>
  <c r="AS200" i="3" l="1"/>
  <c r="AF201" i="3"/>
  <c r="AR200" i="3"/>
  <c r="AP201" i="3" l="1"/>
  <c r="AG201" i="3"/>
  <c r="AQ201" i="3"/>
  <c r="AS201" i="3" l="1"/>
  <c r="AR201" i="3"/>
  <c r="AF202" i="3"/>
  <c r="AP202" i="3" l="1"/>
  <c r="AG202" i="3"/>
  <c r="AQ202" i="3"/>
  <c r="AS202" i="3" l="1"/>
  <c r="AF203" i="3"/>
  <c r="AR202" i="3"/>
  <c r="AP203" i="3" l="1"/>
  <c r="AG203" i="3"/>
  <c r="AQ203" i="3"/>
  <c r="Y118" i="8" a="1"/>
  <c r="Y118" i="8" s="1"/>
  <c r="AK203" i="3"/>
  <c r="AL203" i="3"/>
  <c r="Y108" i="8" a="1"/>
  <c r="Y108" i="8" s="1"/>
  <c r="AF204" i="3" l="1"/>
  <c r="AR203" i="3"/>
  <c r="AS203" i="3"/>
  <c r="Z108" i="8" a="1"/>
  <c r="Z108" i="8" s="1"/>
  <c r="AF108" i="8" s="1"/>
  <c r="Z118" i="8" a="1"/>
  <c r="Z118" i="8" s="1"/>
  <c r="AF118" i="8" s="1"/>
  <c r="AG204" i="3" l="1"/>
  <c r="AP204" i="3"/>
  <c r="AQ204" i="3"/>
  <c r="Y109" i="8" a="1"/>
  <c r="Y109" i="8" s="1"/>
  <c r="Y111" i="8" a="1"/>
  <c r="Y111" i="8" s="1"/>
  <c r="AA108" i="8" l="1"/>
  <c r="AF205" i="3"/>
  <c r="AS204" i="3"/>
  <c r="AR204" i="3"/>
  <c r="Z111" i="8" a="1"/>
  <c r="Z111" i="8" s="1"/>
  <c r="AF111" i="8" s="1"/>
  <c r="Z109" i="8" a="1"/>
  <c r="Z109" i="8" s="1"/>
  <c r="AF109" i="8" s="1"/>
  <c r="AH108" i="8" l="1"/>
  <c r="AB108" i="8" s="1"/>
  <c r="AP205" i="3"/>
  <c r="AG205" i="3"/>
  <c r="AQ205" i="3"/>
  <c r="AS205" i="3" l="1"/>
  <c r="AR205" i="3"/>
  <c r="AF206" i="3"/>
  <c r="AP206" i="3" l="1"/>
  <c r="AG206" i="3"/>
  <c r="AQ206" i="3"/>
  <c r="AS206" i="3" l="1"/>
  <c r="AR206" i="3"/>
  <c r="AF207" i="3"/>
  <c r="AP207" i="3" l="1"/>
  <c r="AQ207" i="3"/>
  <c r="AG207" i="3"/>
  <c r="AF208" i="3" l="1"/>
  <c r="AS207" i="3"/>
  <c r="AR207" i="3"/>
  <c r="AG208" i="3" l="1"/>
  <c r="AP208" i="3"/>
  <c r="AQ208" i="3"/>
  <c r="AF209" i="3" l="1"/>
  <c r="AS208" i="3"/>
  <c r="AR208" i="3"/>
  <c r="AQ209" i="3" l="1"/>
  <c r="AP209" i="3"/>
  <c r="AG209" i="3"/>
  <c r="AS209" i="3" l="1"/>
  <c r="AR209" i="3"/>
  <c r="AF210" i="3"/>
  <c r="AQ210" i="3" l="1"/>
  <c r="AG210" i="3"/>
  <c r="AP210" i="3"/>
  <c r="AL210" i="3"/>
  <c r="AK210" i="3"/>
  <c r="AL209" i="3"/>
  <c r="AK209" i="3"/>
  <c r="AL208" i="3"/>
  <c r="AK208" i="3"/>
  <c r="AK207" i="3"/>
  <c r="AL207" i="3"/>
  <c r="AS210" i="3" l="1"/>
  <c r="AR210" i="3"/>
  <c r="AF211" i="3"/>
  <c r="Z93" i="8" a="1"/>
  <c r="Z93" i="8" s="1"/>
  <c r="AF93" i="8" s="1"/>
  <c r="Z95" i="8" a="1"/>
  <c r="Z95" i="8" s="1"/>
  <c r="AF95" i="8" s="1"/>
  <c r="AG211" i="3" l="1"/>
  <c r="AP211" i="3"/>
  <c r="AQ211" i="3"/>
  <c r="Y113" i="8" a="1"/>
  <c r="Y113" i="8" s="1"/>
  <c r="AF212" i="3" l="1"/>
  <c r="AS211" i="3"/>
  <c r="AR211" i="3"/>
  <c r="AG212" i="3" l="1"/>
  <c r="AQ212" i="3"/>
  <c r="AP212" i="3"/>
  <c r="AF213" i="3" l="1"/>
  <c r="AS212" i="3"/>
  <c r="AR212" i="3"/>
  <c r="Z113" i="8" a="1"/>
  <c r="Z113" i="8" s="1"/>
  <c r="AF113" i="8" s="1"/>
  <c r="AQ213" i="3" l="1"/>
  <c r="AP213" i="3"/>
  <c r="AG213" i="3"/>
  <c r="AS213" i="3" l="1"/>
  <c r="AR213" i="3"/>
  <c r="AF214" i="3"/>
  <c r="AQ214" i="3" l="1"/>
  <c r="AP214" i="3"/>
  <c r="AG214" i="3"/>
  <c r="AS214" i="3" l="1"/>
  <c r="AR214" i="3"/>
  <c r="AF215" i="3"/>
  <c r="AQ215" i="3" l="1"/>
  <c r="AP215" i="3"/>
  <c r="AG215" i="3"/>
  <c r="AF216" i="3" l="1"/>
  <c r="AR215" i="3"/>
  <c r="AS215" i="3"/>
  <c r="AG216" i="3" l="1"/>
  <c r="AQ216" i="3"/>
  <c r="AP216" i="3"/>
  <c r="AF217" i="3" l="1"/>
  <c r="AS216" i="3"/>
  <c r="AR216" i="3"/>
  <c r="AQ217" i="3" l="1"/>
  <c r="AP217" i="3"/>
  <c r="AG217" i="3"/>
  <c r="AS217" i="3" l="1"/>
  <c r="AR217" i="3"/>
  <c r="AF218" i="3"/>
  <c r="AG218" i="3" l="1"/>
  <c r="AQ218" i="3"/>
  <c r="AP218" i="3"/>
  <c r="AS218" i="3" l="1"/>
  <c r="AF219" i="3"/>
  <c r="AR218" i="3"/>
  <c r="AP219" i="3" l="1"/>
  <c r="AG219" i="3"/>
  <c r="AQ219" i="3"/>
  <c r="AF220" i="3" l="1"/>
  <c r="AR219" i="3"/>
  <c r="AS219" i="3"/>
  <c r="AG220" i="3" l="1"/>
  <c r="AQ220" i="3"/>
  <c r="AP220" i="3"/>
  <c r="AF221" i="3" l="1"/>
  <c r="AS220" i="3"/>
  <c r="AR220" i="3"/>
  <c r="AQ221" i="3" l="1"/>
  <c r="AP221" i="3"/>
  <c r="AG221" i="3"/>
  <c r="AS221" i="3" l="1"/>
  <c r="AR221" i="3"/>
  <c r="AF222" i="3"/>
  <c r="AQ222" i="3" l="1"/>
  <c r="AP222" i="3"/>
  <c r="AG222" i="3"/>
  <c r="AS222" i="3" l="1"/>
  <c r="AR222" i="3"/>
  <c r="AF223" i="3"/>
  <c r="AP223" i="3" l="1"/>
  <c r="AQ223" i="3"/>
  <c r="AG223" i="3"/>
  <c r="AF224" i="3" l="1"/>
  <c r="AS223" i="3"/>
  <c r="AR223" i="3"/>
  <c r="AG224" i="3" l="1"/>
  <c r="AQ224" i="3"/>
  <c r="AP224" i="3"/>
  <c r="AF225" i="3" l="1"/>
  <c r="AR224" i="3"/>
  <c r="AS224" i="3"/>
  <c r="AQ225" i="3" l="1"/>
  <c r="AP225" i="3"/>
  <c r="AG225" i="3"/>
  <c r="AS225" i="3" l="1"/>
  <c r="AR225" i="3"/>
  <c r="AF226" i="3"/>
  <c r="AQ226" i="3" l="1"/>
  <c r="AG226" i="3"/>
  <c r="AP226" i="3"/>
  <c r="AF227" i="3" l="1"/>
  <c r="AS226" i="3"/>
  <c r="AR226" i="3"/>
  <c r="AQ227" i="3" l="1"/>
  <c r="AP227" i="3"/>
  <c r="AG227" i="3"/>
  <c r="AF228" i="3" l="1"/>
  <c r="AS227" i="3"/>
  <c r="AR227" i="3"/>
  <c r="AG228" i="3" l="1"/>
  <c r="AQ228" i="3"/>
  <c r="AP228" i="3"/>
  <c r="AR228" i="3" l="1"/>
  <c r="AS228" i="3"/>
  <c r="AF229" i="3"/>
  <c r="AQ229" i="3" l="1"/>
  <c r="AP229" i="3"/>
  <c r="AG229" i="3"/>
  <c r="AS229" i="3" l="1"/>
  <c r="AR229" i="3"/>
  <c r="AF230" i="3"/>
  <c r="AG230" i="3" l="1"/>
  <c r="AP230" i="3"/>
  <c r="AQ230" i="3"/>
  <c r="AF231" i="3" l="1"/>
  <c r="AS230" i="3"/>
  <c r="AR230" i="3"/>
  <c r="AQ231" i="3" l="1"/>
  <c r="AG231" i="3"/>
  <c r="AP231" i="3"/>
  <c r="AF232" i="3" l="1"/>
  <c r="AS231" i="3"/>
  <c r="AR231" i="3"/>
  <c r="AG232" i="3" l="1"/>
  <c r="AQ232" i="3"/>
  <c r="AP232" i="3"/>
  <c r="AR232" i="3" l="1"/>
  <c r="AS232" i="3"/>
  <c r="AF233" i="3"/>
  <c r="AQ233" i="3" l="1"/>
  <c r="AP233" i="3"/>
  <c r="AG233" i="3"/>
  <c r="AS233" i="3" l="1"/>
  <c r="AR233" i="3"/>
  <c r="AF234" i="3"/>
  <c r="AQ234" i="3" l="1"/>
  <c r="AG234" i="3"/>
  <c r="AP234" i="3"/>
  <c r="AF235" i="3" l="1"/>
  <c r="AS234" i="3"/>
  <c r="AR234" i="3"/>
  <c r="AP235" i="3" l="1"/>
  <c r="AQ235" i="3"/>
  <c r="AG235" i="3"/>
  <c r="AF236" i="3" l="1"/>
  <c r="AS235" i="3"/>
  <c r="AR235" i="3"/>
  <c r="AG236" i="3" l="1"/>
  <c r="AQ236" i="3"/>
  <c r="AP236" i="3"/>
  <c r="AS236" i="3" l="1"/>
  <c r="AR236" i="3"/>
  <c r="AF237" i="3"/>
  <c r="AQ237" i="3" l="1"/>
  <c r="AP237" i="3"/>
  <c r="AG237" i="3"/>
  <c r="AS237" i="3" l="1"/>
  <c r="AR237" i="3"/>
  <c r="AF238" i="3"/>
  <c r="AQ238" i="3" l="1"/>
  <c r="AP238" i="3"/>
  <c r="AN238" i="3"/>
  <c r="AG238" i="3"/>
  <c r="AN3" i="3"/>
  <c r="AC13" i="8" a="1"/>
  <c r="AC13" i="8" s="1"/>
  <c r="AO3" i="3"/>
  <c r="AO5" i="3"/>
  <c r="AO2" i="3"/>
  <c r="AO4" i="3"/>
  <c r="AN2" i="3"/>
  <c r="AN4" i="3"/>
  <c r="AN5" i="3"/>
  <c r="AO6" i="3"/>
  <c r="AN6" i="3"/>
  <c r="AO7" i="3"/>
  <c r="AN7" i="3"/>
  <c r="AO8" i="3"/>
  <c r="AN8" i="3"/>
  <c r="AO9" i="3"/>
  <c r="AN9" i="3"/>
  <c r="AC19" i="8" a="1"/>
  <c r="AC19" i="8" s="1"/>
  <c r="AN10" i="3"/>
  <c r="AO10" i="3"/>
  <c r="AN11" i="3"/>
  <c r="AO11" i="3"/>
  <c r="AO12" i="3"/>
  <c r="AN12" i="3"/>
  <c r="AO13" i="3"/>
  <c r="AN13" i="3"/>
  <c r="AO14" i="3"/>
  <c r="AN14" i="3"/>
  <c r="AO15" i="3"/>
  <c r="AN15" i="3"/>
  <c r="AN16" i="3"/>
  <c r="AO16" i="3"/>
  <c r="AN22" i="3"/>
  <c r="AO22" i="3"/>
  <c r="AO23" i="3"/>
  <c r="AN23" i="3"/>
  <c r="AL25" i="3"/>
  <c r="AO24" i="3"/>
  <c r="AK25" i="3"/>
  <c r="AN24" i="3"/>
  <c r="AN25" i="3"/>
  <c r="AK26" i="3"/>
  <c r="AL26" i="3"/>
  <c r="AK27" i="3"/>
  <c r="AN26" i="3"/>
  <c r="AL27" i="3"/>
  <c r="AL28" i="3"/>
  <c r="AK28" i="3"/>
  <c r="AN27" i="3"/>
  <c r="AK29" i="3"/>
  <c r="AL29" i="3"/>
  <c r="AN28" i="3"/>
  <c r="AN29" i="3"/>
  <c r="AN30" i="3"/>
  <c r="AN31" i="3"/>
  <c r="AN32" i="3"/>
  <c r="AN33" i="3"/>
  <c r="AN34" i="3"/>
  <c r="AN35" i="3"/>
  <c r="AN36" i="3"/>
  <c r="AN37" i="3"/>
  <c r="AN38" i="3"/>
  <c r="AN39" i="3"/>
  <c r="AN40" i="3"/>
  <c r="AN41" i="3"/>
  <c r="AN42" i="3"/>
  <c r="AN43" i="3"/>
  <c r="AN44" i="3"/>
  <c r="AN45" i="3"/>
  <c r="AN46" i="3"/>
  <c r="AN47" i="3"/>
  <c r="AN48" i="3"/>
  <c r="AN49" i="3"/>
  <c r="AN50" i="3"/>
  <c r="AN51" i="3"/>
  <c r="AN52" i="3"/>
  <c r="AN53" i="3"/>
  <c r="AC34" i="8" a="1"/>
  <c r="AC34" i="8" s="1"/>
  <c r="AN54" i="3"/>
  <c r="AN55" i="3"/>
  <c r="AN56" i="3"/>
  <c r="AN57" i="3"/>
  <c r="AN58" i="3"/>
  <c r="AC36" i="8" a="1"/>
  <c r="AC36" i="8" s="1"/>
  <c r="AN59" i="3"/>
  <c r="AN60" i="3"/>
  <c r="AN61" i="3"/>
  <c r="AN62" i="3"/>
  <c r="AN63" i="3"/>
  <c r="AN64" i="3"/>
  <c r="AN65" i="3"/>
  <c r="AC41" i="8" a="1"/>
  <c r="AC41" i="8" s="1"/>
  <c r="AN66" i="3"/>
  <c r="AN67" i="3"/>
  <c r="AN68" i="3"/>
  <c r="AN69" i="3"/>
  <c r="AN70" i="3"/>
  <c r="AN71" i="3"/>
  <c r="AN72" i="3"/>
  <c r="AN73" i="3"/>
  <c r="AN74" i="3"/>
  <c r="AN75" i="3"/>
  <c r="AN76" i="3"/>
  <c r="AN77" i="3"/>
  <c r="AN78" i="3"/>
  <c r="AN79" i="3"/>
  <c r="AL80" i="3"/>
  <c r="AK80" i="3"/>
  <c r="AN80" i="3"/>
  <c r="AL81" i="3"/>
  <c r="AK81" i="3"/>
  <c r="AN81" i="3"/>
  <c r="AN82" i="3"/>
  <c r="AN83" i="3"/>
  <c r="AN84" i="3"/>
  <c r="AN85" i="3"/>
  <c r="AC50" i="8" a="1"/>
  <c r="AC50" i="8" s="1"/>
  <c r="AN86" i="3"/>
  <c r="AC51" i="8" a="1"/>
  <c r="AC51" i="8" s="1"/>
  <c r="AN87" i="3"/>
  <c r="AN88" i="3"/>
  <c r="AN89" i="3"/>
  <c r="AN90" i="3"/>
  <c r="AN91" i="3"/>
  <c r="AC56" i="8" a="1"/>
  <c r="AC56" i="8" s="1"/>
  <c r="AC58" i="8" a="1"/>
  <c r="AC58" i="8" s="1"/>
  <c r="AO97" i="3"/>
  <c r="AN97" i="3"/>
  <c r="AC60" i="8" a="1"/>
  <c r="AC60" i="8" s="1"/>
  <c r="AC62" i="8" a="1"/>
  <c r="AC62" i="8" s="1"/>
  <c r="AO99" i="3"/>
  <c r="AO98" i="3"/>
  <c r="AN98" i="3"/>
  <c r="AC63" i="8" a="1"/>
  <c r="AC63" i="8" s="1"/>
  <c r="AN99" i="3"/>
  <c r="AN100" i="3"/>
  <c r="AO100" i="3"/>
  <c r="AN101" i="3"/>
  <c r="AC64" i="8" a="1"/>
  <c r="AC64" i="8" s="1"/>
  <c r="AO101" i="3"/>
  <c r="AN102" i="3"/>
  <c r="AN103" i="3"/>
  <c r="AN104" i="3"/>
  <c r="AO102" i="3"/>
  <c r="AO103" i="3"/>
  <c r="AO104" i="3"/>
  <c r="AO105" i="3"/>
  <c r="AN105" i="3"/>
  <c r="AN106" i="3"/>
  <c r="AO107" i="3"/>
  <c r="AC66" i="8" a="1"/>
  <c r="AC66" i="8" s="1"/>
  <c r="AO106" i="3"/>
  <c r="AN107" i="3"/>
  <c r="AC68" i="8" a="1"/>
  <c r="AC68" i="8" s="1"/>
  <c r="AO108" i="3"/>
  <c r="AO109" i="3"/>
  <c r="AC69" i="8" a="1"/>
  <c r="AC69" i="8" s="1"/>
  <c r="AN108" i="3"/>
  <c r="AN109" i="3"/>
  <c r="AO110" i="3"/>
  <c r="AN110" i="3"/>
  <c r="AO111" i="3"/>
  <c r="AC71" i="8" a="1"/>
  <c r="AC71" i="8" s="1"/>
  <c r="AO112" i="3"/>
  <c r="AN111" i="3"/>
  <c r="AO113" i="3"/>
  <c r="AC73" i="8" a="1"/>
  <c r="AC73" i="8" s="1"/>
  <c r="AN112" i="3"/>
  <c r="AC74" i="8" a="1"/>
  <c r="AC74" i="8" s="1"/>
  <c r="AN113" i="3"/>
  <c r="AN114" i="3"/>
  <c r="AN115" i="3"/>
  <c r="AN116" i="3"/>
  <c r="AN117" i="3"/>
  <c r="AO118" i="3"/>
  <c r="AN118" i="3"/>
  <c r="AC76" i="8" a="1"/>
  <c r="AC76" i="8" s="1"/>
  <c r="AO114" i="3"/>
  <c r="AO115" i="3"/>
  <c r="AO117" i="3"/>
  <c r="AO116" i="3"/>
  <c r="AN119" i="3"/>
  <c r="AO119" i="3"/>
  <c r="AC77" i="8" a="1"/>
  <c r="AC77" i="8" s="1"/>
  <c r="AO120" i="3"/>
  <c r="AC78" i="8" a="1"/>
  <c r="AC78" i="8" s="1"/>
  <c r="AN120" i="3"/>
  <c r="AO121" i="3"/>
  <c r="AN121" i="3"/>
  <c r="AO122" i="3"/>
  <c r="AC79" i="8" a="1"/>
  <c r="AC79" i="8" s="1"/>
  <c r="AN122" i="3"/>
  <c r="AN123" i="3"/>
  <c r="AL123" i="3"/>
  <c r="AK123" i="3"/>
  <c r="AN124" i="3"/>
  <c r="AN125" i="3"/>
  <c r="AN126" i="3"/>
  <c r="AN127" i="3"/>
  <c r="AN128" i="3"/>
  <c r="AC80" i="8" a="1"/>
  <c r="AC80" i="8" s="1"/>
  <c r="AN129" i="3"/>
  <c r="AC83" i="8" a="1"/>
  <c r="AC83" i="8" s="1"/>
  <c r="AN130" i="3"/>
  <c r="AC81" i="8" a="1"/>
  <c r="AC81" i="8" s="1"/>
  <c r="AN131" i="3"/>
  <c r="AC82" i="8" a="1"/>
  <c r="AC82" i="8" s="1"/>
  <c r="AN132" i="3"/>
  <c r="AC84" i="8" a="1"/>
  <c r="AC84" i="8" s="1"/>
  <c r="AO138" i="3"/>
  <c r="AN138" i="3"/>
  <c r="AN139" i="3"/>
  <c r="AO139" i="3"/>
  <c r="AN140" i="3"/>
  <c r="AO140" i="3"/>
  <c r="AO142" i="3"/>
  <c r="AN141" i="3"/>
  <c r="AO141" i="3"/>
  <c r="AO143" i="3"/>
  <c r="AN142" i="3"/>
  <c r="AN143" i="3"/>
  <c r="AN144" i="3"/>
  <c r="AO144" i="3"/>
  <c r="AN145" i="3"/>
  <c r="AO145" i="3"/>
  <c r="AN146" i="3"/>
  <c r="AO146" i="3"/>
  <c r="AO147" i="3"/>
  <c r="AN147" i="3"/>
  <c r="AO148" i="3"/>
  <c r="AN148" i="3"/>
  <c r="AN149" i="3"/>
  <c r="AO149" i="3"/>
  <c r="AO150" i="3"/>
  <c r="AN150" i="3"/>
  <c r="AO151" i="3"/>
  <c r="AN151" i="3"/>
  <c r="AO152" i="3"/>
  <c r="AN152" i="3"/>
  <c r="AN153" i="3"/>
  <c r="AO153" i="3"/>
  <c r="AO154" i="3"/>
  <c r="AN154" i="3"/>
  <c r="AN155" i="3"/>
  <c r="AO155" i="3"/>
  <c r="AN156" i="3"/>
  <c r="AO156" i="3"/>
  <c r="AN157" i="3"/>
  <c r="AO157" i="3"/>
  <c r="AN158" i="3"/>
  <c r="AO158" i="3"/>
  <c r="AO159" i="3"/>
  <c r="AN159" i="3"/>
  <c r="AN160" i="3"/>
  <c r="AO160" i="3"/>
  <c r="AN161" i="3"/>
  <c r="AO161" i="3"/>
  <c r="AN162" i="3"/>
  <c r="AO162" i="3"/>
  <c r="AN163" i="3"/>
  <c r="AO163" i="3"/>
  <c r="AN164" i="3"/>
  <c r="AL164" i="3"/>
  <c r="AK164" i="3"/>
  <c r="AK165" i="3"/>
  <c r="AL165" i="3"/>
  <c r="AN165" i="3"/>
  <c r="AL166" i="3"/>
  <c r="AK166" i="3"/>
  <c r="AN166" i="3"/>
  <c r="AL168" i="3"/>
  <c r="AK168" i="3"/>
  <c r="AN167" i="3"/>
  <c r="AN168" i="3"/>
  <c r="AL169" i="3"/>
  <c r="AK169" i="3"/>
  <c r="AL170" i="3"/>
  <c r="AK170" i="3"/>
  <c r="AN169" i="3"/>
  <c r="AK171" i="3"/>
  <c r="AL171" i="3"/>
  <c r="AN170" i="3"/>
  <c r="AN171" i="3"/>
  <c r="AN172" i="3"/>
  <c r="AN173" i="3"/>
  <c r="AN174" i="3"/>
  <c r="AN175" i="3"/>
  <c r="AN176" i="3"/>
  <c r="AK177" i="3"/>
  <c r="AL177" i="3"/>
  <c r="AN177" i="3"/>
  <c r="AK178" i="3"/>
  <c r="AL178" i="3"/>
  <c r="AK179" i="3"/>
  <c r="AL179" i="3"/>
  <c r="AN178" i="3"/>
  <c r="AL180" i="3"/>
  <c r="AN179" i="3"/>
  <c r="AK180" i="3"/>
  <c r="AN180" i="3"/>
  <c r="AN181" i="3"/>
  <c r="AK181" i="3"/>
  <c r="AL181" i="3"/>
  <c r="AN182" i="3"/>
  <c r="AL182" i="3"/>
  <c r="AK182" i="3"/>
  <c r="AN183" i="3"/>
  <c r="AN184" i="3"/>
  <c r="AN185" i="3"/>
  <c r="AN186" i="3"/>
  <c r="AN187" i="3"/>
  <c r="AK183" i="3"/>
  <c r="AL183" i="3"/>
  <c r="AN188" i="3"/>
  <c r="AL185" i="3"/>
  <c r="AK185" i="3"/>
  <c r="AN189" i="3"/>
  <c r="AL186" i="3"/>
  <c r="AK186" i="3"/>
  <c r="AL191" i="3"/>
  <c r="AK191" i="3"/>
  <c r="AN190" i="3"/>
  <c r="AL192" i="3"/>
  <c r="AK192" i="3"/>
  <c r="AN191" i="3"/>
  <c r="AN192" i="3"/>
  <c r="AL193" i="3"/>
  <c r="AK193" i="3"/>
  <c r="AN193" i="3"/>
  <c r="AL194" i="3"/>
  <c r="AK194" i="3"/>
  <c r="AK195" i="3"/>
  <c r="AL195" i="3"/>
  <c r="AN194" i="3"/>
  <c r="AK196" i="3"/>
  <c r="AL196" i="3"/>
  <c r="AN195" i="3"/>
  <c r="AN196" i="3"/>
  <c r="AL197" i="3"/>
  <c r="AK197" i="3"/>
  <c r="AN197" i="3"/>
  <c r="AL198" i="3"/>
  <c r="AK198" i="3"/>
  <c r="AN198" i="3"/>
  <c r="AN199" i="3"/>
  <c r="AN200" i="3"/>
  <c r="AN201" i="3"/>
  <c r="AL199" i="3"/>
  <c r="AK199" i="3"/>
  <c r="AN202" i="3"/>
  <c r="AL200" i="3"/>
  <c r="AK200" i="3"/>
  <c r="AN203" i="3"/>
  <c r="AL202" i="3"/>
  <c r="AK202" i="3"/>
  <c r="AN204" i="3"/>
  <c r="AL205" i="3"/>
  <c r="AK205" i="3"/>
  <c r="AN205" i="3"/>
  <c r="AL206" i="3"/>
  <c r="AK206" i="3"/>
  <c r="AN206" i="3"/>
  <c r="AN207" i="3"/>
  <c r="AN208" i="3"/>
  <c r="AN209" i="3"/>
  <c r="AN210" i="3"/>
  <c r="AN211" i="3"/>
  <c r="AN212" i="3"/>
  <c r="AN213" i="3"/>
  <c r="AN214" i="3"/>
  <c r="AN215" i="3"/>
  <c r="AN216" i="3"/>
  <c r="AN217" i="3"/>
  <c r="AN218" i="3"/>
  <c r="AN219" i="3"/>
  <c r="AN220" i="3"/>
  <c r="AN221" i="3"/>
  <c r="AN222" i="3"/>
  <c r="AN223" i="3"/>
  <c r="AN224" i="3"/>
  <c r="AN225" i="3"/>
  <c r="AN226" i="3"/>
  <c r="AN227" i="3"/>
  <c r="AN228" i="3"/>
  <c r="AN229" i="3"/>
  <c r="AN230" i="3"/>
  <c r="AN231" i="3"/>
  <c r="AN232" i="3"/>
  <c r="AN237" i="3"/>
  <c r="AN236" i="3"/>
  <c r="AN235" i="3"/>
  <c r="AN234" i="3"/>
  <c r="AN233" i="3"/>
  <c r="AD83" i="8" l="1"/>
  <c r="Z83" i="8" a="1"/>
  <c r="Z83" i="8" s="1"/>
  <c r="AA83" i="8"/>
  <c r="AD64" i="8"/>
  <c r="Z64" i="8" a="1"/>
  <c r="Z64" i="8" s="1"/>
  <c r="AD78" i="8"/>
  <c r="Z78" i="8" a="1"/>
  <c r="Z78" i="8" s="1"/>
  <c r="AA78" i="8"/>
  <c r="AD68" i="8"/>
  <c r="Z68" i="8" a="1"/>
  <c r="Z68" i="8" s="1"/>
  <c r="AA68" i="8"/>
  <c r="AD80" i="8"/>
  <c r="Z80" i="8" a="1"/>
  <c r="Z80" i="8" s="1"/>
  <c r="AA80" i="8"/>
  <c r="AD74" i="8"/>
  <c r="Z74" i="8" a="1"/>
  <c r="Z74" i="8" s="1"/>
  <c r="AD77" i="8"/>
  <c r="Z77" i="8" a="1"/>
  <c r="Z77" i="8" s="1"/>
  <c r="AA77" i="8"/>
  <c r="AO164" i="3"/>
  <c r="AO165" i="3"/>
  <c r="AO166" i="3"/>
  <c r="AO167" i="3"/>
  <c r="AO168" i="3"/>
  <c r="AO169" i="3"/>
  <c r="AO170" i="3"/>
  <c r="AO171" i="3"/>
  <c r="AO172" i="3"/>
  <c r="AO173" i="3"/>
  <c r="AO174" i="3"/>
  <c r="AO175" i="3"/>
  <c r="AO176" i="3"/>
  <c r="AO177" i="3"/>
  <c r="AO178" i="3"/>
  <c r="AO179" i="3"/>
  <c r="AO180" i="3"/>
  <c r="AO181" i="3"/>
  <c r="AO182" i="3"/>
  <c r="AO183" i="3"/>
  <c r="AO184" i="3"/>
  <c r="AO185" i="3"/>
  <c r="AO186" i="3"/>
  <c r="AO187" i="3"/>
  <c r="AO188" i="3"/>
  <c r="AO189" i="3"/>
  <c r="AO190" i="3"/>
  <c r="AO191" i="3"/>
  <c r="AO192" i="3"/>
  <c r="AO193" i="3"/>
  <c r="AO194" i="3"/>
  <c r="AO195" i="3"/>
  <c r="AO196" i="3"/>
  <c r="AO197" i="3"/>
  <c r="AO198" i="3"/>
  <c r="AO199" i="3"/>
  <c r="AO200" i="3"/>
  <c r="AO201" i="3"/>
  <c r="AO202" i="3"/>
  <c r="AO203" i="3"/>
  <c r="AO204" i="3"/>
  <c r="AO205" i="3"/>
  <c r="AO206" i="3"/>
  <c r="AO207" i="3"/>
  <c r="AO208" i="3"/>
  <c r="AO209" i="3"/>
  <c r="AO210" i="3"/>
  <c r="AO211" i="3"/>
  <c r="AO212" i="3"/>
  <c r="AO213" i="3"/>
  <c r="AO214" i="3"/>
  <c r="AO215" i="3"/>
  <c r="AO216" i="3"/>
  <c r="AO217" i="3"/>
  <c r="AO218" i="3"/>
  <c r="AO219" i="3"/>
  <c r="AO220" i="3"/>
  <c r="AO221" i="3"/>
  <c r="AO222" i="3"/>
  <c r="AO223" i="3"/>
  <c r="AO224" i="3"/>
  <c r="AO225" i="3"/>
  <c r="AO226" i="3"/>
  <c r="AO227" i="3"/>
  <c r="AO228" i="3"/>
  <c r="AO229" i="3"/>
  <c r="AO230" i="3"/>
  <c r="AO231" i="3"/>
  <c r="AO232" i="3"/>
  <c r="AO233" i="3"/>
  <c r="AO234" i="3"/>
  <c r="AO235" i="3"/>
  <c r="AO236" i="3"/>
  <c r="AO237" i="3"/>
  <c r="AD73" i="8"/>
  <c r="Z73" i="8" a="1"/>
  <c r="Z73" i="8" s="1"/>
  <c r="AA73" i="8"/>
  <c r="AD66" i="8"/>
  <c r="Z66" i="8" a="1"/>
  <c r="Z66" i="8" s="1"/>
  <c r="AD51" i="8"/>
  <c r="Z51" i="8" a="1"/>
  <c r="Z51" i="8" s="1"/>
  <c r="AD63" i="8"/>
  <c r="Z63" i="8" a="1"/>
  <c r="Z63" i="8" s="1"/>
  <c r="AA63" i="8"/>
  <c r="AD50" i="8"/>
  <c r="Z50" i="8" a="1"/>
  <c r="Z50" i="8" s="1"/>
  <c r="AA50" i="8"/>
  <c r="AO25" i="3"/>
  <c r="AO26" i="3"/>
  <c r="AO27" i="3"/>
  <c r="AO28" i="3"/>
  <c r="AO29" i="3"/>
  <c r="AO30" i="3"/>
  <c r="AO31" i="3"/>
  <c r="AO32" i="3"/>
  <c r="AO33" i="3"/>
  <c r="AO34" i="3"/>
  <c r="AO35" i="3"/>
  <c r="AO36" i="3"/>
  <c r="AO37" i="3"/>
  <c r="AO38" i="3"/>
  <c r="AO39" i="3"/>
  <c r="AO40" i="3"/>
  <c r="AO41" i="3"/>
  <c r="AO42" i="3"/>
  <c r="AO43" i="3"/>
  <c r="AO44" i="3"/>
  <c r="AO45" i="3"/>
  <c r="AO46" i="3"/>
  <c r="AO47" i="3"/>
  <c r="AO48" i="3"/>
  <c r="AO49" i="3"/>
  <c r="AO50" i="3"/>
  <c r="AO51" i="3"/>
  <c r="AO52" i="3"/>
  <c r="AO53" i="3"/>
  <c r="AO54" i="3"/>
  <c r="AO55" i="3"/>
  <c r="AO56" i="3"/>
  <c r="AO57" i="3"/>
  <c r="AO58" i="3"/>
  <c r="AO59" i="3"/>
  <c r="AO60" i="3"/>
  <c r="AO61" i="3"/>
  <c r="AO62" i="3"/>
  <c r="AO63" i="3"/>
  <c r="AO64" i="3"/>
  <c r="AO65" i="3"/>
  <c r="AO66" i="3"/>
  <c r="AO67" i="3"/>
  <c r="AO68" i="3"/>
  <c r="AO69" i="3"/>
  <c r="AO70" i="3"/>
  <c r="AO71" i="3"/>
  <c r="AO72" i="3"/>
  <c r="AO73" i="3"/>
  <c r="AO74" i="3"/>
  <c r="AO75" i="3"/>
  <c r="AO76" i="3"/>
  <c r="AO77" i="3"/>
  <c r="AO78" i="3"/>
  <c r="AO79" i="3"/>
  <c r="AO80" i="3"/>
  <c r="AO81" i="3"/>
  <c r="AO82" i="3"/>
  <c r="AO83" i="3"/>
  <c r="AO84" i="3"/>
  <c r="AO85" i="3"/>
  <c r="AO86" i="3"/>
  <c r="AO87" i="3"/>
  <c r="AO88" i="3"/>
  <c r="AO89" i="3"/>
  <c r="AO90" i="3"/>
  <c r="AO91" i="3"/>
  <c r="AO92" i="3"/>
  <c r="AO93" i="3"/>
  <c r="AO94" i="3"/>
  <c r="AO95" i="3"/>
  <c r="AO96" i="3"/>
  <c r="AD36" i="8"/>
  <c r="Z36" i="8" a="1"/>
  <c r="Z36" i="8" s="1"/>
  <c r="AD71" i="8"/>
  <c r="Z71" i="8" a="1"/>
  <c r="Z71" i="8" s="1"/>
  <c r="AO123" i="3"/>
  <c r="AO124" i="3"/>
  <c r="AO125" i="3"/>
  <c r="AO126" i="3"/>
  <c r="AO127" i="3"/>
  <c r="AO128" i="3"/>
  <c r="AO129" i="3"/>
  <c r="AO130" i="3"/>
  <c r="AO131" i="3"/>
  <c r="AO132" i="3"/>
  <c r="AO133" i="3"/>
  <c r="AO134" i="3"/>
  <c r="AO135" i="3"/>
  <c r="AO136" i="3"/>
  <c r="AO137" i="3"/>
  <c r="AD62" i="8"/>
  <c r="Z62" i="8" a="1"/>
  <c r="Z62" i="8" s="1"/>
  <c r="AA62" i="8"/>
  <c r="AD19" i="8"/>
  <c r="Z19" i="8" a="1"/>
  <c r="Z19" i="8" s="1"/>
  <c r="AA19" i="8"/>
  <c r="AA13" i="8"/>
  <c r="Z13" i="8" a="1"/>
  <c r="Z13" i="8" s="1"/>
  <c r="AD84" i="8"/>
  <c r="Z84" i="8" a="1"/>
  <c r="Z84" i="8" s="1"/>
  <c r="AD76" i="8"/>
  <c r="Z76" i="8" a="1"/>
  <c r="Z76" i="8" s="1"/>
  <c r="AA76" i="8"/>
  <c r="AD60" i="8"/>
  <c r="Z60" i="8" a="1"/>
  <c r="Z60" i="8" s="1"/>
  <c r="AS238" i="3"/>
  <c r="AR238" i="3"/>
  <c r="AD82" i="8"/>
  <c r="Z82" i="8" a="1"/>
  <c r="Z82" i="8" s="1"/>
  <c r="AA82" i="8"/>
  <c r="AD79" i="8"/>
  <c r="Z79" i="8" a="1"/>
  <c r="Z79" i="8" s="1"/>
  <c r="AA79" i="8"/>
  <c r="AD58" i="8"/>
  <c r="Z58" i="8" a="1"/>
  <c r="Z58" i="8" s="1"/>
  <c r="AD34" i="8"/>
  <c r="Z34" i="8" a="1"/>
  <c r="Z34" i="8" s="1"/>
  <c r="D11" i="5"/>
  <c r="F8" i="5"/>
  <c r="W5" i="5"/>
  <c r="W9" i="5"/>
  <c r="G5" i="5"/>
  <c r="H5" i="5"/>
  <c r="AD81" i="8"/>
  <c r="Z81" i="8" a="1"/>
  <c r="Z81" i="8" s="1"/>
  <c r="AA81" i="8"/>
  <c r="AD69" i="8"/>
  <c r="Z69" i="8" a="1"/>
  <c r="Z69" i="8" s="1"/>
  <c r="AD56" i="8"/>
  <c r="Z56" i="8" a="1"/>
  <c r="Z56" i="8" s="1"/>
  <c r="AD41" i="8"/>
  <c r="Z41" i="8" a="1"/>
  <c r="Z41" i="8" s="1"/>
  <c r="AO238" i="3"/>
  <c r="Y75" i="8" l="1" a="1"/>
  <c r="Y75" i="8" s="1"/>
  <c r="AJ74" i="8"/>
  <c r="AF74" i="8"/>
  <c r="AJ73" i="8"/>
  <c r="AF73" i="8"/>
  <c r="AH73" i="8" s="1"/>
  <c r="AG73" i="8"/>
  <c r="AJ82" i="8"/>
  <c r="AG82" i="8"/>
  <c r="AF82" i="8"/>
  <c r="AH82" i="8" s="1"/>
  <c r="AB82" i="8" s="1"/>
  <c r="AJ81" i="8"/>
  <c r="AF81" i="8"/>
  <c r="AH81" i="8" s="1"/>
  <c r="AB81" i="8" s="1"/>
  <c r="AG81" i="8"/>
  <c r="AF13" i="8"/>
  <c r="AH13" i="8" s="1"/>
  <c r="AG13" i="8"/>
  <c r="AJ13" i="8"/>
  <c r="AJ80" i="8"/>
  <c r="AF80" i="8"/>
  <c r="AH80" i="8" s="1"/>
  <c r="AG80" i="8"/>
  <c r="Y42" i="8" a="1"/>
  <c r="Y42" i="8" s="1"/>
  <c r="AJ41" i="8"/>
  <c r="AF41" i="8"/>
  <c r="Y61" i="8" a="1"/>
  <c r="Y61" i="8" s="1"/>
  <c r="AF60" i="8"/>
  <c r="AJ60" i="8"/>
  <c r="AJ19" i="8"/>
  <c r="AF19" i="8"/>
  <c r="AG19" i="8"/>
  <c r="AJ68" i="8"/>
  <c r="AF68" i="8"/>
  <c r="AG68" i="8"/>
  <c r="AJ50" i="8"/>
  <c r="AF50" i="8"/>
  <c r="AH50" i="8" s="1"/>
  <c r="AG50" i="8"/>
  <c r="Y35" i="8" a="1"/>
  <c r="Y35" i="8" s="1"/>
  <c r="AJ34" i="8"/>
  <c r="AF34" i="8"/>
  <c r="AJ84" i="8"/>
  <c r="AF84" i="8"/>
  <c r="AJ76" i="8"/>
  <c r="AF76" i="8"/>
  <c r="AH76" i="8" s="1"/>
  <c r="AB76" i="8" s="1"/>
  <c r="AG76" i="8"/>
  <c r="AF62" i="8"/>
  <c r="AG62" i="8"/>
  <c r="AJ62" i="8"/>
  <c r="AJ78" i="8"/>
  <c r="AF78" i="8"/>
  <c r="AH78" i="8" s="1"/>
  <c r="AG78" i="8"/>
  <c r="Y72" i="8" a="1"/>
  <c r="Y72" i="8" s="1"/>
  <c r="AJ71" i="8"/>
  <c r="AF71" i="8"/>
  <c r="AF63" i="8"/>
  <c r="AJ63" i="8"/>
  <c r="AG63" i="8"/>
  <c r="Y65" i="8" a="1"/>
  <c r="Y65" i="8" s="1"/>
  <c r="AJ64" i="8"/>
  <c r="AF64" i="8"/>
  <c r="Y59" i="8" a="1"/>
  <c r="Y59" i="8" s="1"/>
  <c r="AF58" i="8"/>
  <c r="AJ58" i="8"/>
  <c r="Y37" i="8" a="1"/>
  <c r="Y37" i="8" s="1"/>
  <c r="AJ36" i="8"/>
  <c r="AF36" i="8"/>
  <c r="Y52" i="8" a="1"/>
  <c r="Y52" i="8" s="1"/>
  <c r="AJ51" i="8"/>
  <c r="AF51" i="8"/>
  <c r="Y57" i="8" a="1"/>
  <c r="Y57" i="8" s="1"/>
  <c r="AJ56" i="8"/>
  <c r="AF56" i="8"/>
  <c r="Y67" i="8" a="1"/>
  <c r="Y67" i="8" s="1"/>
  <c r="AJ66" i="8"/>
  <c r="AF66" i="8"/>
  <c r="AJ77" i="8"/>
  <c r="AF77" i="8"/>
  <c r="AH77" i="8" s="1"/>
  <c r="AB77" i="8" s="1"/>
  <c r="AG77" i="8"/>
  <c r="Y124" i="8" a="1"/>
  <c r="Y124" i="8" s="1"/>
  <c r="Y106" i="8" a="1"/>
  <c r="Y106" i="8" s="1"/>
  <c r="Y123" i="8" a="1"/>
  <c r="Y123" i="8" s="1"/>
  <c r="Y120" i="8" a="1"/>
  <c r="Y120" i="8" s="1"/>
  <c r="Y122" i="8" a="1"/>
  <c r="Y122" i="8" s="1"/>
  <c r="Y98" i="8" a="1"/>
  <c r="Y98" i="8" s="1"/>
  <c r="Y91" i="8" a="1"/>
  <c r="Y91" i="8" s="1"/>
  <c r="Y107" i="8" a="1"/>
  <c r="Y107" i="8" s="1"/>
  <c r="Y114" i="8" a="1"/>
  <c r="Y114" i="8" s="1"/>
  <c r="Y85" i="8" a="1"/>
  <c r="Y85" i="8" s="1"/>
  <c r="Y97" i="8" a="1"/>
  <c r="Y97" i="8" s="1"/>
  <c r="Y130" i="8" a="1"/>
  <c r="Y130" i="8" s="1"/>
  <c r="Y96" i="8" a="1"/>
  <c r="Y96" i="8" s="1"/>
  <c r="Y101" i="8" a="1"/>
  <c r="Y101" i="8" s="1"/>
  <c r="Y135" i="8" a="1"/>
  <c r="Y135" i="8" s="1"/>
  <c r="Y103" i="8" a="1"/>
  <c r="Y103" i="8" s="1"/>
  <c r="Y117" i="8" a="1"/>
  <c r="Y117" i="8" s="1"/>
  <c r="Y129" i="8" a="1"/>
  <c r="Y129" i="8" s="1"/>
  <c r="Y104" i="8" a="1"/>
  <c r="Y104" i="8" s="1"/>
  <c r="Y134" i="8" a="1"/>
  <c r="Y134" i="8" s="1"/>
  <c r="Y87" i="8" a="1"/>
  <c r="Y87" i="8" s="1"/>
  <c r="Y88" i="8" a="1"/>
  <c r="Y88" i="8" s="1"/>
  <c r="Y116" i="8" a="1"/>
  <c r="Y116" i="8" s="1"/>
  <c r="Y115" i="8" a="1"/>
  <c r="Y115" i="8" s="1"/>
  <c r="Y112" i="8" a="1"/>
  <c r="Y112" i="8" s="1"/>
  <c r="Y133" i="8" a="1"/>
  <c r="Y133" i="8" s="1"/>
  <c r="Y105" i="8" a="1"/>
  <c r="Y105" i="8" s="1"/>
  <c r="Y99" i="8" a="1"/>
  <c r="Y99" i="8" s="1"/>
  <c r="Y94" i="8" a="1"/>
  <c r="Y94" i="8" s="1"/>
  <c r="Y127" i="8" a="1"/>
  <c r="Y127" i="8" s="1"/>
  <c r="Y131" i="8" a="1"/>
  <c r="Y131" i="8" s="1"/>
  <c r="Y132" i="8" a="1"/>
  <c r="Y132" i="8" s="1"/>
  <c r="Y128" i="8" a="1"/>
  <c r="Y128" i="8" s="1"/>
  <c r="Y110" i="8" a="1"/>
  <c r="Y110" i="8" s="1"/>
  <c r="Y121" i="8" a="1"/>
  <c r="Y121" i="8" s="1"/>
  <c r="Y119" i="8" a="1"/>
  <c r="Y119" i="8" s="1"/>
  <c r="Y126" i="8" a="1"/>
  <c r="Y126" i="8" s="1"/>
  <c r="Y125" i="8" a="1"/>
  <c r="Y125" i="8" s="1"/>
  <c r="AJ83" i="8"/>
  <c r="AF83" i="8"/>
  <c r="AH83" i="8" s="1"/>
  <c r="AG83" i="8"/>
  <c r="Y70" i="8" a="1"/>
  <c r="Y70" i="8" s="1"/>
  <c r="AJ69" i="8"/>
  <c r="AF69" i="8"/>
  <c r="AJ79" i="8"/>
  <c r="AF79" i="8"/>
  <c r="AH79" i="8" s="1"/>
  <c r="AG79" i="8"/>
  <c r="AH63" i="8" l="1"/>
  <c r="AB63" i="8" s="1"/>
  <c r="AH62" i="8"/>
  <c r="AB62" i="8" s="1"/>
  <c r="AB13" i="8"/>
  <c r="AA114" i="8"/>
  <c r="Z115" i="8" a="1"/>
  <c r="Z115" i="8" s="1"/>
  <c r="AF115" i="8" s="1"/>
  <c r="AA106" i="8"/>
  <c r="Z107" i="8" a="1"/>
  <c r="Z107" i="8" s="1"/>
  <c r="AF107" i="8" s="1"/>
  <c r="AG64" i="8"/>
  <c r="AA64" i="8"/>
  <c r="Z65" i="8" a="1"/>
  <c r="Z65" i="8" s="1"/>
  <c r="AA65" i="8"/>
  <c r="AH68" i="8"/>
  <c r="AB68" i="8" s="1"/>
  <c r="AA104" i="8"/>
  <c r="Z105" i="8" a="1"/>
  <c r="Z105" i="8" s="1"/>
  <c r="AF105" i="8" s="1"/>
  <c r="AA115" i="8"/>
  <c r="Z116" i="8" a="1"/>
  <c r="Z116" i="8" s="1"/>
  <c r="AF116" i="8" s="1"/>
  <c r="AA90" i="8"/>
  <c r="Z91" i="8" a="1"/>
  <c r="Z91" i="8" s="1"/>
  <c r="AF91" i="8" s="1"/>
  <c r="AH19" i="8"/>
  <c r="AB19" i="8" s="1"/>
  <c r="AA124" i="8"/>
  <c r="Z125" i="8" a="1"/>
  <c r="Z125" i="8" s="1"/>
  <c r="AF125" i="8" s="1"/>
  <c r="AA87" i="8"/>
  <c r="Z88" i="8" a="1"/>
  <c r="Z88" i="8" s="1"/>
  <c r="AF88" i="8" s="1"/>
  <c r="AA97" i="8"/>
  <c r="Z98" i="8" a="1"/>
  <c r="Z98" i="8" s="1"/>
  <c r="AF98" i="8" s="1"/>
  <c r="AB78" i="8"/>
  <c r="AA125" i="8"/>
  <c r="Z126" i="8" a="1"/>
  <c r="Z126" i="8" s="1"/>
  <c r="AF126" i="8" s="1"/>
  <c r="AA86" i="8"/>
  <c r="Z87" i="8" a="1"/>
  <c r="Z87" i="8" s="1"/>
  <c r="AF87" i="8" s="1"/>
  <c r="AA121" i="8"/>
  <c r="Z122" i="8" a="1"/>
  <c r="Z122" i="8" s="1"/>
  <c r="AF122" i="8" s="1"/>
  <c r="AB50" i="8"/>
  <c r="AB79" i="8"/>
  <c r="AB80" i="8"/>
  <c r="AA118" i="8"/>
  <c r="Z119" i="8" a="1"/>
  <c r="Z119" i="8" s="1"/>
  <c r="AF119" i="8" s="1"/>
  <c r="AA133" i="8"/>
  <c r="Z134" i="8" a="1"/>
  <c r="Z134" i="8" s="1"/>
  <c r="AG134" i="8" s="1"/>
  <c r="AA119" i="8"/>
  <c r="Z120" i="8" a="1"/>
  <c r="Z120" i="8" s="1"/>
  <c r="AF120" i="8" s="1"/>
  <c r="AG56" i="8"/>
  <c r="AA56" i="8"/>
  <c r="Z57" i="8" a="1"/>
  <c r="Z57" i="8" s="1"/>
  <c r="AA57" i="8"/>
  <c r="AA120" i="8"/>
  <c r="Z121" i="8" a="1"/>
  <c r="Z121" i="8" s="1"/>
  <c r="AF121" i="8" s="1"/>
  <c r="AA103" i="8"/>
  <c r="Z104" i="8" a="1"/>
  <c r="Z104" i="8" s="1"/>
  <c r="AF104" i="8" s="1"/>
  <c r="AA122" i="8"/>
  <c r="Z123" i="8" a="1"/>
  <c r="Z123" i="8" s="1"/>
  <c r="AF123" i="8" s="1"/>
  <c r="AA128" i="8"/>
  <c r="Z129" i="8" a="1"/>
  <c r="Z129" i="8" s="1"/>
  <c r="AF129" i="8" s="1"/>
  <c r="AA105" i="8"/>
  <c r="Z106" i="8" a="1"/>
  <c r="Z106" i="8" s="1"/>
  <c r="AF106" i="8" s="1"/>
  <c r="AG71" i="8"/>
  <c r="AA71" i="8"/>
  <c r="Z72" i="8" a="1"/>
  <c r="Z72" i="8" s="1"/>
  <c r="AF72" i="8" s="1"/>
  <c r="AA72" i="8"/>
  <c r="AA123" i="8"/>
  <c r="Z124" i="8" a="1"/>
  <c r="Z124" i="8" s="1"/>
  <c r="AG124" i="8" s="1"/>
  <c r="AA51" i="8"/>
  <c r="AG51" i="8"/>
  <c r="Z52" i="8" a="1"/>
  <c r="Z52" i="8" s="1"/>
  <c r="AA41" i="8"/>
  <c r="AG41" i="8"/>
  <c r="Z42" i="8" a="1"/>
  <c r="Z42" i="8" s="1"/>
  <c r="AA131" i="8"/>
  <c r="Z132" i="8" a="1"/>
  <c r="Z132" i="8" s="1"/>
  <c r="AF132" i="8" s="1"/>
  <c r="AA102" i="8"/>
  <c r="Z103" i="8" a="1"/>
  <c r="Z103" i="8" s="1"/>
  <c r="AF103" i="8" s="1"/>
  <c r="AA116" i="8"/>
  <c r="Z117" i="8" a="1"/>
  <c r="Z117" i="8" s="1"/>
  <c r="AF117" i="8" s="1"/>
  <c r="AA130" i="8"/>
  <c r="Z131" i="8" a="1"/>
  <c r="Z131" i="8" s="1"/>
  <c r="AF131" i="8" s="1"/>
  <c r="AA134" i="8"/>
  <c r="Z135" i="8" a="1"/>
  <c r="Z135" i="8" s="1"/>
  <c r="AF135" i="8" s="1"/>
  <c r="AA109" i="8"/>
  <c r="Z110" i="8" a="1"/>
  <c r="Z110" i="8" s="1"/>
  <c r="AF110" i="8" s="1"/>
  <c r="AA100" i="8"/>
  <c r="Z101" i="8" a="1"/>
  <c r="Z101" i="8" s="1"/>
  <c r="AA101" i="8" s="1"/>
  <c r="AG36" i="8"/>
  <c r="AA36" i="8"/>
  <c r="Z37" i="8" a="1"/>
  <c r="Z37" i="8" s="1"/>
  <c r="AA60" i="8"/>
  <c r="AG60" i="8"/>
  <c r="Z61" i="8" a="1"/>
  <c r="Z61" i="8" s="1"/>
  <c r="AA61" i="8"/>
  <c r="AA126" i="8"/>
  <c r="Z127" i="8" a="1"/>
  <c r="Z127" i="8" s="1"/>
  <c r="AG127" i="8" s="1"/>
  <c r="AA93" i="8"/>
  <c r="Z94" i="8" a="1"/>
  <c r="Z94" i="8" s="1"/>
  <c r="AA94" i="8" s="1"/>
  <c r="AA95" i="8"/>
  <c r="Z96" i="8" a="1"/>
  <c r="Z96" i="8" s="1"/>
  <c r="AG96" i="8" s="1"/>
  <c r="AA98" i="8"/>
  <c r="Z99" i="8" a="1"/>
  <c r="Z99" i="8" s="1"/>
  <c r="AG99" i="8" s="1"/>
  <c r="AA129" i="8"/>
  <c r="Z130" i="8" a="1"/>
  <c r="Z130" i="8" s="1"/>
  <c r="AG130" i="8" s="1"/>
  <c r="AG34" i="8"/>
  <c r="AA34" i="8"/>
  <c r="Z35" i="8" a="1"/>
  <c r="Z35" i="8" s="1"/>
  <c r="AA35" i="8"/>
  <c r="AA96" i="8"/>
  <c r="Z97" i="8" a="1"/>
  <c r="Z97" i="8" s="1"/>
  <c r="AF97" i="8" s="1"/>
  <c r="AG66" i="8"/>
  <c r="AA66" i="8"/>
  <c r="Z67" i="8" a="1"/>
  <c r="Z67" i="8" s="1"/>
  <c r="AF67" i="8" s="1"/>
  <c r="AA67" i="8"/>
  <c r="AA58" i="8"/>
  <c r="AG58" i="8"/>
  <c r="Z59" i="8" a="1"/>
  <c r="Z59" i="8" s="1"/>
  <c r="AF59" i="8" s="1"/>
  <c r="AA59" i="8"/>
  <c r="AA74" i="8"/>
  <c r="AG74" i="8"/>
  <c r="Z75" i="8" a="1"/>
  <c r="Z75" i="8" s="1"/>
  <c r="AF75" i="8" s="1"/>
  <c r="AA75" i="8"/>
  <c r="AA127" i="8"/>
  <c r="Z128" i="8" a="1"/>
  <c r="Z128" i="8" s="1"/>
  <c r="AF128" i="8" s="1"/>
  <c r="AA132" i="8"/>
  <c r="Z133" i="8" a="1"/>
  <c r="Z133" i="8" s="1"/>
  <c r="AF133" i="8" s="1"/>
  <c r="AG111" i="8"/>
  <c r="AG95" i="8"/>
  <c r="AG98" i="8"/>
  <c r="AG90" i="8"/>
  <c r="AG125" i="8"/>
  <c r="AG109" i="8"/>
  <c r="AG93" i="8"/>
  <c r="AA84" i="8"/>
  <c r="AG131" i="8"/>
  <c r="AG107" i="8"/>
  <c r="AG118" i="8"/>
  <c r="AG102" i="8"/>
  <c r="AG86" i="8"/>
  <c r="M85" i="8"/>
  <c r="AG113" i="8"/>
  <c r="AG89" i="8"/>
  <c r="AG84" i="8"/>
  <c r="AG100" i="8"/>
  <c r="AG92" i="8"/>
  <c r="AG108" i="8"/>
  <c r="Z85" i="8" a="1"/>
  <c r="Z85" i="8" s="1"/>
  <c r="AA85" i="8" s="1"/>
  <c r="AB83" i="8"/>
  <c r="AB73" i="8"/>
  <c r="AA69" i="8"/>
  <c r="AG69" i="8"/>
  <c r="Z70" i="8" a="1"/>
  <c r="Z70" i="8" s="1"/>
  <c r="AA70" i="8"/>
  <c r="AA111" i="8"/>
  <c r="Z112" i="8" a="1"/>
  <c r="Z112" i="8" s="1"/>
  <c r="AA112" i="8" s="1"/>
  <c r="AA113" i="8"/>
  <c r="Z114" i="8" a="1"/>
  <c r="Z114" i="8" s="1"/>
  <c r="AG114" i="8" s="1"/>
  <c r="AG105" i="8" l="1"/>
  <c r="AG106" i="8"/>
  <c r="AG126" i="8"/>
  <c r="AG91" i="8"/>
  <c r="AG87" i="8"/>
  <c r="AA135" i="8"/>
  <c r="AG110" i="8"/>
  <c r="AG103" i="8"/>
  <c r="AG120" i="8"/>
  <c r="AG116" i="8"/>
  <c r="AG88" i="8"/>
  <c r="AG121" i="8"/>
  <c r="AG122" i="8"/>
  <c r="AA110" i="8"/>
  <c r="AF124" i="8"/>
  <c r="AH124" i="8" s="1"/>
  <c r="AB124" i="8" s="1"/>
  <c r="AG129" i="8"/>
  <c r="AG117" i="8"/>
  <c r="AG94" i="8"/>
  <c r="AG132" i="8"/>
  <c r="AF101" i="8"/>
  <c r="AF134" i="8"/>
  <c r="AH134" i="8" s="1"/>
  <c r="AB134" i="8" s="1"/>
  <c r="AG123" i="8"/>
  <c r="AF85" i="8"/>
  <c r="AH85" i="8" s="1"/>
  <c r="AB85" i="8" s="1"/>
  <c r="AG119" i="8"/>
  <c r="AG135" i="8"/>
  <c r="AF94" i="8"/>
  <c r="AH94" i="8" s="1"/>
  <c r="AG85" i="8"/>
  <c r="AF127" i="8"/>
  <c r="AH127" i="8" s="1"/>
  <c r="AB127" i="8" s="1"/>
  <c r="AH111" i="8"/>
  <c r="AB111" i="8" s="1"/>
  <c r="AG101" i="8"/>
  <c r="AH58" i="8"/>
  <c r="AB58" i="8" s="1"/>
  <c r="AH129" i="8"/>
  <c r="AB129" i="8" s="1"/>
  <c r="AH109" i="8"/>
  <c r="AB109" i="8" s="1"/>
  <c r="AH131" i="8"/>
  <c r="AB131" i="8" s="1"/>
  <c r="AH71" i="8"/>
  <c r="AB71" i="8" s="1"/>
  <c r="AH120" i="8"/>
  <c r="AB120" i="8" s="1"/>
  <c r="AA88" i="8"/>
  <c r="AF114" i="8"/>
  <c r="AG128" i="8"/>
  <c r="AF112" i="8"/>
  <c r="AH112" i="8" s="1"/>
  <c r="AF130" i="8"/>
  <c r="AH130" i="8" s="1"/>
  <c r="AG61" i="8"/>
  <c r="AJ61" i="8"/>
  <c r="AH67" i="8"/>
  <c r="AB67" i="8" s="1"/>
  <c r="Y43" i="8" a="1"/>
  <c r="Y43" i="8" s="1"/>
  <c r="AJ42" i="8"/>
  <c r="AJ57" i="8"/>
  <c r="AG57" i="8"/>
  <c r="AH87" i="8"/>
  <c r="AB87" i="8" s="1"/>
  <c r="AJ70" i="8"/>
  <c r="AG70" i="8"/>
  <c r="AH56" i="8"/>
  <c r="AB56" i="8" s="1"/>
  <c r="AH121" i="8"/>
  <c r="AB121" i="8" s="1"/>
  <c r="AJ65" i="8"/>
  <c r="AG65" i="8"/>
  <c r="AH135" i="8"/>
  <c r="AB135" i="8" s="1"/>
  <c r="AH132" i="8"/>
  <c r="AB132" i="8" s="1"/>
  <c r="AJ67" i="8"/>
  <c r="AG67" i="8"/>
  <c r="AA99" i="8"/>
  <c r="AH60" i="8"/>
  <c r="AB60" i="8" s="1"/>
  <c r="AG97" i="8"/>
  <c r="AG115" i="8"/>
  <c r="AG133" i="8"/>
  <c r="AH66" i="8"/>
  <c r="AB66" i="8" s="1"/>
  <c r="AF99" i="8"/>
  <c r="AF61" i="8"/>
  <c r="AH41" i="8"/>
  <c r="AB41" i="8" s="1"/>
  <c r="AH105" i="8"/>
  <c r="AB105" i="8" s="1"/>
  <c r="AF57" i="8"/>
  <c r="AH57" i="8" s="1"/>
  <c r="AH64" i="8"/>
  <c r="AB64" i="8" s="1"/>
  <c r="Y38" i="8" a="1"/>
  <c r="Y38" i="8" s="1"/>
  <c r="AJ37" i="8"/>
  <c r="AF42" i="8"/>
  <c r="AF65" i="8"/>
  <c r="AH65" i="8" s="1"/>
  <c r="AB65" i="8" s="1"/>
  <c r="AH36" i="8"/>
  <c r="AB36" i="8" s="1"/>
  <c r="Y53" i="8" a="1"/>
  <c r="Y53" i="8" s="1"/>
  <c r="AJ52" i="8"/>
  <c r="AF96" i="8"/>
  <c r="AH128" i="8"/>
  <c r="AB128" i="8" s="1"/>
  <c r="AH119" i="8"/>
  <c r="AB119" i="8" s="1"/>
  <c r="AH86" i="8"/>
  <c r="AB86" i="8" s="1"/>
  <c r="AH98" i="8"/>
  <c r="AB98" i="8" s="1"/>
  <c r="AF70" i="8"/>
  <c r="AH84" i="8"/>
  <c r="AB84" i="8"/>
  <c r="AH51" i="8"/>
  <c r="AB51" i="8" s="1"/>
  <c r="AA91" i="8"/>
  <c r="AA107" i="8"/>
  <c r="S85" i="8"/>
  <c r="T85" i="8" s="1"/>
  <c r="AJ85" i="8" s="1"/>
  <c r="N85" i="8"/>
  <c r="M86" i="8" s="1"/>
  <c r="AJ75" i="8"/>
  <c r="AG75" i="8"/>
  <c r="AA117" i="8"/>
  <c r="AF52" i="8"/>
  <c r="AH122" i="8"/>
  <c r="AB122" i="8" s="1"/>
  <c r="AH125" i="8"/>
  <c r="AB125" i="8" s="1"/>
  <c r="AH75" i="8"/>
  <c r="AB75" i="8" s="1"/>
  <c r="AH95" i="8"/>
  <c r="AB95" i="8" s="1"/>
  <c r="AF37" i="8"/>
  <c r="AG104" i="8"/>
  <c r="AH116" i="8"/>
  <c r="AB116" i="8" s="1"/>
  <c r="AH133" i="8"/>
  <c r="AB133" i="8" s="1"/>
  <c r="AH90" i="8"/>
  <c r="AB90" i="8" s="1"/>
  <c r="AH106" i="8"/>
  <c r="AB106" i="8" s="1"/>
  <c r="AJ35" i="8"/>
  <c r="AG35" i="8"/>
  <c r="AH123" i="8"/>
  <c r="AB123" i="8" s="1"/>
  <c r="AH74" i="8"/>
  <c r="AB74" i="8" s="1"/>
  <c r="AH34" i="8"/>
  <c r="AB34" i="8" s="1"/>
  <c r="AH93" i="8"/>
  <c r="AB93" i="8" s="1"/>
  <c r="AH100" i="8"/>
  <c r="AB100" i="8" s="1"/>
  <c r="AH103" i="8"/>
  <c r="AB103" i="8" s="1"/>
  <c r="AH115" i="8"/>
  <c r="AB115" i="8" s="1"/>
  <c r="AH72" i="8"/>
  <c r="AB72" i="8" s="1"/>
  <c r="AH118" i="8"/>
  <c r="AB118" i="8" s="1"/>
  <c r="AH114" i="8"/>
  <c r="AH69" i="8"/>
  <c r="AB69" i="8" s="1"/>
  <c r="AJ72" i="8"/>
  <c r="AG72" i="8"/>
  <c r="AH97" i="8"/>
  <c r="AB97" i="8" s="1"/>
  <c r="AG112" i="8"/>
  <c r="AH113" i="8"/>
  <c r="AB113" i="8" s="1"/>
  <c r="AH59" i="8"/>
  <c r="AB59" i="8" s="1"/>
  <c r="AG59" i="8"/>
  <c r="AJ59" i="8"/>
  <c r="AF35" i="8"/>
  <c r="AH126" i="8"/>
  <c r="AB126" i="8" s="1"/>
  <c r="AH110" i="8"/>
  <c r="AB110" i="8" s="1"/>
  <c r="AH102" i="8"/>
  <c r="AB102" i="8"/>
  <c r="AH104" i="8"/>
  <c r="AB104" i="8" s="1"/>
  <c r="AB114" i="8" l="1"/>
  <c r="AH101" i="8"/>
  <c r="AB101" i="8" s="1"/>
  <c r="AB94" i="8"/>
  <c r="AH70" i="8"/>
  <c r="AB70" i="8" s="1"/>
  <c r="AH88" i="8"/>
  <c r="AB88" i="8" s="1"/>
  <c r="AH99" i="8"/>
  <c r="AB99" i="8" s="1"/>
  <c r="AH96" i="8"/>
  <c r="AB96" i="8" s="1"/>
  <c r="AH91" i="8"/>
  <c r="AB91" i="8" s="1"/>
  <c r="AG52" i="8"/>
  <c r="AA52" i="8"/>
  <c r="Z53" i="8" a="1"/>
  <c r="Z53" i="8" s="1"/>
  <c r="AB130" i="8"/>
  <c r="AG42" i="8"/>
  <c r="AA42" i="8"/>
  <c r="Z43" i="8" a="1"/>
  <c r="Z43" i="8" s="1"/>
  <c r="AA43" i="8"/>
  <c r="AH107" i="8"/>
  <c r="AB107" i="8" s="1"/>
  <c r="AH117" i="8"/>
  <c r="AB117" i="8" s="1"/>
  <c r="AB57" i="8"/>
  <c r="AB112" i="8"/>
  <c r="AH35" i="8"/>
  <c r="AB35" i="8" s="1"/>
  <c r="AH61" i="8"/>
  <c r="AB61" i="8" s="1"/>
  <c r="AG37" i="8"/>
  <c r="AA37" i="8"/>
  <c r="Z38" i="8" a="1"/>
  <c r="Z38" i="8" s="1"/>
  <c r="S86" i="8"/>
  <c r="T86" i="8" s="1"/>
  <c r="AJ86" i="8" s="1"/>
  <c r="N86" i="8"/>
  <c r="M87" i="8" s="1"/>
  <c r="Y54" i="8" l="1" a="1"/>
  <c r="Y54" i="8" s="1"/>
  <c r="AJ53" i="8"/>
  <c r="AH52" i="8"/>
  <c r="AB52" i="8" s="1"/>
  <c r="AF53" i="8"/>
  <c r="AH37" i="8"/>
  <c r="AB37" i="8"/>
  <c r="AJ43" i="8"/>
  <c r="AG43" i="8"/>
  <c r="S87" i="8"/>
  <c r="T87" i="8" s="1"/>
  <c r="AJ87" i="8" s="1"/>
  <c r="N87" i="8"/>
  <c r="M88" i="8" s="1"/>
  <c r="AH42" i="8"/>
  <c r="AB42" i="8" s="1"/>
  <c r="Y39" i="8" a="1"/>
  <c r="Y39" i="8" s="1"/>
  <c r="AJ38" i="8"/>
  <c r="AF43" i="8"/>
  <c r="AH43" i="8" s="1"/>
  <c r="AF38" i="8"/>
  <c r="S88" i="8" l="1"/>
  <c r="T88" i="8" s="1"/>
  <c r="AJ88" i="8" s="1"/>
  <c r="N88" i="8"/>
  <c r="M89" i="8" s="1"/>
  <c r="AB43" i="8"/>
  <c r="AA38" i="8"/>
  <c r="AG38" i="8"/>
  <c r="Z39" i="8" a="1"/>
  <c r="Z39" i="8" s="1"/>
  <c r="AA39" i="8"/>
  <c r="AA53" i="8"/>
  <c r="AG53" i="8"/>
  <c r="Z54" i="8" a="1"/>
  <c r="Z54" i="8" s="1"/>
  <c r="AF54" i="8" s="1"/>
  <c r="AJ39" i="8" l="1"/>
  <c r="AG39" i="8"/>
  <c r="AF39" i="8"/>
  <c r="AH39" i="8" s="1"/>
  <c r="AH38" i="8"/>
  <c r="AB38" i="8" s="1"/>
  <c r="AH53" i="8"/>
  <c r="AB53" i="8" s="1"/>
  <c r="S89" i="8"/>
  <c r="T89" i="8" s="1"/>
  <c r="AJ89" i="8" s="1"/>
  <c r="N89" i="8"/>
  <c r="M90" i="8" s="1"/>
  <c r="Y55" i="8" a="1"/>
  <c r="Y55" i="8" s="1"/>
  <c r="AJ54" i="8"/>
  <c r="AB39" i="8" l="1"/>
  <c r="S90" i="8"/>
  <c r="T90" i="8" s="1"/>
  <c r="AJ90" i="8" s="1"/>
  <c r="N90" i="8"/>
  <c r="M91" i="8" s="1"/>
  <c r="AA54" i="8"/>
  <c r="AG54" i="8"/>
  <c r="Z55" i="8" a="1"/>
  <c r="Z55" i="8" s="1"/>
  <c r="AF55" i="8" s="1"/>
  <c r="AA55" i="8"/>
  <c r="AH54" i="8" l="1"/>
  <c r="AB54" i="8" s="1"/>
  <c r="AJ55" i="8"/>
  <c r="AG55" i="8"/>
  <c r="S91" i="8"/>
  <c r="T91" i="8" s="1"/>
  <c r="AJ91" i="8" s="1"/>
  <c r="N91" i="8"/>
  <c r="M92" i="8" s="1"/>
  <c r="AH55" i="8"/>
  <c r="AB55" i="8" s="1"/>
  <c r="S92" i="8" l="1"/>
  <c r="T92" i="8" s="1"/>
  <c r="AJ92" i="8" s="1"/>
  <c r="N92" i="8"/>
  <c r="M93" i="8" s="1"/>
  <c r="S93" i="8" l="1"/>
  <c r="T93" i="8" s="1"/>
  <c r="AJ93" i="8" s="1"/>
  <c r="N93" i="8"/>
  <c r="M94" i="8" s="1"/>
  <c r="S94" i="8" l="1"/>
  <c r="T94" i="8" s="1"/>
  <c r="AJ94" i="8" s="1"/>
  <c r="N94" i="8"/>
  <c r="M95" i="8" s="1"/>
  <c r="S95" i="8" l="1"/>
  <c r="T95" i="8" s="1"/>
  <c r="AJ95" i="8" s="1"/>
  <c r="N95" i="8"/>
  <c r="M96" i="8" s="1"/>
  <c r="S96" i="8" l="1"/>
  <c r="T96" i="8" s="1"/>
  <c r="AJ96" i="8" s="1"/>
  <c r="N96" i="8"/>
  <c r="M97" i="8" s="1"/>
  <c r="S97" i="8" l="1"/>
  <c r="T97" i="8" s="1"/>
  <c r="AJ97" i="8" s="1"/>
  <c r="N97" i="8"/>
  <c r="M98" i="8" s="1"/>
  <c r="S98" i="8" l="1"/>
  <c r="T98" i="8" s="1"/>
  <c r="AJ98" i="8" s="1"/>
  <c r="N98" i="8"/>
  <c r="M99" i="8" s="1"/>
  <c r="S99" i="8" l="1"/>
  <c r="T99" i="8" s="1"/>
  <c r="AJ99" i="8" s="1"/>
  <c r="N99" i="8"/>
  <c r="M100" i="8" s="1"/>
  <c r="S100" i="8" l="1"/>
  <c r="T100" i="8" s="1"/>
  <c r="AJ100" i="8" s="1"/>
  <c r="N100" i="8"/>
  <c r="M101" i="8" s="1"/>
  <c r="S101" i="8" l="1"/>
  <c r="T101" i="8" s="1"/>
  <c r="AJ101" i="8" s="1"/>
  <c r="N101" i="8"/>
  <c r="M102" i="8" s="1"/>
  <c r="S102" i="8" l="1"/>
  <c r="T102" i="8" s="1"/>
  <c r="AJ102" i="8" s="1"/>
  <c r="N102" i="8"/>
  <c r="M103" i="8" s="1"/>
  <c r="S103" i="8" l="1"/>
  <c r="T103" i="8" s="1"/>
  <c r="AJ103" i="8" s="1"/>
  <c r="N103" i="8"/>
  <c r="M104" i="8" s="1"/>
  <c r="S104" i="8" l="1"/>
  <c r="T104" i="8" s="1"/>
  <c r="AJ104" i="8" s="1"/>
  <c r="N104" i="8"/>
  <c r="M105" i="8" s="1"/>
  <c r="S105" i="8" l="1"/>
  <c r="T105" i="8" s="1"/>
  <c r="AJ105" i="8" s="1"/>
  <c r="N105" i="8"/>
  <c r="M106" i="8" s="1"/>
  <c r="S106" i="8" l="1"/>
  <c r="T106" i="8" s="1"/>
  <c r="AJ106" i="8" s="1"/>
  <c r="N106" i="8"/>
  <c r="M107" i="8" s="1"/>
  <c r="S107" i="8" l="1"/>
  <c r="T107" i="8" s="1"/>
  <c r="AJ107" i="8" s="1"/>
  <c r="N107" i="8"/>
  <c r="M108" i="8" s="1"/>
  <c r="S108" i="8" l="1"/>
  <c r="T108" i="8" s="1"/>
  <c r="AJ108" i="8" s="1"/>
  <c r="N108" i="8"/>
  <c r="M109" i="8" s="1"/>
  <c r="S109" i="8" l="1"/>
  <c r="T109" i="8" s="1"/>
  <c r="AJ109" i="8" s="1"/>
  <c r="N109" i="8"/>
  <c r="M110" i="8" s="1"/>
  <c r="N110" i="8" l="1"/>
  <c r="M111" i="8" s="1"/>
  <c r="S110" i="8"/>
  <c r="T110" i="8" s="1"/>
  <c r="AJ110" i="8" s="1"/>
  <c r="S111" i="8" l="1"/>
  <c r="T111" i="8" s="1"/>
  <c r="AJ111" i="8" s="1"/>
  <c r="N111" i="8"/>
  <c r="M112" i="8" s="1"/>
  <c r="S112" i="8" l="1"/>
  <c r="T112" i="8" s="1"/>
  <c r="AJ112" i="8" s="1"/>
  <c r="N112" i="8"/>
  <c r="M113" i="8" s="1"/>
  <c r="S113" i="8" l="1"/>
  <c r="T113" i="8" s="1"/>
  <c r="AJ113" i="8" s="1"/>
  <c r="N113" i="8"/>
  <c r="M114" i="8" s="1"/>
  <c r="S114" i="8" l="1"/>
  <c r="T114" i="8" s="1"/>
  <c r="AJ114" i="8" s="1"/>
  <c r="N114" i="8"/>
  <c r="M115" i="8" s="1"/>
  <c r="S115" i="8" l="1"/>
  <c r="T115" i="8" s="1"/>
  <c r="AJ115" i="8" s="1"/>
  <c r="N115" i="8"/>
  <c r="M116" i="8" s="1"/>
  <c r="S116" i="8" l="1"/>
  <c r="T116" i="8" s="1"/>
  <c r="AJ116" i="8" s="1"/>
  <c r="N116" i="8"/>
  <c r="M117" i="8" s="1"/>
  <c r="S117" i="8" l="1"/>
  <c r="T117" i="8" s="1"/>
  <c r="AJ117" i="8" s="1"/>
  <c r="N117" i="8"/>
  <c r="M118" i="8" s="1"/>
  <c r="N118" i="8" l="1"/>
  <c r="M119" i="8" s="1"/>
  <c r="S118" i="8"/>
  <c r="T118" i="8" s="1"/>
  <c r="AJ118" i="8" s="1"/>
  <c r="S119" i="8" l="1"/>
  <c r="T119" i="8" s="1"/>
  <c r="AJ119" i="8" s="1"/>
  <c r="N119" i="8"/>
  <c r="M120" i="8" s="1"/>
  <c r="S120" i="8" l="1"/>
  <c r="T120" i="8" s="1"/>
  <c r="AJ120" i="8" s="1"/>
  <c r="N120" i="8"/>
  <c r="M121" i="8" s="1"/>
  <c r="N121" i="8" l="1"/>
  <c r="M122" i="8" s="1"/>
  <c r="S121" i="8"/>
  <c r="T121" i="8" s="1"/>
  <c r="AJ121" i="8" s="1"/>
  <c r="S122" i="8" l="1"/>
  <c r="T122" i="8" s="1"/>
  <c r="AJ122" i="8" s="1"/>
  <c r="N122" i="8"/>
  <c r="M123" i="8" s="1"/>
  <c r="S123" i="8" l="1"/>
  <c r="T123" i="8" s="1"/>
  <c r="AJ123" i="8" s="1"/>
  <c r="N123" i="8"/>
  <c r="M124" i="8" s="1"/>
  <c r="S124" i="8" l="1"/>
  <c r="T124" i="8" s="1"/>
  <c r="AJ124" i="8" s="1"/>
  <c r="N124" i="8"/>
  <c r="M125" i="8" s="1"/>
  <c r="S125" i="8" l="1"/>
  <c r="T125" i="8" s="1"/>
  <c r="AJ125" i="8" s="1"/>
  <c r="N125" i="8"/>
  <c r="M126" i="8" s="1"/>
  <c r="N126" i="8" l="1"/>
  <c r="M127" i="8" s="1"/>
  <c r="S126" i="8"/>
  <c r="T126" i="8" s="1"/>
  <c r="AJ126" i="8" s="1"/>
  <c r="S127" i="8" l="1"/>
  <c r="T127" i="8" s="1"/>
  <c r="AJ127" i="8" s="1"/>
  <c r="N127" i="8"/>
  <c r="M128" i="8" s="1"/>
  <c r="S128" i="8" l="1"/>
  <c r="T128" i="8" s="1"/>
  <c r="AJ128" i="8" s="1"/>
  <c r="N128" i="8"/>
  <c r="M129" i="8" s="1"/>
  <c r="N129" i="8" l="1"/>
  <c r="M130" i="8" s="1"/>
  <c r="S129" i="8"/>
  <c r="T129" i="8" s="1"/>
  <c r="AJ129" i="8" s="1"/>
  <c r="S130" i="8" l="1"/>
  <c r="T130" i="8" s="1"/>
  <c r="AJ130" i="8" s="1"/>
  <c r="N130" i="8"/>
  <c r="M131" i="8" s="1"/>
  <c r="S131" i="8" l="1"/>
  <c r="T131" i="8" s="1"/>
  <c r="AJ131" i="8" s="1"/>
  <c r="N131" i="8"/>
  <c r="M132" i="8" s="1"/>
  <c r="S132" i="8" l="1"/>
  <c r="T132" i="8" s="1"/>
  <c r="AJ132" i="8" s="1"/>
  <c r="N132" i="8"/>
  <c r="M133" i="8" s="1"/>
  <c r="S133" i="8" l="1"/>
  <c r="T133" i="8" s="1"/>
  <c r="AJ133" i="8" s="1"/>
  <c r="N133" i="8"/>
  <c r="M134" i="8" s="1"/>
  <c r="N134" i="8" l="1"/>
  <c r="M135" i="8" s="1"/>
  <c r="S134" i="8"/>
  <c r="T134" i="8" s="1"/>
  <c r="AJ134" i="8" s="1"/>
  <c r="S135" i="8" l="1"/>
  <c r="T135" i="8" s="1"/>
  <c r="AJ135" i="8" s="1"/>
  <c r="N135" i="8"/>
  <c r="X4" i="8" s="1"/>
  <c r="X6" i="8" l="1"/>
  <c r="V6" i="5"/>
  <c r="V10" i="5" l="1"/>
  <c r="U10" i="5" s="1"/>
  <c r="D17" i="4"/>
  <c r="D18" i="4" l="1"/>
  <c r="C15"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Гриша</author>
  </authors>
  <commentList>
    <comment ref="E59" authorId="0" shapeId="0" xr:uid="{00000000-0006-0000-0100-000001000000}">
      <text>
        <r>
          <rPr>
            <sz val="12"/>
            <color theme="1"/>
            <rFont val="CenturyGothic"/>
            <family val="2"/>
            <charset val="204"/>
          </rPr>
          <t xml:space="preserve"> по типу раствора меняйте:  pH или Масло / Вода </t>
        </r>
      </text>
    </comment>
    <comment ref="E60" authorId="0" shapeId="0" xr:uid="{00000000-0006-0000-0100-000002000000}">
      <text>
        <r>
          <rPr>
            <sz val="12"/>
            <color theme="1"/>
            <rFont val="CenturyGothic"/>
            <family val="2"/>
            <charset val="204"/>
          </rPr>
          <t xml:space="preserve"> по типу раствора меняйте: Отношение УВ/В или  МВТ, кг/м3</t>
        </r>
      </text>
    </comment>
    <comment ref="E61" authorId="0" shapeId="0" xr:uid="{00000000-0006-0000-0100-000003000000}">
      <text>
        <r>
          <rPr>
            <sz val="12"/>
            <color theme="1"/>
            <rFont val="CenturyGothic"/>
            <family val="2"/>
            <charset val="204"/>
          </rPr>
          <t xml:space="preserve"> по типу раствора меняейте : Электростабильность или Общая жесткость</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MaslovVV</author>
    <author>Никита (Практика)</author>
    <author>Гриша</author>
  </authors>
  <commentList>
    <comment ref="D21" authorId="0" shapeId="0" xr:uid="{00000000-0006-0000-0300-000001000000}">
      <text>
        <r>
          <rPr>
            <sz val="12"/>
            <color theme="1"/>
            <rFont val="CenturyGothic"/>
            <family val="2"/>
            <charset val="204"/>
          </rPr>
          <t>Прописывается вертикаль для забоя на 24-00</t>
        </r>
      </text>
    </comment>
    <comment ref="D22" authorId="1" shapeId="0" xr:uid="{00000000-0006-0000-0300-000002000000}">
      <text>
        <r>
          <rPr>
            <sz val="12"/>
            <color theme="1"/>
            <rFont val="CenturyGothic"/>
            <family val="2"/>
            <charset val="204"/>
          </rPr>
          <t xml:space="preserve">Проходка рассчитывается автоматически на основании фактического забоя, указанного в графе 2 Подробная сводка. </t>
        </r>
      </text>
    </comment>
    <comment ref="F35" authorId="1" shapeId="0" xr:uid="{00000000-0006-0000-0300-000003000000}">
      <text>
        <r>
          <rPr>
            <sz val="12"/>
            <color theme="1"/>
            <rFont val="CenturyGothic"/>
            <family val="2"/>
            <charset val="204"/>
          </rPr>
          <t>В этот столбец вручную прописываются все фактически выполненные за сутки работы на кустовой площадке, включая хозяйственные работы, инвентаризацию и прочие</t>
        </r>
      </text>
    </comment>
    <comment ref="G35" authorId="1" shapeId="0" xr:uid="{00000000-0006-0000-0300-000004000000}">
      <text>
        <r>
          <rPr>
            <sz val="12"/>
            <color theme="1"/>
            <rFont val="CenturyGothic"/>
            <family val="2"/>
            <charset val="204"/>
          </rPr>
          <t xml:space="preserve">Выберите наиболее подходящий вид работ из выпадающего списка (присутствует в каждой ячейке)
</t>
        </r>
      </text>
    </comment>
    <comment ref="I35" authorId="1" shapeId="0" xr:uid="{00000000-0006-0000-0300-000005000000}">
      <text>
        <r>
          <rPr>
            <sz val="12"/>
            <color theme="1"/>
            <rFont val="CenturyGothic"/>
            <family val="2"/>
            <charset val="204"/>
          </rPr>
          <t>Обязательное к заполнению поле. Указывается ремонтируемое оборудование, причины остановки работы, пояснения по невыполнению работ, № прилагаемого акта НПВ и пр.</t>
        </r>
      </text>
    </comment>
    <comment ref="F57" authorId="1" shapeId="0" xr:uid="{00000000-0006-0000-0300-000006000000}">
      <text>
        <r>
          <rPr>
            <sz val="12"/>
            <color theme="1"/>
            <rFont val="CenturyGothic"/>
            <family val="2"/>
            <charset val="204"/>
          </rPr>
          <t>В этот столбец вручную прописываются все фактически выполненные за сутки работы на кустовой площадке, включая хозяйственные работы, инвентаризацию и прочие</t>
        </r>
      </text>
    </comment>
    <comment ref="G57" authorId="1" shapeId="0" xr:uid="{00000000-0006-0000-0300-000007000000}">
      <text>
        <r>
          <rPr>
            <sz val="12"/>
            <color theme="1"/>
            <rFont val="CenturyGothic"/>
            <family val="2"/>
            <charset val="204"/>
          </rPr>
          <t xml:space="preserve">Выберите наиболее подходящий вид работ из выпадающего списка (присутствует в каждой ячейке)
</t>
        </r>
      </text>
    </comment>
    <comment ref="I57" authorId="1" shapeId="0" xr:uid="{00000000-0006-0000-0300-000008000000}">
      <text>
        <r>
          <rPr>
            <sz val="12"/>
            <color theme="1"/>
            <rFont val="CenturyGothic"/>
            <family val="2"/>
            <charset val="204"/>
          </rPr>
          <t>Обязательное к заполнению поле. Указывается ремонтируемое оборудование, причины остановки работы, пояснения по невыполнению работ, № прилагаемого акта НПВ и пр.</t>
        </r>
      </text>
    </comment>
    <comment ref="B147" authorId="2" shapeId="0" xr:uid="{00000000-0006-0000-0300-000009000000}">
      <text>
        <r>
          <rPr>
            <sz val="12"/>
            <color theme="1"/>
            <rFont val="CenturyGothic"/>
            <family val="2"/>
            <charset val="204"/>
          </rPr>
          <t xml:space="preserve"> по типу раствора меняйте:  pH или Масло / Вода </t>
        </r>
      </text>
    </comment>
    <comment ref="B148" authorId="2" shapeId="0" xr:uid="{00000000-0006-0000-0300-00000A000000}">
      <text>
        <r>
          <rPr>
            <sz val="12"/>
            <color theme="1"/>
            <rFont val="CenturyGothic"/>
            <family val="2"/>
            <charset val="204"/>
          </rPr>
          <t xml:space="preserve"> по типу раствора меняйте: Отношение УВ/В или  МВТ, кг/м3</t>
        </r>
      </text>
    </comment>
    <comment ref="B149" authorId="2" shapeId="0" xr:uid="{00000000-0006-0000-0300-00000B000000}">
      <text>
        <r>
          <rPr>
            <sz val="12"/>
            <color theme="1"/>
            <rFont val="CenturyGothic"/>
            <family val="2"/>
            <charset val="204"/>
          </rPr>
          <t xml:space="preserve"> по типу раствора меняейте : Электростабильность или Общая жесткость</t>
        </r>
      </text>
    </comment>
  </commentList>
</comments>
</file>

<file path=xl/sharedStrings.xml><?xml version="1.0" encoding="utf-8"?>
<sst xmlns="http://schemas.openxmlformats.org/spreadsheetml/2006/main" count="7230" uniqueCount="1911">
  <si>
    <t>Проект</t>
  </si>
  <si>
    <t>Основные работы</t>
  </si>
  <si>
    <t>Месторождение</t>
  </si>
  <si>
    <t>Куст</t>
  </si>
  <si>
    <t>Скважина</t>
  </si>
  <si>
    <t>Мастер</t>
  </si>
  <si>
    <t>Помощник мастера</t>
  </si>
  <si>
    <t>Бурильщик</t>
  </si>
  <si>
    <t>№ рапорта</t>
  </si>
  <si>
    <t>№ п/п</t>
  </si>
  <si>
    <t>ОК</t>
  </si>
  <si>
    <t>Этап</t>
  </si>
  <si>
    <t>Контекст простоя</t>
  </si>
  <si>
    <t>Событие</t>
  </si>
  <si>
    <t>Категория работ</t>
  </si>
  <si>
    <t>Вид работ</t>
  </si>
  <si>
    <t>Категория объектов</t>
  </si>
  <si>
    <t>Объект работ</t>
  </si>
  <si>
    <t>Рейс</t>
  </si>
  <si>
    <t>Описание работ</t>
  </si>
  <si>
    <t>Часы</t>
  </si>
  <si>
    <t>Забой, м</t>
  </si>
  <si>
    <t>Статус</t>
  </si>
  <si>
    <t>Ответственный за НПВ</t>
  </si>
  <si>
    <t>Слайд/ротор</t>
  </si>
  <si>
    <t>G, т</t>
  </si>
  <si>
    <t>Q, л/с</t>
  </si>
  <si>
    <t>P, атм</t>
  </si>
  <si>
    <t>N, об/мин</t>
  </si>
  <si>
    <t>M, кН*м</t>
  </si>
  <si>
    <t>Проходка, м</t>
  </si>
  <si>
    <t>Начало</t>
  </si>
  <si>
    <t>Окончание</t>
  </si>
  <si>
    <t>Сутки</t>
  </si>
  <si>
    <t>Нараст. сутки</t>
  </si>
  <si>
    <t>Результат</t>
  </si>
  <si>
    <t>ПВ</t>
  </si>
  <si>
    <t>ПНВ</t>
  </si>
  <si>
    <t>НПВ</t>
  </si>
  <si>
    <t>Накопительное НПВ</t>
  </si>
  <si>
    <t>Накопительное ПНВ</t>
  </si>
  <si>
    <t>Дата начала</t>
  </si>
  <si>
    <t>Время начала</t>
  </si>
  <si>
    <t>Дата окончания</t>
  </si>
  <si>
    <t>Время окончания</t>
  </si>
  <si>
    <t>Бригада</t>
  </si>
  <si>
    <t>Ключ</t>
  </si>
  <si>
    <t>Результат, вид, объект</t>
  </si>
  <si>
    <t>Подытог за операцию</t>
  </si>
  <si>
    <t>Вид, объект</t>
  </si>
  <si>
    <t>ГДТ</t>
  </si>
  <si>
    <t>КРС</t>
  </si>
  <si>
    <t>Казанское</t>
  </si>
  <si>
    <t>6 бис</t>
  </si>
  <si>
    <t>Вдовин И.О.</t>
  </si>
  <si>
    <t>Жангазиев С.К.</t>
  </si>
  <si>
    <t>0.1</t>
  </si>
  <si>
    <t>ДПМ</t>
  </si>
  <si>
    <t>Штатно</t>
  </si>
  <si>
    <t>ПР</t>
  </si>
  <si>
    <t>Передвижка</t>
  </si>
  <si>
    <t>Оборудование</t>
  </si>
  <si>
    <t>УПА</t>
  </si>
  <si>
    <t>Переезд бригады на скв. № 6 бис к.п. № 1 бис КНГКМ с к.п. № 7 КНГКМ 9 рейсов L= 7,696км.</t>
  </si>
  <si>
    <t>Работы окончены</t>
  </si>
  <si>
    <t>Победит Холдинг</t>
  </si>
  <si>
    <t>Жабин П.П.</t>
  </si>
  <si>
    <t>Керимов Н.К.</t>
  </si>
  <si>
    <t>0.2</t>
  </si>
  <si>
    <t>Монтаж_демонтаж_установка</t>
  </si>
  <si>
    <t>Монтаж</t>
  </si>
  <si>
    <t>БО</t>
  </si>
  <si>
    <t>Расстановка оборудования- 9шт. Установка заземления - 9шт. Монтаж подставок под кабель-25шт. Подключение оборудования-8шт.  Монтаж Экр.колпаков - 1 шт.</t>
  </si>
  <si>
    <t>0.3</t>
  </si>
  <si>
    <t xml:space="preserve">Монтаж подъемного агрегата А-60/80 согласно ТУ и правил ПБ - 100%, РП, спайдера СУ-80, гидроключа ГКШ-1200, ИВЭ-50. Монтаж системы видеонаблюдения. Устройство 2-х якорей. Установка пригрузов 2-х комплектов. Монтаж ПМ и трёх облегченных стеллажей. </t>
  </si>
  <si>
    <t>0.4</t>
  </si>
  <si>
    <t>Орг_простой</t>
  </si>
  <si>
    <t>Ожидание разрешения</t>
  </si>
  <si>
    <t>Вспом_работы</t>
  </si>
  <si>
    <t>Устранение</t>
  </si>
  <si>
    <t>Орг_логист_объекты</t>
  </si>
  <si>
    <t>Предписания</t>
  </si>
  <si>
    <t xml:space="preserve">Запуск бригады КРС пусковой комиссией. </t>
  </si>
  <si>
    <t>Организационные</t>
  </si>
  <si>
    <t>0.5</t>
  </si>
  <si>
    <t>Срыв</t>
  </si>
  <si>
    <t>Объекты_устье</t>
  </si>
  <si>
    <t>Планшайба</t>
  </si>
  <si>
    <t>Подрыв ПШ (вес при подрыве ПШ 8,9тн). Разделка кабельного ввода. Протаскивание кабеля через КВ (L≈50м).  Демонтаж КВ, ПШ.</t>
  </si>
  <si>
    <t>0.6</t>
  </si>
  <si>
    <t>СПО</t>
  </si>
  <si>
    <t>Подъем</t>
  </si>
  <si>
    <t>Технологический_инструмент</t>
  </si>
  <si>
    <t>УЭЦН</t>
  </si>
  <si>
    <t>Комиссионный подъём 10.1ЭЦНМИК8 - 2000-350 с глубины 400,69 м. (39шт) на НКТП-114мм.Подъём НКТП-114мм осуществлять в соответствии с регламентом «По учёту и эксплуатации иа со сно- комп рессорных труб в АО «Газпром добыча Томск».</t>
  </si>
  <si>
    <t>Сборка_разборка_оснащение</t>
  </si>
  <si>
    <t>Разборка</t>
  </si>
  <si>
    <t xml:space="preserve">демонтаж 10.1ЭЦНМИК8 - 2000-350 (1 секция) согласно регламента "По взаимодействию структурных подразделений внутри АО "Газпром добыча Томск" и сервисных (подрядных) организаций при работе с электропогружным оборудованием. </t>
  </si>
  <si>
    <t>ГИС</t>
  </si>
  <si>
    <t>Объекты_ГИС</t>
  </si>
  <si>
    <t>АКЦ-прибор</t>
  </si>
  <si>
    <t xml:space="preserve">ГФР: спуск прибора для записи АКЦ,  ГФР: спуск прибора для записи АКЦ Силами ООО "Газпром недра" ПФ "Красноярскгазгеофизика в интервале от устья до текущего забоя (1448,6м). </t>
  </si>
  <si>
    <t>Подготовка</t>
  </si>
  <si>
    <t>Разгрузка на ПМ оборудования для монтажа УЭЦН. Монтаж катушки с кабелем на автонаматыватель.  Настройка клапанов ГКШ-1200МТ. Сверка номерных узлов УЭЦН. Центровка мачты</t>
  </si>
  <si>
    <t>Сборка</t>
  </si>
  <si>
    <t xml:space="preserve">монтаж 10.1ЭЦНМИК8-3000-300 (1 секция насоса, гидрозащита, ПЭД) согласно чек- листа по монтажу </t>
  </si>
  <si>
    <t>Спуск</t>
  </si>
  <si>
    <t xml:space="preserve">спуск 10.1 ЭЦНМИК8-3000-300 на глубину 450 метров по мере НКТП в следующей компоновке: ЭЦН + НКТП-114 мм до устья. Скорость СПО установки не более 0,25 м/сек. </t>
  </si>
  <si>
    <t>Демонтаж</t>
  </si>
  <si>
    <t>ГКШ</t>
  </si>
  <si>
    <t xml:space="preserve">Демонтаж РП. Демонтаж ГКШ-1200, СУ-80, (вес перед посадкой ПШ: на ↑ 4,9тн, на ↓ 4,6тн). </t>
  </si>
  <si>
    <t>Контроль_замер</t>
  </si>
  <si>
    <t>Замер</t>
  </si>
  <si>
    <t>Энергетика</t>
  </si>
  <si>
    <t>Электрооборудование</t>
  </si>
  <si>
    <t xml:space="preserve">Контрольный замер сопротивления изоляции совместно с представителем УРиЭ УЭЦН АО "Газпром добыча Томск" R=200МОм. Звезда есть. </t>
  </si>
  <si>
    <t>Заканчивание</t>
  </si>
  <si>
    <t>Перемонтаж</t>
  </si>
  <si>
    <t>Фонтанная арматура</t>
  </si>
  <si>
    <t>Монтаж ФА с протаскиванием кабеля (≈44м) через кабельный ввод. Монтаж кабельного ввода.   Контрольный замер изоляции кабеля с представителем УР и Э УЭЦН  АО "Газпром добыча Томск" после посадки планшайбы. R=200МОм. Звезда есть. Монтаж обвязки скважины.</t>
  </si>
  <si>
    <t>Испытания</t>
  </si>
  <si>
    <t>Запуск в работу</t>
  </si>
  <si>
    <t>Замер сопротивления  изоляции  кабельной линии перед запуском установки – 100МОм, звезда есть. Запуск  30.1ЭЦНМИК6-1000-370 на НСК в 18:30ч. Iпуск =21,4А; Iраб=19,7А; Частота – 40Гц; Загрузка – 42%; Подача сразу. Дебит составил V = 1040м3 ЗР после запуска.</t>
  </si>
  <si>
    <t>Демонтаж ИВЭ-50, РП, А- 60/80, пригрузов, якорей, ПМ и трёх облегчённых стеллажей, линии долива. Демонтаж пригрузов, якорей.Демонтаж ПМ и трёх облегчённых стеллажей, линии долива. Демонтаж 1-го защитных колпаков. Демонтаж заземления. Отключение оборудования. Демонтаж подставок под кабель. Уборка прилегающей к скважине территории.</t>
  </si>
  <si>
    <t>Демонтаж БО</t>
  </si>
  <si>
    <t>ПР к переезду на скв. 431 КП26 Казанского НГКМ.</t>
  </si>
  <si>
    <t>ПР и переезд на скв. 431 КП26 Казанского НГКМ — 4 рейса/10. Подключение вагон-городка.</t>
  </si>
  <si>
    <t>ПР и переезд на скв. 431 КП26 Казанского НГКМ — 5 рейсов/10. Зачистка территории прилегающей к скв. 6 бис, КП 1 бис. Покраска ФА.</t>
  </si>
  <si>
    <t>Переезд на скв. 431 КП26 Казанского НГКМ — 6 рейсов/10.</t>
  </si>
  <si>
    <t>Переезд на скв. 431 КП26 Казанского НГКМ — 7 рейсов/10.</t>
  </si>
  <si>
    <t>Переезд на скв. 431 КП26 Казанского НГКМ — 7 рейсов/10 (вагон-дом, мостки, стеллажи, ПВО, пригрузы, автовымотка, емкость 25м³, УПРСБ-80).</t>
  </si>
  <si>
    <t>Мобилизация 70%. Получение наряд-допуска на одновременные работы по скв. 431 КП26 Казанского НГКМ.</t>
  </si>
  <si>
    <t>Получение наряд-допуска. Планировка площадки. Мобилизация на скв. 431 КП26 — 1 рейс (емкость 40м³).</t>
  </si>
  <si>
    <t>Мобилизация на скв. 431 КП26 — 2 рейса (вагон-дом, стеллажи, доп. стеллажи, автонаматыватель, подключение). Растаскивание кабеля СИП 150м.</t>
  </si>
  <si>
    <t>Планировка площадки под УПРСБ-80 (уборка песка из под отсыпки под МБУ). Выставление трёх емкостей 25м³. Установка СУП.</t>
  </si>
  <si>
    <t>Установка инструментального вагона. Монтаж видеонаблюдения. Выставление емкостей на домкраты. Сборка линии для набора воды.</t>
  </si>
  <si>
    <t>Завоз</t>
  </si>
  <si>
    <t>Объекты_промывка_СО</t>
  </si>
  <si>
    <t>Тех. вода</t>
  </si>
  <si>
    <t>Сборка линии для набора тех. жидкости глушения. С 08:30 обвязка линии со скважиной. Попытки набора тех. воды со скв. ППД 858 (отрицательно).</t>
  </si>
  <si>
    <t>Попытки набора тех. воды со скв. ППД 858 (отрицательно).</t>
  </si>
  <si>
    <t>Внеплановый ремонт</t>
  </si>
  <si>
    <t>Ремонт</t>
  </si>
  <si>
    <t>Замена</t>
  </si>
  <si>
    <t>Запорная арматура</t>
  </si>
  <si>
    <t>Попытки набора тех. воды. Замена задвижки (15:00–17:00). С 17:00 набор тех. жидкости 10,2 м³.</t>
  </si>
  <si>
    <t>Технические</t>
  </si>
  <si>
    <t>Набор тех. жидкости для глушения 15 м³ из 55 м³.</t>
  </si>
  <si>
    <t>Набор тех. жидкости 25 м³ (общ. 40 м³ из 55 м³).</t>
  </si>
  <si>
    <t>Набор тех. жидкости 15 м³ (общ. 55 м³). Приготовление жидкости глушения ρ=1,01 г/см³.</t>
  </si>
  <si>
    <t>Опрессовка</t>
  </si>
  <si>
    <t>Опрессовка лифта НКТ на 6 МПа, обратного клапана ФА на 4 МПа (герметично).</t>
  </si>
  <si>
    <t>Установка на точку станции управления превентором. Установка превентора, линии гидравлики.</t>
  </si>
  <si>
    <t>Обвязка станции управления, заправка маслом. Сборка запорной компоновки.</t>
  </si>
  <si>
    <t>ПР к стендовой опрессовке ПВО.</t>
  </si>
  <si>
    <t>Сборка стволовой ПВО (превентор, катушка, шланец, фланец, две гидрозадвижки). Выставление мостков, стеллажей, автовымотки, пригрузов.</t>
  </si>
  <si>
    <t>Выставление мостков, стеллажей, автовымотки, пригрузов оттяжек, доп. стеллажей.</t>
  </si>
  <si>
    <t>Монтаж линии</t>
  </si>
  <si>
    <t>Линия глушения</t>
  </si>
  <si>
    <t>Монтаж гидравлических линий обвязки СУП, превентора, вспом. пульта, новых гидрозадвижек.</t>
  </si>
  <si>
    <t>ПЗР к опрессовке ПВО до установки на устье скважины.</t>
  </si>
  <si>
    <t>ПВО</t>
  </si>
  <si>
    <t>ПР и поочередная опрессовка гидравлических задвижек на 35 МПа (герметично). Опрессовка корпуса превентора на 35 МПа — пропуски по лобовой дверце плашек.</t>
  </si>
  <si>
    <t>Замена уплотнений лобовой задвижки.</t>
  </si>
  <si>
    <t>ПР и опрессовка корпуса превентора на 35 МПа (герметично). ПР и опрессовка глухих плашек на 35 МПа (герметично).</t>
  </si>
  <si>
    <t>Проведение стендовых испытаний ПВО до установки на устье. Опрессовка превентора (корпус, глухие, трубные) на 35 МПа, опрессовка гидрозадвижек.</t>
  </si>
  <si>
    <t>Орг. простой</t>
  </si>
  <si>
    <t>Скважина_ствол</t>
  </si>
  <si>
    <t>ПР к глушению скважины.</t>
  </si>
  <si>
    <t>Циркуляция</t>
  </si>
  <si>
    <t>Глушение</t>
  </si>
  <si>
    <t>ПР к глушению. С 14:00 монтаж линий глушения, опрессовка. Сброс сбивного лома 30 мм, подача тех. жидкости, опрессовка лифта, глушение, сброс второго лома, набор давления 6 МПа (отрицательно).</t>
  </si>
  <si>
    <t>По согласованию, демонтаж линий глушения с трубного, переустановка на затрубное. ПР и опрессовка линий. Глушение по затрубу: 4 м³.</t>
  </si>
  <si>
    <t>Глушение по затрубу: 30 м³. Ограничение 11 МПа.</t>
  </si>
  <si>
    <t>Доп. работы</t>
  </si>
  <si>
    <t>Обратная промывка</t>
  </si>
  <si>
    <t>Глушение обратной промывкой 48 м³, тех. отстой, разрядка по затрубу (+). ПР к разрядке трубного.</t>
  </si>
  <si>
    <t>Разрядка</t>
  </si>
  <si>
    <t>Разрядка трубного пространства, долив затрубного, разрядка на газе. Параллельно монтаж мостков, автонаматывателя, пригрузов, стеллажей, рабочей площадки.</t>
  </si>
  <si>
    <t>Разрядка затрубного, долив. Монтаж УПРБС-80, СПГ, ограждений, испытание блокировок. ПР к пусковой комиссии.</t>
  </si>
  <si>
    <t>Проведение пусковой комиссии. Устранение пунктов ПК.</t>
  </si>
  <si>
    <t>Смена задвижки крестовины 2. Демонтаж линии на коллектор, долив скважины на поглощение, разрядка. Демонтаж ФА. ПР к срыву ПШ.</t>
  </si>
  <si>
    <t>Срыв ПШ (вес 24,7/23,6 тн). Монтаж ПВО, монтаж пакера для спуска и опрессовки ПВО на устье.</t>
  </si>
  <si>
    <t>Тарасов А.С.</t>
  </si>
  <si>
    <t>Пакер</t>
  </si>
  <si>
    <t>Допуск УЭЦН на НКТ-73 + пакер ПРОЯМО 122 мм. Посадка пакера с разгрузкой 10 тн. Закрытие трубных плашек. Монтаж отбойных щитов. Пробная опрессовка трубных плашек на 23 МПа.</t>
  </si>
  <si>
    <t>Устранение пунктов предписаний, выписанных пусковой комиссией.</t>
  </si>
  <si>
    <t>ПР к опрессовке трубных плашек. Опрессовка трубных плашек на 23 МПа (герметично), опрессовка затрубных задвижек №2,3,9,10 (герметично). Срыв пакера с 30 м (24 тн). Разрядка. ПР к промывке.</t>
  </si>
  <si>
    <t>Промывка</t>
  </si>
  <si>
    <t>Промывка по затрубу жидкостью глушения 15 м³. Циркуляция по трубному отсутствует. Промывка на поглощение.</t>
  </si>
  <si>
    <t>Ожидание персонала</t>
  </si>
  <si>
    <t>Простой</t>
  </si>
  <si>
    <t>Ожидание</t>
  </si>
  <si>
    <t>Персонал</t>
  </si>
  <si>
    <t>Промывка по затрубу 30,5 м³, поглощение. Долив 2 м³. Контроль давления. Ожидание вахты.</t>
  </si>
  <si>
    <t>Ожидание полного состава вахты. Долив скважины (5,7 м³). Контроль давления.</t>
  </si>
  <si>
    <t>Ожидание полного состава вахты. Долив скважины (10 м³). Контроль давления.</t>
  </si>
  <si>
    <t>Подъём ЭЦН с 2284,37 м до 2100 м (19 шт.), долив 1,4 м³.</t>
  </si>
  <si>
    <t>Подъём с 2100 м до 1960 м (35 шт.), долив 0,3 м³.</t>
  </si>
  <si>
    <t>Подъём с 1960 м до 1854 м (46 шт.), долив 0,11 м³. Остановка по отсутствию мастера КРС, резка кабеля, герметизация устья, долив 1,2 м³.</t>
  </si>
  <si>
    <t>Контроль давления, долив скважины (7,1 м³).</t>
  </si>
  <si>
    <t>Контроль давления, долив 1,5 м³.</t>
  </si>
  <si>
    <t>Подъём с 1854 м до 1503 м (83 шт.), долив 1,1 м³.</t>
  </si>
  <si>
    <t>Штыкин А.А.</t>
  </si>
  <si>
    <t>Подъём с 1503 м до 1342 м (100 шт.), калибровка, долив 0,9 м³.</t>
  </si>
  <si>
    <t>Подъём с 1342 м до 1076 м (128 шт.), долив 0,8 м³.</t>
  </si>
  <si>
    <t>Подъём с 1076 м до 810 м (156 шт.), долив 1,0 м³.</t>
  </si>
  <si>
    <t>Епифанов Д.Б.</t>
  </si>
  <si>
    <t>Подъём с 810 м до 250 м (215 шт.), долив 1,5 м³.</t>
  </si>
  <si>
    <t>Подъём с 250 м до 68 м (219 шт.), долив 1,0 м³. Комиссионный демонтаж ЭЦН.</t>
  </si>
  <si>
    <t>Опрессовка подклапанных НКТП (4 шт.) на 25 МПа, разгрузка УЭЦН, сверка номеров, калибровка, замер НКТ. Монтаж Трилл-СВ 9 секций (частично).</t>
  </si>
  <si>
    <t>Монтаж Трилл-СВ 9 секций + муфта + НКТ-73 2 шт + КГП + РЗП + ВНН5-80-2400 (ПЭД, гидрозащита). Долив 1,5 м³.</t>
  </si>
  <si>
    <t>Монтаж ЭЦН 100%. Монтаж и опрессовка компоновки (ЭЦН + 3 НКТ + КОШ-73 + 1 НКТ + КОШ UCV + АШУ + 1 НКТ + СК-73 + 1 НКТ) на 20 МПа. Спуск 4 шт (41,89 м), долив 0,9 м³.</t>
  </si>
  <si>
    <t>Спуск 61 шт (637 м), долив 0,7 м³.</t>
  </si>
  <si>
    <t>Спуск 97 шт (1014 м), опрессовка НКТ на 600 м (6 МПа), долив 0,5 м³.</t>
  </si>
  <si>
    <t>Спуск 26 шт (общ. 123 шт, гл.1286,53 м), опрессовка НКТ, долив 0,4 м³.</t>
  </si>
  <si>
    <t>Спуск 38 шт (общ. 161 шт, гл.1684 м), долив 0,4 м³.</t>
  </si>
  <si>
    <t>НЕТ ДАННЫХ</t>
  </si>
  <si>
    <t>Переезд бригады на скв. №851 (9 рейсов, L=0,015 км). Расстановка оборудования (9 шт.), установка заземлений (9 шт.), подключение (4 шт.), установка подставок под кабель (5 шт.), демонтаж 2‑х лубрикаторных площадок, монтаж 1 защитного колпака</t>
  </si>
  <si>
    <t>Монтаж линии набора воды, набор тех. воды 66,2 м³ (ρ=1,01), обработка ПАВ СНПХ-ПКД 0,03%, отбор пробы</t>
  </si>
  <si>
    <t>Опрессовка лифта НКТП на 6 МПа (негерметично), опрессовка обратного клапана ФА на 4 МПа (негерметично). Демонтаж оборудования КИПа, метанольных линий</t>
  </si>
  <si>
    <t>Глушение скважины обратной промывкой раствором 1,01 г/см³, V=21 м³ (продолжение)</t>
  </si>
  <si>
    <t>Глушение скважины обратной промывкой раствором 1,01 г/см³, V=35 м³ (общ. 56,2 м³), рост давления до 10 МПа. Технологическая стоянка 3 ч, разрядка с 4 до 0 МПа, выход конденсата+газ</t>
  </si>
  <si>
    <t>Монтаж УПРС-80 (30%), подвоз грунта и отсыпка территории под приёмный мост и 3 стеллажа</t>
  </si>
  <si>
    <t>Приостановка работ в связи с проведением ингибиторной обработки ПЗП на скв.188 кп 3 бис</t>
  </si>
  <si>
    <t>Монтаж УПРС-80 (90%), долив скважины V=0,5 м³ (общий долив 3 м³)</t>
  </si>
  <si>
    <t>Рабочая комиссия</t>
  </si>
  <si>
    <t>Разрешительная документация</t>
  </si>
  <si>
    <t>Устранение пунктов, выписанных пусковой комиссией</t>
  </si>
  <si>
    <t>МТР</t>
  </si>
  <si>
    <t>Запрет на рубку кабеля, ожидание завоза НКТ-73 (5 шт.), получение разрешения на демонтаж ФА и монтаж ПВО</t>
  </si>
  <si>
    <t>Получение разрешения на демонтаж ФА, монтаж ПВО. Подрыв ПШ (G=43 тн). Демонтаж КВ, протаскивание кабеля, демонтаж ФА</t>
  </si>
  <si>
    <t>Монтаж 2 отбойных щитов, штурвалов, подключение СУП, монтаж выносного пульта, монтаж ПВО (100%)</t>
  </si>
  <si>
    <t>Спуск пакера на глубину 30 м. Подготовка к опрессовке ПВО</t>
  </si>
  <si>
    <t>Техника</t>
  </si>
  <si>
    <t>Ожидание спецтехники (ЦА-320) для опрессовки</t>
  </si>
  <si>
    <t>Устранение негерметичности (замена уплотнений на трубных плашках 73 мм). Опрессовка трубных плашек на 23 МПа (+). Получение разрешения на дальнейшие работы</t>
  </si>
  <si>
    <t>Опрессовка ЗД №2,3,9,10 на 23 МПа (негерметичность №3,10). Замена ЗД №3, опрессовка фланцев (+). Срыв и подъём пакера с 30 м. Подготовка к промывке</t>
  </si>
  <si>
    <t>Подготовка к промывке. Обратная промывка скважины раствором 1,01 г/см³ V=37,5 м³, циркуляция (+). Разрядка (+). Подготовка к подъёму ЭЦН</t>
  </si>
  <si>
    <t>Подъём ЭЦН с 2859,88 м до 2600 м (20 шт НКТП-73 мм). Долив 3 м³</t>
  </si>
  <si>
    <t>Подъём ЭЦН с 2600 м до 1819 м (106 шт). Долив 2 м³</t>
  </si>
  <si>
    <t>Остановка работ по неполному составу вахты</t>
  </si>
  <si>
    <t>Подъём ЭЦН с 1819 м до 1365 м, ВИК первого ряда. Долив 30 м³</t>
  </si>
  <si>
    <t>Подъём ЭЦН с 1365 м до 672,31 м (устойчивый уровень – «зеркало»), ВИК, опрессовка лифта 6 МПа (+), замер изоляции (отсутствует), сброс спецштанги Ø25 мм L=1,2 м (+). Подъём до 0 м</t>
  </si>
  <si>
    <t>Комиссионный демонтаж ЭЦН</t>
  </si>
  <si>
    <t>Центровка мачты, разгрузка оборудования ЭЦН, подготовка к опрессовке подклапанных НКТП-73 (6 шт.)</t>
  </si>
  <si>
    <t>Опрессовка подклапанных НКТ-73 (6 шт.) на 25 МПа (+). Монтаж дополнительного оборудования + ЭЦН (ЭЦНМТ5-80/2260/8ЭДРТ-56-117)</t>
  </si>
  <si>
    <t>Ожидание завоза клямсевателя</t>
  </si>
  <si>
    <t>Спуск ЭЦН до глубины 877,66 м (92 шт НКТП-73 мм). Долив 38,3 м³</t>
  </si>
  <si>
    <t>Спуск ЭЦН до 1532,37 м (всего 160 шт). Опрессовка лифта через 600 м (6 МПа). Долив 40 м³</t>
  </si>
  <si>
    <t>Перевахтовка, оформление и получение наряда-допуска. Долив 55 м³</t>
  </si>
  <si>
    <t>Спуск ЭЦН до 1933,38 м (всего 202 шт). Долив 59 м³</t>
  </si>
  <si>
    <t>Спуск ЭЦН до 2226 м (всего 232 шт). Долив 62 м³</t>
  </si>
  <si>
    <t>Ремонт УБРСП-80 (замена ремня компрессора)</t>
  </si>
  <si>
    <t>Спуск ЭЦН до 2859,73 м (всего 296 шт). Установка стоп-кольца Ø35 мм на 203-й трубе (гл. 799,3 м). Замер изоляции через 300 м (200 МОм), опрессовка лифта через 600 м (6 МПа). Долив 68 м³</t>
  </si>
  <si>
    <t>Демонтаж ГКШ-1500, СУ-80, отбойных щитов и штурвалов, линии долива, демонтаж ПВО с протаскиванием кабеля (≈35 м). Монтаж ФА и кабельного ввода, опрессовка КВ на 11 МПа (герметично). Монтаж обвязки ФА, укладка кабеля (≈35 м). Контрольный замер изоляции</t>
  </si>
  <si>
    <t>Демонтаж РП, ИВЭ-50</t>
  </si>
  <si>
    <t>Опрессовка ОК ФА и обвязки на 4 МПа (герметично), опрессовка лифта НКТП на 6 МПа (герметично)</t>
  </si>
  <si>
    <t>Замер изоляции перед запуском (200 МОм). Запуск ЭЦНМТ5-80/2260/8ЭДРТ-56-117. Iпуск=19,8А, Iраб=18,2А, частота 40 Гц, загрузка 41%, Рпр=181 атм, Tпр=75°С, дебит 115 м³/сут</t>
  </si>
  <si>
    <t>Демонтаж УБРСП-80, пригрузов, якорей, приёмного моста, 3 стеллажей. Монтаж дублирующей ЗД №2, опрессовка фланцевого соединения</t>
  </si>
  <si>
    <t>Демонтаж 1 защитного колпака, монтаж 2 лубрикаторных площадок</t>
  </si>
  <si>
    <t>Демонтаж заземлений (9 шт.), отключение оборудования (4 шт.), демонтаж подставок под кабель (5 шт.), уборка территории</t>
  </si>
  <si>
    <t>Демонтаж оборудования</t>
  </si>
  <si>
    <t>ЗБС</t>
  </si>
  <si>
    <t>Казанское НГКМ</t>
  </si>
  <si>
    <t>6</t>
  </si>
  <si>
    <t>600</t>
  </si>
  <si>
    <t>Шипунов С.И.</t>
  </si>
  <si>
    <t>9.2</t>
  </si>
  <si>
    <t>Переезд</t>
  </si>
  <si>
    <t>Буровая установка</t>
  </si>
  <si>
    <t>Переезд на скв. №600 кп №6 (со скв. №851 кп №26, 2 рейса, L=15,9 км).</t>
  </si>
  <si>
    <t>9.3</t>
  </si>
  <si>
    <t>Переезд на скв. №600 кп №6 (Ʃ5 рейсов, L=15,9 км).</t>
  </si>
  <si>
    <t>9.4</t>
  </si>
  <si>
    <t>Переезд на скв. №600 кп №6 (Ʃ8 рейсов, L=15,9 км).</t>
  </si>
  <si>
    <t>9.5</t>
  </si>
  <si>
    <t>Переезд на скв. №600 кп №6 (Ʃ10 рейсов, L=15,9 км).</t>
  </si>
  <si>
    <t>Хохряков В.Я.</t>
  </si>
  <si>
    <t>10.1</t>
  </si>
  <si>
    <t>Переезд на скв. №600 кп №6 (Ʃ14 рейсов, L=15,9 км). Расстановка и подключение оборудования, установка подставок под кабель.</t>
  </si>
  <si>
    <t>10.2</t>
  </si>
  <si>
    <t>ФА</t>
  </si>
  <si>
    <t>Монтаж заземлений 14шт. Демонтаж лубрикаторных площадок. Монтаж линии набора тех. воды. Набор и обработка тех. воды γ-1,01 г/см³ V=19м³.</t>
  </si>
  <si>
    <t>10.3</t>
  </si>
  <si>
    <t>Тех. дежурство</t>
  </si>
  <si>
    <t>Бригада КРС</t>
  </si>
  <si>
    <t>Набор и обработка тех. воды γ-1,01 г/см³ ƩV=43м³. Приостановление работ (ингибиторная обработка на скв. №342).</t>
  </si>
  <si>
    <t>10.4</t>
  </si>
  <si>
    <t>Приостановление работ (ингибиторная обработка, 16:00–19:30ч). Набор тех. воды γ-1,01 г/см³ ƩV=46м³.</t>
  </si>
  <si>
    <t>10.5</t>
  </si>
  <si>
    <t>Набор и обработка тех. воды γ-1,01 г/см³ ƩV=59,4м³. Отбор пробы р-ра на анализ. Приготовление р-ра 1,15 г/см³ V=4м³.</t>
  </si>
  <si>
    <t>11.1</t>
  </si>
  <si>
    <t>Приготовление раствора</t>
  </si>
  <si>
    <t>Раствор глушения</t>
  </si>
  <si>
    <t>Приготовление р-ра глушения 1,15 г/см³, ƩV=18м³.</t>
  </si>
  <si>
    <t>11.2</t>
  </si>
  <si>
    <t>Приготовление р-ра глушения 1,15 г/см³, ƩV=28м³.</t>
  </si>
  <si>
    <t>11.3</t>
  </si>
  <si>
    <t>Приготовление р-ра глушения 1,15 г/см³, ƩV=36м³.</t>
  </si>
  <si>
    <t>11.4</t>
  </si>
  <si>
    <t>Приготовление р-ра глушения 1,15 г/см³, ƩV=44м³.</t>
  </si>
  <si>
    <t>11.5</t>
  </si>
  <si>
    <t>Приготовление р-ра глушения 1,15 г/см³, ƩV=52м³.</t>
  </si>
  <si>
    <t>12.1</t>
  </si>
  <si>
    <t>Приготовление р-ра глушения 1,15 г/см³, ƩV=66м³.</t>
  </si>
  <si>
    <t>12.2</t>
  </si>
  <si>
    <t>Приготовление р-ра глушения 1,15 г/см³, ƩV=76м³.</t>
  </si>
  <si>
    <t>12.3</t>
  </si>
  <si>
    <t>Приготовление р-ра глушения 1,15 г/см³, ƩV=84м³.</t>
  </si>
  <si>
    <t>12.4</t>
  </si>
  <si>
    <t>Приготовление р-ра глушения 1,15 г/см³, ƩV=95,4м³. Монтаж и опрессовка нагнет. линий на 18МПа. Начало доукомплектации БД.</t>
  </si>
  <si>
    <t>12.5</t>
  </si>
  <si>
    <t>Доукомплектация БД (ожидание оборудования).</t>
  </si>
  <si>
    <t>13.1</t>
  </si>
  <si>
    <t>13.2</t>
  </si>
  <si>
    <t>Доукомплектация БД (продолжается).</t>
  </si>
  <si>
    <t>13.3</t>
  </si>
  <si>
    <t>13.4</t>
  </si>
  <si>
    <t>Доукомплектация БД. С 19:30ч монтаж выкидной линии.</t>
  </si>
  <si>
    <t>13.5</t>
  </si>
  <si>
    <t>Блок дросселирования</t>
  </si>
  <si>
    <t>Монтаж выкидной линии ƩL=30м.</t>
  </si>
  <si>
    <t>14.1</t>
  </si>
  <si>
    <t>Монтаж выкидной линии ƩL=100м.</t>
  </si>
  <si>
    <t>14.2</t>
  </si>
  <si>
    <t>Монтаж выкидной линии ƩL=170м.</t>
  </si>
  <si>
    <t>14.3</t>
  </si>
  <si>
    <t>Монтаж выкидной линии ƩL=210м.</t>
  </si>
  <si>
    <t>14.4</t>
  </si>
  <si>
    <t>Монтаж выкидной линии ƩL=235м.</t>
  </si>
  <si>
    <t>14.5</t>
  </si>
  <si>
    <t>Монтаж БД (продолжается).</t>
  </si>
  <si>
    <t>15.1</t>
  </si>
  <si>
    <t>Опрессовка выкидной линии 5МПа — герметично. Монтаж БД (продолжается).</t>
  </si>
  <si>
    <t>15.2</t>
  </si>
  <si>
    <t>15.3</t>
  </si>
  <si>
    <t>15.4</t>
  </si>
  <si>
    <t>15.5</t>
  </si>
  <si>
    <t>16.1</t>
  </si>
  <si>
    <t>16.2</t>
  </si>
  <si>
    <t>16.3</t>
  </si>
  <si>
    <t>16.4</t>
  </si>
  <si>
    <t>16.5</t>
  </si>
  <si>
    <t>Монтаж БД. Разрядка МКП (+), опрессовка МКП 4,4МПа — герметично, МПУ 21МПа — герметично. Начало глушения обратной промывкой γ-1,15 г/см³, покачали V=1,5м³, рост давления.</t>
  </si>
  <si>
    <t>17.1</t>
  </si>
  <si>
    <t>Глушение скважины обратной промывкой γ-1,15 г/см³, ƩV=17м³, Рраб.тр=10атм, Рзатр=130атм.</t>
  </si>
  <si>
    <t>17.2</t>
  </si>
  <si>
    <t>Глушение скважины обратной промывкой γ-1,15 г/см³, ƩV=28м³, Рраб.тр=10атм, Рзатр=130атм.</t>
  </si>
  <si>
    <t>17.3</t>
  </si>
  <si>
    <t>Глушение скважины обратной промывкой γ-1,15 г/см³, ƩV=33м³, Рраб.тр=10атм, Рзатр=130атм.</t>
  </si>
  <si>
    <t>17.4</t>
  </si>
  <si>
    <t>Глушение скважины обратной промывкой γ-1,15 г/см³, ƩV=39м³, Рраб.тр=10атм, Рзатр=130атм.</t>
  </si>
  <si>
    <t>17.5</t>
  </si>
  <si>
    <t>Глушение скважины обратной промывкой γ-1,15 г/см³, ƩV=46м³, Рраб.тр=10атм, Рзатр=130атм.</t>
  </si>
  <si>
    <t>18.1</t>
  </si>
  <si>
    <t>Глушение скважины обратной промывкой γ-1,15 г/см³, ƩV=59,4м³. На выходе газ, нефть, тех. вода. Тех. стоянка.</t>
  </si>
  <si>
    <t>18.2</t>
  </si>
  <si>
    <t>Тех. стоянка 3ч. Разрядка скважины (+). Долив р-ром глушения 0,2м³. Опрессовка превентора 2FZ12-35 с запорной компоновкой 35МПа (продолжается).</t>
  </si>
  <si>
    <t>18.3</t>
  </si>
  <si>
    <t>Опрессовка превентора 35МПа — герметично. Опрессовка БД 35МПа — не герм., устранение, повторно — герметично. Монтаж УБРСП-80 (продолжается).</t>
  </si>
  <si>
    <t>18.4</t>
  </si>
  <si>
    <t>Монтаж УБРСП-80 (100%). Якоря 2шт, пригрузы 2шт. Монтаж РП, СУ-80, ИВЭ-50, ГКШ-1500. Долив р-ром 1,15 г/см³ ƩV=1,5м³.</t>
  </si>
  <si>
    <t>18.5</t>
  </si>
  <si>
    <t>Монтаж ПМ с 3 стеллажами. Проявление по затрубу Ризб=2атм. Приготовление р-ра 1,15 г/см³ V=4,5м³ для повторного глушения.</t>
  </si>
  <si>
    <t>19.1</t>
  </si>
  <si>
    <t>Приготовление р-ра глушения 1,15 г/см³, ƩV=24м³.</t>
  </si>
  <si>
    <t>19.2</t>
  </si>
  <si>
    <t>Приготовление р-ра глушения 1,15 г/см³, ƩV=35м³.</t>
  </si>
  <si>
    <t>19.3</t>
  </si>
  <si>
    <t>19.4</t>
  </si>
  <si>
    <t>Приготовление р-ра глушения 1,15 г/см³, ƩV=54м³.</t>
  </si>
  <si>
    <t>19.5</t>
  </si>
  <si>
    <t>Приготовление р-ра глушения 1,15 г/см³, ƩV=59,4м³. Начало глушения обратной промывкой, покачали V=0,5м³, рост давления.</t>
  </si>
  <si>
    <t>20.1</t>
  </si>
  <si>
    <t>Глушение скважины обратной промывкой γ-1,15 г/см³, ƩV=19м³, Рраб.тр=12атм, Рзатр=130атм.</t>
  </si>
  <si>
    <t>20.2</t>
  </si>
  <si>
    <t>Глушение скважины обратной промывкой γ-1,15 г/см³, ƩV=29м³, Рраб.тр=12атм, Рзатр=130атм.</t>
  </si>
  <si>
    <t>20.3</t>
  </si>
  <si>
    <t>Глушение скважины обратной промывкой γ-1,15 г/см³, ƩV=34м³, Рраб.тр=13атм, Рзатр=130атм.</t>
  </si>
  <si>
    <t>20.4</t>
  </si>
  <si>
    <t>Глушение скважины обратной промывкой γ-1,15 г/см³, ƩV=39м³, Рраб.тр=13атм, Рзатр=130атм.</t>
  </si>
  <si>
    <t>20.5</t>
  </si>
  <si>
    <t>Глушение скважины обратной промывкой γ-1,15 г/см³, ƩV=40м³. На выходе газ. Тех. стоянка 3ч. Разрядка скважины.</t>
  </si>
  <si>
    <t>21.1</t>
  </si>
  <si>
    <t>Разрядка скважины (-), Ризб.тр=1атм, излив V=0,3м³/ч. Глушение обратной промывкой γ-1,15 г/см³, ƩV=9м³.</t>
  </si>
  <si>
    <t>21.2</t>
  </si>
  <si>
    <t>Глушение скважины обратной промывкой γ-1,15 г/см³, ƩV=16м³, Рраб.тр=10атм, Рзатр=130атм.</t>
  </si>
  <si>
    <t>21.3</t>
  </si>
  <si>
    <t>Глушение скважины обратной промывкой γ-1,15 г/см³, ƩV=27м³, Рраб.тр=10атм, Рзатр=130атм.</t>
  </si>
  <si>
    <t>21.4</t>
  </si>
  <si>
    <t>Глушение скважины обратной промывкой γ-1,15 г/см³, ƩV=29,7м³. На выходе газ, р-р. Тех. стоянка 3ч.</t>
  </si>
  <si>
    <t>21.5</t>
  </si>
  <si>
    <t>Работа комиссии</t>
  </si>
  <si>
    <t>Разрядка скважины (+). Запуск бригады КРС пусковой комиссией. Получение разрешений ТВО. Замер Rиз кабеля. Снятие кабеля с эстакады. Рубка КЛ.</t>
  </si>
  <si>
    <t>22.1</t>
  </si>
  <si>
    <t>Подрыв П/Ш (35,8/29,5тн). Демонтаж КВ, ФА. Замер Rиз. Монтаж ПВО, СУП, 2 отбойных щитов. Долив 2м³. Допуск ЭЦНДИ5-45. Опрессовка ПВО пакером 30м — 21МПа герм. Срыв пакера. Обратная промывка (продолжается).</t>
  </si>
  <si>
    <t>22.2</t>
  </si>
  <si>
    <t>Обратная промывка на ёмкость р-ром 1,15 г/см³, V=32,9м³, на выходе газ. Поглощение 12м³. ПР и подъём ЭЦНДИ5-45 с гл.2477,78м 6шт Н=61,8м.</t>
  </si>
  <si>
    <t>22.3</t>
  </si>
  <si>
    <t>Подъём ЭЦНДИ5-45 на НКТП-73мм, Ʃ40шт, ƩН=412,18м.</t>
  </si>
  <si>
    <t>22.4</t>
  </si>
  <si>
    <t>Подъём ЭЦНДИ5-45 на НКТП-73мм, Ʃ86шт, ƩН=886,66м. Долив р-ром 1,15 г/см³ ƩV=3,5м³.</t>
  </si>
  <si>
    <t>22.5</t>
  </si>
  <si>
    <t>ПР и подъём ЭЦНДИ5-45 на НКТП-73мм, Ʃ130шт, ƩН=1339м. ВИК 105шт НКТП-73 (отбраковано 105шт). Долив ƩV=4м³.</t>
  </si>
  <si>
    <t>23.1</t>
  </si>
  <si>
    <t>Подъём ЭЦНДИ5-45 Ʃ187шт ƩН=1785,63м. Извлечение скребка. Рубка КЛ. Сброс спец. штанги d-30мм (+). Прямая промывка р-ром 1,15 г/см³ V=17,7м³.</t>
  </si>
  <si>
    <t>23.2</t>
  </si>
  <si>
    <t>ВИК НКТП-73мм Ʃ187шт с калибровкой (отбраковано Ʃ187шт). Долив р-ром 1,01 г/см³ ƩV=8,5м³. Переукладка трубы.</t>
  </si>
  <si>
    <t>23.3</t>
  </si>
  <si>
    <t>Доподъём ЭЦНДИ5-45 53шт Н=530,1м. ВИК НКТП-73мм 53шт (отбраковано Ʃ240шт). Долив р-ром 1,15 г/см³ ƩV=12м³.</t>
  </si>
  <si>
    <t>23.4</t>
  </si>
  <si>
    <t>Демонтаж ЭЦНДИ5-45: КС-73 сбит, вращение в/с-с/с-н/с есть, вращение газосепаратора клин. Rиз ПЭД 200МОм, КЛ — 0МОм. Замятие брони, частичная коррозия. Долив ƩV=15м³.</t>
  </si>
  <si>
    <t>23.5</t>
  </si>
  <si>
    <t>Геофизический прибор</t>
  </si>
  <si>
    <t>ГФР запись ИННК (продолжается).</t>
  </si>
  <si>
    <t>24.1</t>
  </si>
  <si>
    <t>ГФР запись ИННК.</t>
  </si>
  <si>
    <t>24.2</t>
  </si>
  <si>
    <t>Перевахтовка (смена персонала).</t>
  </si>
  <si>
    <t>24.3</t>
  </si>
  <si>
    <t>Перевахтовка. Спуск «воронки» на НКТ-73 28шт L=295м. Долив р-ром 1,15 г/см³ ƩV=20м³.</t>
  </si>
  <si>
    <t>24.4</t>
  </si>
  <si>
    <t>Спуск «воронки» на НКТ-73 Ʃ38шт ƩL=401м. С 17:00ч герметизация устья. Наблюдение за устьем. Простой — отсутствие мастера.</t>
  </si>
  <si>
    <t>24.5</t>
  </si>
  <si>
    <t>Наблюдение за устьем. Долив р-ром 1,15 г/см³ ƩV=22м³. Простой — отсутствие мастера.</t>
  </si>
  <si>
    <t>25.1</t>
  </si>
  <si>
    <t>Простой — отсутствие мастера. Наблюдение за устьем. Долив р-ром 1,15 г/см³ ƩV=23,5м³.</t>
  </si>
  <si>
    <t>Титов А.А.</t>
  </si>
  <si>
    <t>25.2</t>
  </si>
  <si>
    <t>Простой — отсутствие мастера. Наблюдение за устьем. Долив р-ром 1,15 г/см³ ƩV=24,5м³.</t>
  </si>
  <si>
    <t>25.3</t>
  </si>
  <si>
    <t>Простой — отсутствие мастера. Наблюдение за устьем. Долив р-ром 1,15 г/см³ ƩV=25,5м³. Приготовление р-ра 1,15 г/см³ V=20м³.</t>
  </si>
  <si>
    <t>25.4</t>
  </si>
  <si>
    <t>Простой — отсутствие мастера. Наблюдение за устьем. Долив р-ром 1,15 г/см³ ƩV=26,3м³.</t>
  </si>
  <si>
    <t>25.5</t>
  </si>
  <si>
    <t>Простой — отсутствие мастера. Наблюдение за устьем. Долив р-ром 1,15 г/см³ ƩV=27,1м³.</t>
  </si>
  <si>
    <t>Арбузов А.В.</t>
  </si>
  <si>
    <t>26.1</t>
  </si>
  <si>
    <t>Простой — отсутствие мастера. Наблюдение за устьем. Долив р-ром 1,15 г/см³ ƩV=28,5м³.</t>
  </si>
  <si>
    <t>26.2</t>
  </si>
  <si>
    <t>Простой — отсутствие мастера. Наблюдение за устьем. Долив р-ром 1,15 г/см³ ƩV=29,1м³.</t>
  </si>
  <si>
    <t>26.3</t>
  </si>
  <si>
    <t>Простой — отсутствие мастера. Наблюдение за устьем. Долив р-ром 1,15 г/см³ ƩV=29,5м³.</t>
  </si>
  <si>
    <t>26.4</t>
  </si>
  <si>
    <t>Простой — отсутствие мастера. Наблюдение за устьем. Долив р-ром 1,15 г/см³ ƩV=29,8м³.</t>
  </si>
  <si>
    <t>26.5</t>
  </si>
  <si>
    <t>Простой — отсутствие мастера. Наблюдение за устьем. Долив р-ром 1,15 г/см³ ƩV=30м³.</t>
  </si>
  <si>
    <t>27.1</t>
  </si>
  <si>
    <t>Простой — отсутствие мастера. Наблюдение за устьем. Долив р-ром 1,15 г/см³ ƩV=30,3м³.</t>
  </si>
  <si>
    <t>27.2</t>
  </si>
  <si>
    <t>Простой — отсутствие мастера. Наблюдение за устьем. Долив р-ром 1,15 г/см³ ƩV=30,6м³.</t>
  </si>
  <si>
    <t>27.3</t>
  </si>
  <si>
    <t>Простой — отсутствие мастера. Наблюдение за устьем. Долив р-ром 1,15 г/см³ ƩV=30,8м³.</t>
  </si>
  <si>
    <t>27.4</t>
  </si>
  <si>
    <t>Простой — отсутствие мастера. Наблюдение за устьем. Долив р-ром 1,15 г/см³ ƩV=31,1м³.</t>
  </si>
  <si>
    <t>27.5</t>
  </si>
  <si>
    <t>Простой — отсутствие мастера. Наблюдение за устьем. Долив р-ром 1,15 г/см³ ƩV=31,3м³.</t>
  </si>
  <si>
    <t>28.1</t>
  </si>
  <si>
    <t>Простой — отсутствие мастера. Наблюдение за устьем. Долив р-ром 1,15 г/см³ ƩV=31,7м³.</t>
  </si>
  <si>
    <t>28.2</t>
  </si>
  <si>
    <t>Простой — отсутствие мастера. Наблюдение за устьем. Долив р-ром 1,15 г/см³ ƩV=32м³.</t>
  </si>
  <si>
    <t>28.3</t>
  </si>
  <si>
    <t>Простой — отсутствие мастера. Наблюдение за устьем. Долив р-ром 1,15 г/см³ ƩV=32,2м³.</t>
  </si>
  <si>
    <t>28.4</t>
  </si>
  <si>
    <t>Простой — отсутствие мастера. Наблюдение за устьем. Долив р-ром 1,15 г/см³ ƩV=32,4м³.</t>
  </si>
  <si>
    <t>28.5</t>
  </si>
  <si>
    <t>Простой — отсутствие мастера. Наблюдение за устьем. Долив р-ром 1,15 г/см³ ƩV=32,6м³.</t>
  </si>
  <si>
    <t>29.1</t>
  </si>
  <si>
    <t>Простой — отсутствие мастера. Наблюдение за устьем. Долив р-ром 1,15 г/см³ ƩV=33м³.</t>
  </si>
  <si>
    <t>29.2</t>
  </si>
  <si>
    <t>Простой — отсутствие мастера. Наблюдение за устьем. Долив р-ром 1,15 г/см³ ƩV=33,2м³.</t>
  </si>
  <si>
    <t>Работы продолжаются</t>
  </si>
  <si>
    <t>План работ по скважине №851 (к.п. №26) – стандартная форма</t>
  </si>
  <si>
    <t>Описание (кратко)</t>
  </si>
  <si>
    <t>Часы (план)</t>
  </si>
  <si>
    <t>Переезд бригады на скв. №851, расстановка оборудования</t>
  </si>
  <si>
    <t>Набор тех. воды со скв. №858 (V=66,2 м³), обработка ПАВ 0,03%</t>
  </si>
  <si>
    <t>Опрессовка лифта НКТП на 6 МПа и обратного клапана ФА на 4 МПа (негерметично). Демонтаж оборудования КИПа, метанольных линий</t>
  </si>
  <si>
    <t>Глушение скважины обратной промывкой 1,01 г/см³, Q=7 л/с, V=21 м³ (продолжение)</t>
  </si>
  <si>
    <t>Глушение обратной промывкой 1,01 г/см³, V=35 м³ (общ. 56,2 м³), рост давления до 10 МПа. Техотстой 3 ч, разрядка с 4 до 0 МПа, выход конденсата+газ</t>
  </si>
  <si>
    <t>Монтаж УПРС-80 (30%). Подвоз грунта, отсыпка под приёмный мост и 3 стеллажа</t>
  </si>
  <si>
    <t>Монтаж УПРС-80 (90%). Долив скважины V=0,5 м³ (общий долив 3 м³)</t>
  </si>
  <si>
    <t>Опрессовка трубных плашек 73 мм с представителем ВСВЧ на 23 МПа (+). Получение разрешения на дальнейшие работы</t>
  </si>
  <si>
    <t>Опрессовка ЗД №2,3,9,10 на 23 МПа, негерметичность №3,10. Замена ЗД №3, опрессовка фланцев (+). Срыв и подъём пакера с 30 м</t>
  </si>
  <si>
    <t>Подготовка к промывке. Обратная промывка раствором 1,01 г/см³ V=37,5 м³, Р=0→10→50 МПа, Q=7 л/с, циркуляция (+). Разрядка (+). Подготовка к подъёму ЭЦН</t>
  </si>
  <si>
    <t>Подъём ЭЦН с 2600 м до 1819 м (106 шт, всего 80 шт? уточнение: общее количество поднятых 80 шт – возможно опечатка, оставим как есть). Долив 2 м³</t>
  </si>
  <si>
    <t>Подъём ЭЦН с 1819 м до 1365 м, ВИК первого ряда. Поднято 156 шт НКТП-73 мм. Долив 30 м³</t>
  </si>
  <si>
    <t>Подъём ЭЦН с 1365 м до 672,31 м, ВИК 228-229, опрессовка лифта 6 МПа (+), замер изоляции (отсутствует), сброс спецштанги Ø25 мм L=1,2 м (+). Подъём до 0 м</t>
  </si>
  <si>
    <t>Опрессовка подклапанных НКТ-73 (6 шт.) на 25 МПа (+). Монтаж доп. оборудования + ЭЦН (ЭЦНМТ5-80/2260/8ЭДРТ-56-117)</t>
  </si>
  <si>
    <t>Демонтаж ГКШ-1500, СУ-80, отбойных щитов, штурвалов, линии долива. Демонтаж ПВО с протаскиванием кабеля (35 м). Монтаж ФА и кабельного ввода, опрессовка КВ на 11 МПа. Монтаж обвязки ФА. Укладка кабеля (35 м). Контрольный замер изоляции</t>
  </si>
  <si>
    <t>Замер изоляции перед запуском (200 МОм). Запуск ЭЦНМТ5-80/2260/8ЭДРТ-56-117, параметры: Iпуск=19,8А, Iраб=18,2А, 40Гц, загрузка 41%, Рпр=181 атм, Tпр=75°С, дебит 115 м³/сут</t>
  </si>
  <si>
    <t>Демонтаж УБРСП-80, пригрузов, якорей, приёмного моста, стеллажей. Монтаж дублирующей ЗД №2, опрессовка фланца</t>
  </si>
  <si>
    <t>План работ по скважине №851 (к.п. №26 КНГКМ) – стандартная форма</t>
  </si>
  <si>
    <t>Описание</t>
  </si>
  <si>
    <t>Переезд бригады на скв. №851 (9 рейсов, L=0,015 км)</t>
  </si>
  <si>
    <t>Расстановка оборудования (9 шт.), установка заземлений (9 шт.), подключение (4 шт.), установка подставок под кабель (5 шт.), демонтаж 2‑х лубрикаторных площадок, монтаж 1 защитного колпака</t>
  </si>
  <si>
    <t>Монтаж линии набора воды, набор тех. воды 66,2 м³ (ρ=1,01), обработка ПАВ, отбор пробы. Параллельный завоз жидкости глушения 82 м³</t>
  </si>
  <si>
    <t>Опрессовка превентора с трубными плашками 73 мм до установки на устье (рабочее давление)</t>
  </si>
  <si>
    <t>Опрессовка лифта НКТП на 6 МПа и обратного клапана ФА на 4 МПа</t>
  </si>
  <si>
    <t>Глушение скважины обратной промывкой раствором 1,01 г/см³ V=56,2 м³, технологическая стоянка 2 ч, разрядка, долив</t>
  </si>
  <si>
    <t>Монтаж подъемника УБРСП-80, устройство 2 якорей, установка пригрузов (2 компл.), монтаж приёмного моста, 3 стеллажей, рабочей площадки, спайдера СУ-80, гидроключа ГКШ-1500, ИВЭ-50, испытание якорей</t>
  </si>
  <si>
    <t>Промывка скважины с целью дегазации (35 м³, ρ=1,01 г/см³)</t>
  </si>
  <si>
    <t>Снятие кабеля с эстакады, демонтаж ёлки АФ и кабельного ввода, подготовка ФА к ревизии (пропарка)</t>
  </si>
  <si>
    <t>Расхаживание</t>
  </si>
  <si>
    <t>Расхаживание подвески с УЭЦН со ступенчатым увеличением веса до 47 тн</t>
  </si>
  <si>
    <t>Монтаж превентора, 2 отбойных щитов, 4 дистанционных штурвалов</t>
  </si>
  <si>
    <t>Монтаж, спуск и посадка пакера на глубину 30 м, опрессовка ПВО с пакером на 23 МПа (видеорегистрация)</t>
  </si>
  <si>
    <t>Опрессовка задвижек трубной головки №3,9,10 на давление опрессовки Э/К – 23 МПа</t>
  </si>
  <si>
    <t>Замена негерметичных задвижек №3,9,10</t>
  </si>
  <si>
    <t>Опрессовка фланцевых соединений после установки ЗД №3,9,10 на 23 МПа. Срыв и подъём пакера с глубины 30 м</t>
  </si>
  <si>
    <t>Обратная промывка скважины раствором глушения V=37,5 м³ (перед подъёмом УЭЦН)</t>
  </si>
  <si>
    <t>Комиссионный подъём УЭЦН с глубины 2859,88 м до «зеркала», опрессовка лифта, замер изоляции, ВИК. При необходимости – сбив СК и полный подъём</t>
  </si>
  <si>
    <t>НКТ</t>
  </si>
  <si>
    <t>Опрессовка на стеллажах НКТП (4 шт. выше зеркала, 2 шт. ниже) на 25 МПа</t>
  </si>
  <si>
    <t>Комиссионный демонтаж УЭЦН (3 секции насоса, газосепаратор, 1 секция ПЭД)</t>
  </si>
  <si>
    <t>Установка барабана на автовымотку, разгрузка УЭЦН, опрессовка подклапанных НКТП (4 шт.) на 25 МПа, сверка номеров, ВИК резьб, протаскивание кабеля 50 м</t>
  </si>
  <si>
    <t>Центровка мачты, монтаж УЭЦН (ЭЦНМТ5-80-2200: ПЭД, гидрозащита, газосепаратор, 2 секции ЭЦН)</t>
  </si>
  <si>
    <t>Настройка ГКШ-1200МТ, сборка и опрессовка компоновки на 20 МПа. Спуск УЭЦН на 2860 м с поинтервальной опрессовкой НКТ через 600 м (6 МПа), замером изоляции через 300 м, установкой противополётного кольца на 800 м</t>
  </si>
  <si>
    <t>Демонтаж ГКШ-1500, СУ-80, превентора с протаскиванием кабеля 50 м, демонтаж отбойных щитов и штурвалов. Монтаж ёлки АФ и кабельного ввода, опрессовка КВ на 11 МПа, укладка кабеля 50 м</t>
  </si>
  <si>
    <t>Опрессовка НКТП-73 на 6 МПа и ФА с обвязкой на 4 МПа</t>
  </si>
  <si>
    <t>Запуск скважины в коллектор</t>
  </si>
  <si>
    <t>Демонтаж ИВЭ-50, рабочей площадки, УПА 60/80, пригрузов, якорей, приёмного моста, 3 стеллажей, линии долива</t>
  </si>
  <si>
    <t>Демонтаж 1 защитного колпака, монтаж 2 лубрикаторных площадок, демонтаж заземлений (9 ед.), отключение оборудования (4 ед.), демонтаж подставок под кабель (5 шт.), уборка территории</t>
  </si>
  <si>
    <t>Примечания:</t>
  </si>
  <si>
    <t>Операции с нулевой длительностью (согласования, заявки, акты готовности, разрешения, ВИК, фотофиксация и т.п.) исключены.</t>
  </si>
  <si>
    <t>Рейс проставлен только для подъёма и спуска УЭЦН (рейс 1), чт</t>
  </si>
  <si>
    <t>Фактическая хронология работ по скважине №851 – стандартная форма (по плану)</t>
  </si>
  <si>
    <t>Суточный отчет по бурению №</t>
  </si>
  <si>
    <t>Дата:</t>
  </si>
  <si>
    <t>1. Данные по скважине</t>
  </si>
  <si>
    <t>2. Подробная сводка</t>
  </si>
  <si>
    <t>Месторождение:</t>
  </si>
  <si>
    <t>Составил:</t>
  </si>
  <si>
    <t>Куст:</t>
  </si>
  <si>
    <t>Почта:</t>
  </si>
  <si>
    <t>Конец</t>
  </si>
  <si>
    <t>Время, ч</t>
  </si>
  <si>
    <t>Фактические работы</t>
  </si>
  <si>
    <t>Скважина №:</t>
  </si>
  <si>
    <t>Проект, м</t>
  </si>
  <si>
    <t>Факт, м</t>
  </si>
  <si>
    <t>Цементаж</t>
  </si>
  <si>
    <t>Назначение:</t>
  </si>
  <si>
    <t>Заказчик:</t>
  </si>
  <si>
    <t>Тип БУ:</t>
  </si>
  <si>
    <t>Начало бурения:</t>
  </si>
  <si>
    <t>Длительность по плану:</t>
  </si>
  <si>
    <t>Проектная глубина по стволу, м:</t>
  </si>
  <si>
    <t>Фактически дней:</t>
  </si>
  <si>
    <t>Проектная глубина (верт), м:</t>
  </si>
  <si>
    <t>Отставание от ГГД:</t>
  </si>
  <si>
    <t>Кровля пласта  (верт), м:</t>
  </si>
  <si>
    <t>Диаметр ствола:</t>
  </si>
  <si>
    <t>Тип профиля:</t>
  </si>
  <si>
    <t>MD, м:</t>
  </si>
  <si>
    <t>Макс. зенитный угол, град:</t>
  </si>
  <si>
    <t>TVD, м:</t>
  </si>
  <si>
    <t>Макс. интенсивность, град/10м:</t>
  </si>
  <si>
    <t>Суточная проходка:</t>
  </si>
  <si>
    <t>Смещение от устья, м:</t>
  </si>
  <si>
    <t>Суммарная проходка:</t>
  </si>
  <si>
    <t>Температура воздуха, °С:</t>
  </si>
  <si>
    <t>ПВО испытано (Дата/Давление):</t>
  </si>
  <si>
    <t>ПВО:</t>
  </si>
  <si>
    <t>Наработка тал.каната, т/км:</t>
  </si>
  <si>
    <t>Генеральный подрядчик:</t>
  </si>
  <si>
    <t>Долота:</t>
  </si>
  <si>
    <t>Подрядчик по бурению:</t>
  </si>
  <si>
    <t>Спуск ОК:</t>
  </si>
  <si>
    <t>Растворы:</t>
  </si>
  <si>
    <t>ГИС и ГТК:</t>
  </si>
  <si>
    <t>ННБ:</t>
  </si>
  <si>
    <t>Цементирование:</t>
  </si>
  <si>
    <t>3. Данные по КНБК (последняя СПО)</t>
  </si>
  <si>
    <t>Наружный Ø,мм</t>
  </si>
  <si>
    <t>Внутр. Ø,мм</t>
  </si>
  <si>
    <t>Длина, м</t>
  </si>
  <si>
    <t>Σ  Длина,м</t>
  </si>
  <si>
    <t>Серийный номер</t>
  </si>
  <si>
    <t>Тип и размер соединения</t>
  </si>
  <si>
    <t>Примечание</t>
  </si>
  <si>
    <t>4. Заявки</t>
  </si>
  <si>
    <t>Потребность</t>
  </si>
  <si>
    <t>Кол-во</t>
  </si>
  <si>
    <t>5. Параметры долот</t>
  </si>
  <si>
    <t>6. Буровой раствор</t>
  </si>
  <si>
    <t>№ рейса:</t>
  </si>
  <si>
    <t>Общ. проходка, м:</t>
  </si>
  <si>
    <t>Параметр</t>
  </si>
  <si>
    <t>План</t>
  </si>
  <si>
    <t>Факт</t>
  </si>
  <si>
    <t>Диаметр, мм:</t>
  </si>
  <si>
    <t xml:space="preserve">Тип </t>
  </si>
  <si>
    <t>Модель:</t>
  </si>
  <si>
    <t>Плотность, г/см3</t>
  </si>
  <si>
    <t>№ долота:</t>
  </si>
  <si>
    <t>Усл.вязкость, сек</t>
  </si>
  <si>
    <t>Обороты, об/мин:</t>
  </si>
  <si>
    <t>Т бур.(общ.), час:</t>
  </si>
  <si>
    <t>Вязкость пласт., сПз</t>
  </si>
  <si>
    <t>Нагрузка, т:</t>
  </si>
  <si>
    <t>ДНС, мг/см2</t>
  </si>
  <si>
    <t>Насадки, мм:</t>
  </si>
  <si>
    <t>СНС, мг/см2</t>
  </si>
  <si>
    <t>Интервал, м</t>
  </si>
  <si>
    <t>От:</t>
  </si>
  <si>
    <t>Толщина корки, %</t>
  </si>
  <si>
    <t>До:</t>
  </si>
  <si>
    <t>Т цирк.(общ.), час:</t>
  </si>
  <si>
    <t>Песок, %</t>
  </si>
  <si>
    <t>8. Инклинометрия</t>
  </si>
  <si>
    <t>Проходка (сут), м:</t>
  </si>
  <si>
    <t>Содержание хлоридов</t>
  </si>
  <si>
    <t>T бурения, час:</t>
  </si>
  <si>
    <t>Фильтрация см3/30 мин</t>
  </si>
  <si>
    <t>Зачение</t>
  </si>
  <si>
    <t>Мех. cкорость, м/час:</t>
  </si>
  <si>
    <t>рН</t>
  </si>
  <si>
    <t>MD, глубина (ствол), м:</t>
  </si>
  <si>
    <t>Проходка на долото за рейс, м:</t>
  </si>
  <si>
    <t>Отработка долота (AНИ):</t>
  </si>
  <si>
    <t>МВТ</t>
  </si>
  <si>
    <t>Зенитный угол, град:</t>
  </si>
  <si>
    <t>T бур. за рейс, час:</t>
  </si>
  <si>
    <t>Общая жесткость</t>
  </si>
  <si>
    <t>AZ, азимут, град:</t>
  </si>
  <si>
    <t>T цирк. за рейс, час:</t>
  </si>
  <si>
    <t>Содержание CaCO3</t>
  </si>
  <si>
    <t>TVD, глубина (верт), м:</t>
  </si>
  <si>
    <t>Состояние:</t>
  </si>
  <si>
    <t>V скв. с БИ, м3:</t>
  </si>
  <si>
    <t>Closure, отход, м:</t>
  </si>
  <si>
    <t>V емкости, м3:</t>
  </si>
  <si>
    <t>DLS, интенсивн. ° / 10м:</t>
  </si>
  <si>
    <t>V циркуляции, м3:</t>
  </si>
  <si>
    <t>V скв. без БИ, м3:</t>
  </si>
  <si>
    <t>7. Забойный двигатель</t>
  </si>
  <si>
    <t>№ рейса</t>
  </si>
  <si>
    <t>Модель</t>
  </si>
  <si>
    <t>Диаметр, мм</t>
  </si>
  <si>
    <t>Вес,  кг</t>
  </si>
  <si>
    <t>Ресурс, час</t>
  </si>
  <si>
    <t>Наработка, 
час/сут/всего</t>
  </si>
  <si>
    <t>Параметры гидравлики</t>
  </si>
  <si>
    <t>Отклонение</t>
  </si>
  <si>
    <t>Р насоса, атм</t>
  </si>
  <si>
    <t>Ø втулок 
насоса, мм</t>
  </si>
  <si>
    <t>Ход насоса, 
кол./мин</t>
  </si>
  <si>
    <t>Т подъема 
затрубье, мин</t>
  </si>
  <si>
    <t>Подача 
БН, л/сек</t>
  </si>
  <si>
    <t>Т цикла цирк., мин</t>
  </si>
  <si>
    <t>v истек. в 
насадках, м/с</t>
  </si>
  <si>
    <t>Гидр. Р на долоте, кВт/см2</t>
  </si>
  <si>
    <t>Система очистки</t>
  </si>
  <si>
    <t>Видросито</t>
  </si>
  <si>
    <t>Сито №1</t>
  </si>
  <si>
    <t>Сито №2</t>
  </si>
  <si>
    <t>Сито №3</t>
  </si>
  <si>
    <t>Сито №4</t>
  </si>
  <si>
    <t>Размер сеток на ВС</t>
  </si>
  <si>
    <t>Комментарии подрядчика по телеметрии:</t>
  </si>
  <si>
    <t>Центрифуга, вход/выход, г/см3</t>
  </si>
  <si>
    <t>Пульпа пескоотд-ля/илоотд-ля, г/м3</t>
  </si>
  <si>
    <t>9. Транспорт, расход ГСМ</t>
  </si>
  <si>
    <t>Потери на пов-ности./в скважине</t>
  </si>
  <si>
    <t>Наличие техники на кустовой площадке</t>
  </si>
  <si>
    <t>Наличие агрегатов на кустовой площадке</t>
  </si>
  <si>
    <t>Позиция</t>
  </si>
  <si>
    <t>Агрегат</t>
  </si>
  <si>
    <t>Т работы, ч</t>
  </si>
  <si>
    <t>Расход д/т, м3/ч</t>
  </si>
  <si>
    <t>Расход за сутки</t>
  </si>
  <si>
    <t>10. Персонал</t>
  </si>
  <si>
    <t>ИТР "Победит"</t>
  </si>
  <si>
    <t>Бурильщики</t>
  </si>
  <si>
    <t>Пом. бур.</t>
  </si>
  <si>
    <t>Ост. персонал ББ</t>
  </si>
  <si>
    <t>Служба заказчика</t>
  </si>
  <si>
    <t>Подрядчики</t>
  </si>
  <si>
    <t>Сторонние орг.</t>
  </si>
  <si>
    <t>Итог</t>
  </si>
  <si>
    <t>ИТР ООО "Победит Холдинг"</t>
  </si>
  <si>
    <t>Подписи</t>
  </si>
  <si>
    <t>Должность</t>
  </si>
  <si>
    <t>ФИО</t>
  </si>
  <si>
    <t>Инженер по бурению:</t>
  </si>
  <si>
    <t>Представитель:</t>
  </si>
  <si>
    <t>Ведущий инженер механик</t>
  </si>
  <si>
    <t>Мастер буровой:</t>
  </si>
  <si>
    <t>И. по ТБ:</t>
  </si>
  <si>
    <t>Мастер по сложным работам</t>
  </si>
  <si>
    <t>Ведущий инженер энергетик</t>
  </si>
  <si>
    <t>Итого:</t>
  </si>
  <si>
    <t>11. Персонал подрядных организаций</t>
  </si>
  <si>
    <t>Сервис</t>
  </si>
  <si>
    <t>Персонал, чел</t>
  </si>
  <si>
    <t>Представитель заказчика:</t>
  </si>
  <si>
    <t>Буровой мастер:</t>
  </si>
  <si>
    <t xml:space="preserve">Руководитель объекта: </t>
  </si>
  <si>
    <t>Суточный рапорт №</t>
  </si>
  <si>
    <t>Отчет составил</t>
  </si>
  <si>
    <t>Воронков Вадим Анатольевич</t>
  </si>
  <si>
    <t>Тел., эл. почта</t>
  </si>
  <si>
    <t>kazanskoe.project@pobeditholding.com</t>
  </si>
  <si>
    <t>Добывающая</t>
  </si>
  <si>
    <t>Конструкция скважины</t>
  </si>
  <si>
    <t>Дата цементажа</t>
  </si>
  <si>
    <t>ООО "Газпром Добыча Томск"</t>
  </si>
  <si>
    <t>МБУ ZJ-30</t>
  </si>
  <si>
    <t>Код БУ:</t>
  </si>
  <si>
    <t>0703076</t>
  </si>
  <si>
    <t>Дата отчета:</t>
  </si>
  <si>
    <t>Порядковый номер отчета:</t>
  </si>
  <si>
    <t>Дата начала бурения:</t>
  </si>
  <si>
    <t>Проектная глубина по стволу, м</t>
  </si>
  <si>
    <t>Проектная глубина по вертикали, м</t>
  </si>
  <si>
    <t>Фактическое кол-во дней:</t>
  </si>
  <si>
    <t>Кровля пласта  (верт), м</t>
  </si>
  <si>
    <t>Тип профиля</t>
  </si>
  <si>
    <t>Наклонно-направленный</t>
  </si>
  <si>
    <t>Отставание от срока сдачи:</t>
  </si>
  <si>
    <t xml:space="preserve">Макс. зенитный угол, град </t>
  </si>
  <si>
    <t>88,98</t>
  </si>
  <si>
    <t>Макс. интенсивность, град/10м</t>
  </si>
  <si>
    <t>1,5</t>
  </si>
  <si>
    <t>Забой на 24:00 по стволу, м:</t>
  </si>
  <si>
    <t>Смещение от устья, м</t>
  </si>
  <si>
    <t>Забой на 24:00 по вертикали, м:</t>
  </si>
  <si>
    <t>Генеральный подрядчик</t>
  </si>
  <si>
    <t>ООО "Победит Холдинг"</t>
  </si>
  <si>
    <t>Температура воздуха, °С</t>
  </si>
  <si>
    <t>Подрядчик по бурению</t>
  </si>
  <si>
    <t>ПВО испытано (Дата/Давление)</t>
  </si>
  <si>
    <t>06.02.26г / 35 МПа</t>
  </si>
  <si>
    <t>Подрядчик по растворам</t>
  </si>
  <si>
    <t>ООО "НСК Эшелон"</t>
  </si>
  <si>
    <t xml:space="preserve">ПВО  </t>
  </si>
  <si>
    <t>ОП-5 230х35</t>
  </si>
  <si>
    <t>Подрядчик по ННБ</t>
  </si>
  <si>
    <t>ООО "Интер-Сервис"</t>
  </si>
  <si>
    <t>Наработка тал.каната, т/км</t>
  </si>
  <si>
    <t>264,7\264,7</t>
  </si>
  <si>
    <t>Перетяжка 21.02.26г 360т/км</t>
  </si>
  <si>
    <t>Остаток на бухте 840т/км</t>
  </si>
  <si>
    <t>Подрядчик по долотам</t>
  </si>
  <si>
    <t>Подрядчик по спуску ОК</t>
  </si>
  <si>
    <t>ООО "Нефтесервисная компания" "Буран"</t>
  </si>
  <si>
    <t>Состояние на 6:00</t>
  </si>
  <si>
    <t xml:space="preserve">Бурение </t>
  </si>
  <si>
    <t>Подрядчик  по ГИС и ГТК</t>
  </si>
  <si>
    <t>ПФ «Востокгазгеофизика»</t>
  </si>
  <si>
    <t xml:space="preserve">Подр. по цементированию </t>
  </si>
  <si>
    <t>ООО "ЦЦС"</t>
  </si>
  <si>
    <t>Работы, проводимые в период с 00:00 до 24:00</t>
  </si>
  <si>
    <t>Время начала операции</t>
  </si>
  <si>
    <t>Время окончания операции</t>
  </si>
  <si>
    <t>Длительность 
операции, ч</t>
  </si>
  <si>
    <t>Категория работ 
(в т.ч. НПВ)</t>
  </si>
  <si>
    <t>Работы, проводимые в период с 00:00 до 8:00</t>
  </si>
  <si>
    <t>Вид работ 
(в т.ч. НПВ)</t>
  </si>
  <si>
    <t>PDC TD-126,0 SVD 513-T1 S233 (4х7,9мм; 2х8,2мм) Технодрил</t>
  </si>
  <si>
    <t>4х7,9мм; 2х8,2мм</t>
  </si>
  <si>
    <t>190425</t>
  </si>
  <si>
    <t>Нз76</t>
  </si>
  <si>
    <t xml:space="preserve">ДВ 106.7.531-Р 7/8 +КОБ (1º51´) ООО  "СОКОL" </t>
  </si>
  <si>
    <t>.-</t>
  </si>
  <si>
    <t>4249</t>
  </si>
  <si>
    <t>Мз 86 х Мз 76</t>
  </si>
  <si>
    <t>Переводник Мз 73 х Нз 86</t>
  </si>
  <si>
    <t>67</t>
  </si>
  <si>
    <t>Мз 73 х Нз 86</t>
  </si>
  <si>
    <t>Резистивиметр (пульсатор №723,  батареи 1,2,3№1541;1638;1551,ТМС верхняя №129, ТМС нижняя №191, гамма №544, инклинометр №852)</t>
  </si>
  <si>
    <t>537</t>
  </si>
  <si>
    <t>Мз 80 х Нз 73</t>
  </si>
  <si>
    <t>УБТН-95</t>
  </si>
  <si>
    <t>80362/36598-2</t>
  </si>
  <si>
    <t>Мз 80 х Нз 80</t>
  </si>
  <si>
    <t>Переводник Мз 86 х Нз 80</t>
  </si>
  <si>
    <t>12025*30</t>
  </si>
  <si>
    <t>Мз 86 х Нз 80</t>
  </si>
  <si>
    <t>Ф106-С4</t>
  </si>
  <si>
    <t>Мз 86 х Нз 86</t>
  </si>
  <si>
    <t>СБТ-88,9х9,35мм (43 свечи)</t>
  </si>
  <si>
    <t>ТБТ-К1-108-89-51 (3 свечи)</t>
  </si>
  <si>
    <t xml:space="preserve">ЯС-106 ГМ </t>
  </si>
  <si>
    <t>СБТ-88,9х9,35мм (ост)</t>
  </si>
  <si>
    <t>Кол-во, шт</t>
  </si>
  <si>
    <t>1.ЗИП на суммирующий редуктор МБУ (течь масла при работе);
2.Кардан привода суммирующего редуктора (изношен, требуется замена) - 2шт</t>
  </si>
  <si>
    <t>Номер рейса</t>
  </si>
  <si>
    <t>Комментарии подрядчика по долотам</t>
  </si>
  <si>
    <t>PDC TD-126,0 SVD 513-T1 S233  Технодрил</t>
  </si>
  <si>
    <t>№ долота</t>
  </si>
  <si>
    <t>Обороты, об/мин</t>
  </si>
  <si>
    <t>до 300</t>
  </si>
  <si>
    <t>Проходка на долото (общ.), м</t>
  </si>
  <si>
    <t>Нагрузка, т</t>
  </si>
  <si>
    <t>до 10</t>
  </si>
  <si>
    <t>Насадки, мм</t>
  </si>
  <si>
    <t>От</t>
  </si>
  <si>
    <t>Т бур.(общ.), час</t>
  </si>
  <si>
    <t>До</t>
  </si>
  <si>
    <t>Проходка (сут), м</t>
  </si>
  <si>
    <t>Время бурения, час</t>
  </si>
  <si>
    <t>Т цирк.(общ.), час</t>
  </si>
  <si>
    <t>Мех. Скорость, м/час</t>
  </si>
  <si>
    <t>Проходка на долото за рейс, м</t>
  </si>
  <si>
    <t>Время бурения за рейс, час</t>
  </si>
  <si>
    <t>Отработка долота (AНИ)</t>
  </si>
  <si>
    <t>Время циркуляции за рейс, час</t>
  </si>
  <si>
    <t>Состояние</t>
  </si>
  <si>
    <t>New</t>
  </si>
  <si>
    <t xml:space="preserve"> </t>
  </si>
  <si>
    <t>Ингибирующий хлоркалиевый</t>
  </si>
  <si>
    <t>Плотность, г/см³</t>
  </si>
  <si>
    <t>30-60</t>
  </si>
  <si>
    <t>Вязкость пластическая,
сПз</t>
  </si>
  <si>
    <t>10-20</t>
  </si>
  <si>
    <t>11</t>
  </si>
  <si>
    <t>ДНС, фунт/100фут²</t>
  </si>
  <si>
    <t xml:space="preserve">15-25 </t>
  </si>
  <si>
    <t>19</t>
  </si>
  <si>
    <t>СНС, фунт/100фут²</t>
  </si>
  <si>
    <t>6-15/8-20</t>
  </si>
  <si>
    <t>7/12</t>
  </si>
  <si>
    <t>Толщина корки, мм / Смазка, %</t>
  </si>
  <si>
    <t>&lt;0,5/ не менее 3</t>
  </si>
  <si>
    <t>0,2/4</t>
  </si>
  <si>
    <t>&lt;0,5</t>
  </si>
  <si>
    <t>0,1</t>
  </si>
  <si>
    <t>20000-30000</t>
  </si>
  <si>
    <t>25000</t>
  </si>
  <si>
    <t>Фильтрация-водоотдача, см³/30 мин</t>
  </si>
  <si>
    <t>4-6</t>
  </si>
  <si>
    <t>5,4</t>
  </si>
  <si>
    <t>Комментарии подрядчика по СО</t>
  </si>
  <si>
    <t>9-10</t>
  </si>
  <si>
    <t>9</t>
  </si>
  <si>
    <t xml:space="preserve">МВТ </t>
  </si>
  <si>
    <t>&lt;25</t>
  </si>
  <si>
    <t>14,25</t>
  </si>
  <si>
    <t>Общая жесткость по Са2+</t>
  </si>
  <si>
    <t>Содержание СаСО3</t>
  </si>
  <si>
    <t>&gt;80</t>
  </si>
  <si>
    <t>80</t>
  </si>
  <si>
    <t>Объемы, м³</t>
  </si>
  <si>
    <t>Скважина с инструментом</t>
  </si>
  <si>
    <t>Емкости</t>
  </si>
  <si>
    <t>Циркуляции</t>
  </si>
  <si>
    <t>Скважины без инструмента</t>
  </si>
  <si>
    <t>7. Параметры гидравлики</t>
  </si>
  <si>
    <t>Ø втулок насоса, мм</t>
  </si>
  <si>
    <t>Ход насоса  кол./мин</t>
  </si>
  <si>
    <t>Время подъема затрубье, мин</t>
  </si>
  <si>
    <t>Подача бурового насоса, л/сек</t>
  </si>
  <si>
    <t>Полное время цикла циркуляции,
 мин</t>
  </si>
  <si>
    <t>Скорость истеч-ия в насадках,
 м/с</t>
  </si>
  <si>
    <t xml:space="preserve">Гидр. мощность  на долоте, </t>
  </si>
  <si>
    <t>8. Система очистки</t>
  </si>
  <si>
    <t>Сито №3 (СГУ)</t>
  </si>
  <si>
    <t>Примечания</t>
  </si>
  <si>
    <t>270/270/200/200</t>
  </si>
  <si>
    <t>270/270/270/200</t>
  </si>
  <si>
    <t>325/325/325/325</t>
  </si>
  <si>
    <t>Центрифуга,      вход/выход     г/см³</t>
  </si>
  <si>
    <t>1,12/1,05 (1,71)</t>
  </si>
  <si>
    <t>Пульпа Пескоотд-ль /Илоотд-ль/, г\см³</t>
  </si>
  <si>
    <t>1,22/1,37</t>
  </si>
  <si>
    <t>Потери на поверхн. / в скважине м³</t>
  </si>
  <si>
    <t>12/2</t>
  </si>
  <si>
    <t>9. Забойный двигатель</t>
  </si>
  <si>
    <t>ДВ-106.Р.7/8_(1°51') ООО  "СОКОL"</t>
  </si>
  <si>
    <t xml:space="preserve">10. Инклинометрия </t>
  </si>
  <si>
    <t>Глубина (ствол), м</t>
  </si>
  <si>
    <t>MD</t>
  </si>
  <si>
    <t>Зенитный угол, град</t>
  </si>
  <si>
    <t>DEV</t>
  </si>
  <si>
    <t>Азимут, град</t>
  </si>
  <si>
    <t>AZ</t>
  </si>
  <si>
    <t>Глубина (верт), м</t>
  </si>
  <si>
    <t>TVD</t>
  </si>
  <si>
    <t>Отход, м</t>
  </si>
  <si>
    <t>Closure</t>
  </si>
  <si>
    <t>Интенсивн. ° / 10м</t>
  </si>
  <si>
    <t>DLS</t>
  </si>
  <si>
    <t>Комментарии подрядчика по телеметрии</t>
  </si>
  <si>
    <t>11. Транспорт, расход ГСМ</t>
  </si>
  <si>
    <t>Наличие транспортной/погрузочной и прочей техники на кустовой площадке</t>
  </si>
  <si>
    <t>Наименование</t>
  </si>
  <si>
    <t>Время работы, ч</t>
  </si>
  <si>
    <t>Вакуумник УРАЛ С 613 РВ 70</t>
  </si>
  <si>
    <t>Площадка УРАЛ Н 748 ТО 174</t>
  </si>
  <si>
    <t>Погрузчик LONKIN 7719 ММ 77</t>
  </si>
  <si>
    <t>Водовоза УРАЛ 10м³ Т 455 АС 797</t>
  </si>
  <si>
    <t>Водовоза УРАЛ 20м³  В 312 КВ 70</t>
  </si>
  <si>
    <t>Вакуумник УРАЛ К 702 НУ 186</t>
  </si>
  <si>
    <t>Голова УРАЛ Х 226 АН 797</t>
  </si>
  <si>
    <t>Итого</t>
  </si>
  <si>
    <t>12. Персонал</t>
  </si>
  <si>
    <t>ИТР бурового подрядчика</t>
  </si>
  <si>
    <t>Помощники брульщика</t>
  </si>
  <si>
    <t>Прочий персонал ББ</t>
  </si>
  <si>
    <t>Сторонние организации</t>
  </si>
  <si>
    <t>Представитель заказчика</t>
  </si>
  <si>
    <t>Грот Дмитрий Александрович</t>
  </si>
  <si>
    <t>Зацаринский Константин Владимирович</t>
  </si>
  <si>
    <t>Ведущий инженер-механик</t>
  </si>
  <si>
    <t>Мастер буровой</t>
  </si>
  <si>
    <t>Коротков Денис Сергеевич</t>
  </si>
  <si>
    <t>Черноиванов Павел Вячеславович</t>
  </si>
  <si>
    <t>Руководитель объекта</t>
  </si>
  <si>
    <t>Инженер по бурению</t>
  </si>
  <si>
    <t>Горшков Александр Владимирович</t>
  </si>
  <si>
    <t>13. Персонал подрядных организаций</t>
  </si>
  <si>
    <t>Растворы</t>
  </si>
  <si>
    <t>ННБ</t>
  </si>
  <si>
    <t>ГТИ</t>
  </si>
  <si>
    <t>Спуск ОК</t>
  </si>
  <si>
    <t>Прочий сервис</t>
  </si>
  <si>
    <t>ООО «ЭТТЦ»</t>
  </si>
  <si>
    <t>Производственная сводка на:</t>
  </si>
  <si>
    <t>№</t>
  </si>
  <si>
    <t>М-р</t>
  </si>
  <si>
    <t>ø ОК, мм</t>
  </si>
  <si>
    <t>Глубина, м
(план)</t>
  </si>
  <si>
    <t>Глубина, м
(факт)</t>
  </si>
  <si>
    <t>Забой на 24:00</t>
  </si>
  <si>
    <t>Забой на
8:00(местное вр.)</t>
  </si>
  <si>
    <t>Краткое описание работ</t>
  </si>
  <si>
    <t>Срочные вопросы</t>
  </si>
  <si>
    <t>НПВ и выполнение графика строительства</t>
  </si>
  <si>
    <t>Суточная
проходка, м</t>
  </si>
  <si>
    <t>Подъездные пути</t>
  </si>
  <si>
    <t>Прогноз погоды
 на неделю</t>
  </si>
  <si>
    <t>Для заметок</t>
  </si>
  <si>
    <t>1. Сухари для ручного клинового зажима (RSX 4 1/2" x 3 1/2") под СБТ-89мм (3 1/2") - 54шт;
2. Покрышка с камерой для жилого вагона 15,5/65-18
3. Греющий кабель 30Вт - 100м;
4. Дарнит - 3рул
5. Донные задвижки
6. Редуктор на перемешиватель (в БПР);
7. Азот - 1шт</t>
  </si>
  <si>
    <t>Начало строительства:</t>
  </si>
  <si>
    <t>Пн:</t>
  </si>
  <si>
    <t>20°°</t>
  </si>
  <si>
    <t>↓3140</t>
  </si>
  <si>
    <t>Целевое окончание:</t>
  </si>
  <si>
    <t>Вт:</t>
  </si>
  <si>
    <t>24°°</t>
  </si>
  <si>
    <t>Прогнозное окончание:</t>
  </si>
  <si>
    <t>Ср:</t>
  </si>
  <si>
    <t>8°°</t>
  </si>
  <si>
    <t>↑2225</t>
  </si>
  <si>
    <t>НПВ за прош. / текущ.сутки, ч:</t>
  </si>
  <si>
    <t>Чт:</t>
  </si>
  <si>
    <t>Общее НПВ / ПНВ, ч:</t>
  </si>
  <si>
    <t>Пт:</t>
  </si>
  <si>
    <t>Сб:</t>
  </si>
  <si>
    <t>ДТ</t>
  </si>
  <si>
    <t>расход, м3:</t>
  </si>
  <si>
    <t>остаток:</t>
  </si>
  <si>
    <t>Нефть</t>
  </si>
  <si>
    <t>расход:</t>
  </si>
  <si>
    <t>Вс:</t>
  </si>
  <si>
    <t>Все ячейки этого цвета необходимо заполнять ежедневно вручную</t>
  </si>
  <si>
    <t>∆</t>
  </si>
  <si>
    <t>Бурение (забой)</t>
  </si>
  <si>
    <t>В эти ячейки пишем очень краткий план, то же самое, что озвучиваете утром на селекторе, за рамки ячеек просьба не выходить. Слева от этого поля приведены специальные символы для обозначения трех основных операций. Применяем их в оранжевых ячейках. Ниже приведен пример</t>
  </si>
  <si>
    <t>↑</t>
  </si>
  <si>
    <t>Подъем (глубина)</t>
  </si>
  <si>
    <t>↓</t>
  </si>
  <si>
    <t>Спуск (глубина)</t>
  </si>
  <si>
    <t>Примеры заполнения поля "Для заметок"</t>
  </si>
  <si>
    <t>∆ 3900</t>
  </si>
  <si>
    <t>↑ 3000</t>
  </si>
  <si>
    <t>Пояснение краткой записи</t>
  </si>
  <si>
    <t>Бурение до забоя 3900 м</t>
  </si>
  <si>
    <t>Промывка на забое</t>
  </si>
  <si>
    <t>Подъем КНБК до гл. 3000 м</t>
  </si>
  <si>
    <t>Дата</t>
  </si>
  <si>
    <t>Потребитель</t>
  </si>
  <si>
    <t>Расход ДТ, л/ч</t>
  </si>
  <si>
    <t>Расход, литр за сутки</t>
  </si>
  <si>
    <t>Остаток ДТ, литр</t>
  </si>
  <si>
    <t>Приход ДТ, л</t>
  </si>
  <si>
    <t>ПА</t>
  </si>
  <si>
    <t>Переезд на скв.</t>
  </si>
  <si>
    <t>ДЭС</t>
  </si>
  <si>
    <t xml:space="preserve">Организация </t>
  </si>
  <si>
    <t>Курбанов Марат Курбанович</t>
  </si>
  <si>
    <t>ООО "Победит-Холдинг"</t>
  </si>
  <si>
    <t>Штрифаненко Александр Андреевич</t>
  </si>
  <si>
    <t>Машинист МБУ</t>
  </si>
  <si>
    <t>Стрельцов Александр Михайлович</t>
  </si>
  <si>
    <t>Ногов Валерий Анатольевич</t>
  </si>
  <si>
    <t>Электромонтер</t>
  </si>
  <si>
    <t>Афанасьев Сергей Николаевич</t>
  </si>
  <si>
    <t>Пом. бурильщика</t>
  </si>
  <si>
    <t>Бевов Руслан Кербекович</t>
  </si>
  <si>
    <t>Овчинников Александр Александрович</t>
  </si>
  <si>
    <t>Слесарь БО</t>
  </si>
  <si>
    <t>Денисов Андрей Николаевич</t>
  </si>
  <si>
    <t>Сварщик</t>
  </si>
  <si>
    <t>Курбанов Марсель Курбанович</t>
  </si>
  <si>
    <t>Турманов Осман Юсуфович</t>
  </si>
  <si>
    <t>Подменный бурильщик</t>
  </si>
  <si>
    <t>Багатаев Сулейман шамилевич</t>
  </si>
  <si>
    <t>Амиров Рустам Шарабутинович</t>
  </si>
  <si>
    <t>Гафуров Ильмир Махмутович</t>
  </si>
  <si>
    <t>Сангаджиев Арлтан Владленович</t>
  </si>
  <si>
    <t>Шарафиев Руслан Рамильевич</t>
  </si>
  <si>
    <t>Пашкин Сергей Сергеевич</t>
  </si>
  <si>
    <t>Абашев Витали Инсурович</t>
  </si>
  <si>
    <t>Чичколенко Станислав Андреевич</t>
  </si>
  <si>
    <t>Крафт Виктор Николаевич</t>
  </si>
  <si>
    <t>Логинов Евгений Васильевич</t>
  </si>
  <si>
    <t>Овчинников Михаил Михайлович</t>
  </si>
  <si>
    <t>Базюк Петр Николаевич</t>
  </si>
  <si>
    <t>Караман Георгий Николаевич</t>
  </si>
  <si>
    <t>Главный инженер</t>
  </si>
  <si>
    <t>Кунчевский Александр Сергеевич</t>
  </si>
  <si>
    <t>Вышкомонтажник</t>
  </si>
  <si>
    <t>Яковлев Михаил Вячелавович</t>
  </si>
  <si>
    <t>Вышкомонтажник сварщик</t>
  </si>
  <si>
    <t>Ерошин Николай Владимирович</t>
  </si>
  <si>
    <t>Филатов Николай Николаевич</t>
  </si>
  <si>
    <t>Инженер по БР</t>
  </si>
  <si>
    <t>ООО "Растворный сервис"</t>
  </si>
  <si>
    <t>Инженер по цементажу</t>
  </si>
  <si>
    <t>ООО "Цементажный сервис"</t>
  </si>
  <si>
    <t>Версия: 06.04.2026</t>
  </si>
  <si>
    <t>Дата и время начала бурения скважины №</t>
  </si>
  <si>
    <t>Окончание скважины (цель/прогноз):</t>
  </si>
  <si>
    <t>Время строительства, план/факт:</t>
  </si>
  <si>
    <t>Прогноз опережения/отставания от целевого плана, сут.:</t>
  </si>
  <si>
    <t>Общее НПВ, сутки/часы</t>
  </si>
  <si>
    <t>Общее ПНВ (скрытое НПВ), сутки/часы</t>
  </si>
  <si>
    <t>Время строительства без НПВ, сутки:</t>
  </si>
  <si>
    <t>Целевой план</t>
  </si>
  <si>
    <t>Рабочий целевой план</t>
  </si>
  <si>
    <t>Факт/прогноз</t>
  </si>
  <si>
    <t>Операция</t>
  </si>
  <si>
    <t>Начало (цель)</t>
  </si>
  <si>
    <t>Конец (цель)</t>
  </si>
  <si>
    <t>Часы (цель)</t>
  </si>
  <si>
    <t>Забой, м (цель)</t>
  </si>
  <si>
    <t>Сутки (цель)</t>
  </si>
  <si>
    <t>Нараст. сутки (цель)</t>
  </si>
  <si>
    <t>Начало (план)</t>
  </si>
  <si>
    <t>Конец (план)</t>
  </si>
  <si>
    <t>Забой, м (план)</t>
  </si>
  <si>
    <t>Сутки (план)</t>
  </si>
  <si>
    <t>Нараст. сутки (план)</t>
  </si>
  <si>
    <t>Начало (факт)</t>
  </si>
  <si>
    <t>Конец (факт, прогноз)</t>
  </si>
  <si>
    <t>Часы (факт)</t>
  </si>
  <si>
    <t>Факт без НПВ, часы</t>
  </si>
  <si>
    <t>Сутки (факт)</t>
  </si>
  <si>
    <t>Нараст. сутки (факт)</t>
  </si>
  <si>
    <t>Забой, м (факт)</t>
  </si>
  <si>
    <t>НПВ за операцию, часы</t>
  </si>
  <si>
    <t>НПВ между операциями, часы</t>
  </si>
  <si>
    <t>ПНВ, часы</t>
  </si>
  <si>
    <t>Проблемные позиции, оборудование, материалы, комментарии к НПВ</t>
  </si>
  <si>
    <t>Следование ГГД</t>
  </si>
  <si>
    <t>Переезд бригады на скв. №6 бис к.п. №1 бис КНГКМ с к.п. №7 КНГКМ — 9 рейсов. L=7,696км.</t>
  </si>
  <si>
    <t>Пишите сюда свои комментарии</t>
  </si>
  <si>
    <t>Расстановка оборудования 9шт. Установка заземлений 9шт. Монтаж подставок под кабель 25шт. Подключение оборудования 8шт. Монтаж защитных колпаков 1шт.</t>
  </si>
  <si>
    <t>Монтаж подъемного агрегата А-60/80 (100%). Монтаж РП, спайдера СУ-80, гидроключа ГКШ-1200, ИВЭ-50. Монтаж системы видеонаблюдения. Устройство 2-х якорей. Установка пригрузов 2 комплекта. Монтаж приемного моста и трех облегченных стеллажей.</t>
  </si>
  <si>
    <t>Подрыв ПШ (вес при подрыве 8,9тн). Разделка кабельного ввода. Протаскивание кабеля через кабельный ввод (L≈50м). Демонтаж КВ, ПШ.</t>
  </si>
  <si>
    <t>Комиссионный подъём 10.1ЭЦНМИК8-2000-350 с глубины 400,69м (39шт НКТП-114мм). Подъём НКТП-114мм согласно регламенту АО «Газпром добыча Томск».</t>
  </si>
  <si>
    <t>Демонтаж 10.1ЭЦНМИК8-2000-350 (1 секция) согласно регламенту по работе с электропогружным оборудованием.</t>
  </si>
  <si>
    <t>ГФР: спуск прибора для записи АКЦ силами ООО «Газпром недра» ПФ «Красноярскгазгеофизика» в интервале от устья до текущего забоя (1448,6м).</t>
  </si>
  <si>
    <t>Разгрузка на приемный мост оборудования для монтажа УЭЦН. Монтаж катушки с кабелем на автонаматыватель. Настройка клапанов ГКШ-1200МТ. Сверка номерных узлов УЭЦН. Центровка мачты.</t>
  </si>
  <si>
    <t>Монтаж 10.1ЭЦНМИК8-3000-300 (1 секция: насос, гидрозащита, ПЭД) согласно чек-листу.</t>
  </si>
  <si>
    <t>Спуск 10.1ЭЦНМИК8-3000-300 на глубину 450м на НКТП-114мм. Компоновка: ЭЦН + НКТП-114мм до устья. Скорость СПО не более 0,25 м/сек.</t>
  </si>
  <si>
    <t>Демонтаж РП. Демонтаж ГКШ-1200, СУ-80. Вес перед посадкой ПШ: на подъеме 4,9тн, на спуске 4,6тн.</t>
  </si>
  <si>
    <t>Контрольный замер сопротивления изоляции совместно с представителем УРиЭ УЭЦН. R=200МОм. Звезда есть.</t>
  </si>
  <si>
    <t>Монтаж ФА с протаскиванием кабеля (≈44м) через кабельный ввод. Монтаж кабельного ввода. Контрольный замер изоляции после посадки планшайбы (R=200МОм). Монтаж обвязки скважины.</t>
  </si>
  <si>
    <t>Замер сопротивления изоляции кабельной линии перед запуском (100МОм, звезда есть). Запуск 30.1ЭЦНМИК6-1000-370 на НСК в 18:30ч. Iпуск=21,4А, Iраб=19,7А, частота 40Гц, загрузка 42%. Дебит составил V=1040м³ ЗР после запуска.</t>
  </si>
  <si>
    <t>Демонтаж ИВЭ-50, РП, А-60/80. Демонтаж пригрузов, якорей, приемного моста и трех облегченных стеллажей. Демонтаж линии долива. Демонтаж защитного колпака. Демонтаж заземлений. Отключение оборудования. Демонтаж подставок под кабель. Уборка прилегающей территории.</t>
  </si>
  <si>
    <t>Переезд бригады на скв. №431 (14 рейсов, L=13,357 км)</t>
  </si>
  <si>
    <t>Расстановка оборудования (14 шт.), установка заземлений (14 шт.), подключение оборудования (8 шт.), установка подставок под кабель (23 шт.), демонтаж 3‑х лубрикаторных площадок, монтаж 2‑х защитных колпаков</t>
  </si>
  <si>
    <t>Монтаж и опрессовка нагнетательных линий на полуторократное давление от Р=15 МПа, установка блока долива</t>
  </si>
  <si>
    <t>Опрессовка превентора ППСГ-2Ф-180×35 с трубными плашками 73 мм и глухих плашек до установки на устье (рабочее давление)</t>
  </si>
  <si>
    <t>Набор тех. воды (55,8 м³, ρ=1,01), обработка ПАВ, отбор пробы. Параллельный завоз жидкости глушения (66,8 м³)</t>
  </si>
  <si>
    <t>Опрессовка лифта НКТП на 6 МПа и обратного клапана обвязки ФА на 4 МПа (в присутствии оператора ЦДПНГиК)</t>
  </si>
  <si>
    <t>Сброс СК спецломиком d=30 мм. Глушение прямой промывкой в 2 цикла (1‑й – 26,5 м³, 2‑й – 13,5 м³), отстой между циклами (2,17 ч), технологическая стоянка (3 ч), разрядка до атмосферного давления, долив</t>
  </si>
  <si>
    <t>При отрицательном сбитии СК – глушение обратной промывкой (45,8 м³, ρ=1,01), технологическая стоянка (3 ч), разрядка, долив</t>
  </si>
  <si>
    <t>Демонтаж ЗД №2. Монтаж подъемника УБРСП-80 (по ТУ и ПБ), устройство 2 якорей, установка пригрузов (2 компл.), монтаж приёмного моста, 3 стеллажей, рабочей площадки, спайдера СУ-80, гидроключа ГКШ-1200, ИВЭ-50, испытание якорей</t>
  </si>
  <si>
    <t>Промывка скважины с целью дегазации (35 м³, ρ=1,01) при наличии избыточного давления</t>
  </si>
  <si>
    <t>Монтаж превентора, 2 отбойных щитов, 4 дистанционных штурвалов по типовой схеме</t>
  </si>
  <si>
    <t>Опрессовка фланцевых соединений после замены ЗД №3,9,10 на 23 МПа</t>
  </si>
  <si>
    <t>Срыв и подъём пакера с глубины 30 м</t>
  </si>
  <si>
    <t>В случае сбития СК – прямая промывка (26,5 м³) перед подъёмом УЭЦН</t>
  </si>
  <si>
    <t>В случае несбития СК – обратная промывка (30,5 м³) перед подъёмом УЭЦН</t>
  </si>
  <si>
    <t>Комиссионный подъём УЭЦН с глубины 2284,37 м (226 шт.) с ВИК НКТП-73, постоянный долив</t>
  </si>
  <si>
    <t>Комиссионный демонтаж УЭЦН (3 секции насоса + газосепаратор) по чек-листу</t>
  </si>
  <si>
    <t>Установка барабана на автовымотку, разгрузка УЭЦН, опрессовка подклапанных НКТП (4 шт.) на 25 МПа, сверка номеров, ВИК резьб ОК, СК, АШУ, протаскивание кабеля 50 м, центровка мачты</t>
  </si>
  <si>
    <t>Монтаж Трилл-СВ (9 секций), муфты НКТ73, МПС-73-200, КПП 3-73.К(н), КГП-04.400К(н), РЗП-У-01-7-146.1, ВНН5-80-2400 (1 секция ПЭД, гидрозащита, газосепаратор, 2 секции ЭЦН). Проверка ТМСП</t>
  </si>
  <si>
    <t>Настройка ГКШ-1200МТ, сборка и опрессовка компоновки (ЭЦН + НКТП-73 + КОШ + КОШ UCV + АШУ + СК) на 20 МПа. Спуск УЭЦН на глубину 2285 м с поинтервальной опрессовкой НКТ через 600 м (6 МПа), замером изоляции через 300 м, установкой противополётного кольца на 800 м</t>
  </si>
  <si>
    <t>Контрольный замер сопротивления изоляции после спуска ЭПУ (до и после посадки ПШ)</t>
  </si>
  <si>
    <t>Демонтаж ГКШ-1200, СУ-80, превентора с протаскиванием кабеля 50 м, демонтаж отбойных щитов и штурвалов. Монтаж ёлки АФ и кабельного ввода, опрессовка КВ на 11 МПа, укладка кабеля 50 м</t>
  </si>
  <si>
    <t>Демонтаж ИВЭ-50, рабочей площадки, УПА 60/80, монтаж дублирующей задвижки №2, опрессовка фланца, демонтаж пригрузов, якорей, приёмного моста, 3 стеллажей, линии долива</t>
  </si>
  <si>
    <t>Демонтаж 2‑х защитных колпаков, монтаж 3‑х лубрикаторных площадок, демонтаж заземлений (9 ед.), отключение оборудования (9 ед.), демонтаж подставок под кабель (3 шт.), уборка территории</t>
  </si>
  <si>
    <t>Согласование отклонений от плана работ проводить с геологической и технологической службами АО «Газпром добыча Томск" только по электронной почте. В ночное время (с 20:00 до 08:00) производить через промыслового диспетчера ЦПДС АО «Газпром добыча Томск» и с ООО "Газпром газобезопасность"на местороШйНни,</t>
  </si>
  <si>
    <t>Согласование</t>
  </si>
  <si>
    <t>Произвести: 1. Расстановка оборудования - 14 единиц, 2. Подключение оборудования - 8 единиц, 3. Установка подставок под кабель 57 шт, 4. Монтаж заземления 14 единиц, 5. Демонтаж 2-х лубрикаторных площадок 6. Монтаж 1-осо защитного колпака,</t>
  </si>
  <si>
    <t>Произвести: I Разрядку межколонною пространства 2. Опрессовку межколонного пространства на Р- 4,4 МПа 3. Опрессовку МПУ на Р=21 МПа в присутствии представителя АО «Газпром добыча Томск» и районного инженера Томского ВО филиала ВСВЧ ООО "Газпром газ обе запаси ость" СОСТАВИТЬ АКТ О ВЫПОЛНЕННЫХ РАБОТАХ,</t>
  </si>
  <si>
    <t>Межколонное пространство</t>
  </si>
  <si>
    <t>Смонтировать нагнетательные линии и опрессовать на полуторок ратное давление от максимального рабочего давления Р = 18 МПа, предусмотренного планом работ в соответствие с л, 1218 ПБНГП Блок долива установить согласно п, 1223 ПБНГП,</t>
  </si>
  <si>
    <t>Нагнетательные линии</t>
  </si>
  <si>
    <t>Произвести: 1. Монтаж подъемника УБРСП-80 согласно ТУ и правил ПБ 2. Устройство 2 якорей, 3. Установку пригруэов - 2 комплекта 4. Монтаж приемного моста, 5. Монтаж трёх облегченных стеллажей, 6. Монтаж рабочей площадки, 7. Монтаж спайдера СП Г-80, 8. Монтаж гидроключа ГКШ - 1200, 9. Мот аж ИВЭ-50, 10. Испытание якорей,</t>
  </si>
  <si>
    <t>Подъемный агрегат</t>
  </si>
  <si>
    <t>1. Произвести запуск брш ады КРС в работу пусковой комиссией согласно Положения "О вводе в работу бригад текущего, капитального ремонта, испытания и освоения скважин и смонтированных установок на объектах АО «Газпром добыча Томск», 2. Получить разрешение районного инженера Томского ВО филиала ВСВЧ ООО "Газпром газобезопасность" на ТКРС. Готовность скважины к ремоту оформить актом</t>
  </si>
  <si>
    <t>Ввод в работу</t>
  </si>
  <si>
    <t>Работа комиссии по проверке готовности объекта к производству работ, составить акт готовности. Получить разрешение районного инженера Томского ВО филиала ВСВЧ ООО "Газпром газобезопаснопь" на демонтаж елки АФ, (ЗАЯВКУ НА ПРЕДСТАВИТЕЛЯ Томского ВО филиала ВСВЧ ООО "Газпром газобезопасность" подать за 48 час до начала операции)</t>
  </si>
  <si>
    <t>- ПЕРЕД НАЧАЛОМ ТКРС ПРОВОДИТЬ СИНХРОНИЗАЦИЮ КОМПЛЕКСА ВИДЕОРЕГИСТРАЦИИ ПО ВРЕМЕНИ И ДАТЕ С ИВЭ-50, - ПРОИЗВОДИТЬ 100% ВИЗУАЛЬНО-ИНСТРУМЕНТАЛЬНЫЙ КОНТРОЛЬ (ВИК) ПОДНЯТЫХ НКТ. С КАЛИБРОВКОЙ МУФТОВОЙ И НИППЕЛЬНОЙ ЧАСТЕЙ РЕЗЬБ НКТ. НА СТЕЛЛАЖАХ ПРИЕМНОГО МОСТА КАЛИБРОВКУ РЕЗЬБОВЫХ ЧАСТЕЙ КАЖДОЙ НКТ ПРОИЗВОДИТЬ ПОСЛЕ УКЛАДКИ НА СТЕЛЛАЖИ ЦЕЛОГО РЯДА НКТ; - ВЫПОЛНЕНИЕ РАБОТ ПО ВИК ПОДВЕСОК НКТ ПРОВОДИТЬ С ОБЯЗАТЕЛЬНЫМ ПРИСУТСТВИЕМ ПРЕДСТАВИТЕЛЯ ЗАКАЗЧИКА (СУПЕРВАЙЗЕРА) И ВИДЕОРЕГИСТРАЦИЕЙ; - КАМЕРА ВИДЕОРЕГИСТРАЦИИ ДОЛЖНА УСТАНАВЛИВАТЬСЯ ТАКИМ ОБРАЗОМ. ЧТОБЫ ФИКСИРОВАТЬ ПРОВЕДЕНИЕ ВИК КАЖДОГО РЯДА ПОДНЯТЫХ НКТ (МУФТОВОЙ И НИППЕЛЬНОЙ ЧАСТЕЙ РЕЗЬБ НКТ); - СОСТАВИТЬ АКТ НА ПРОВЕДЕНИЕ ВИК С УКАЗАНИЕМ ВРЕМЕНИ НАЧАЛА И ОКОНЧАНИЯ ПРОВЕДЕНИЯ ВИК - ПРИ ЗАКРЫТИИ ОБЪЕМОВ РАБОТ ПРЕДОСТАВЛЯТЬ ВИДЕОФАЙЛ С ПРОВЕДЕНИЕМ ВИК ПОДВЕСКИ НКТ И ОРИГИНАЛЬНЫЙ ФАЙЛ С ИВЭ-50 ДЛЯ ПРОСМОТРА МОМЕНТА СВИНЧИВАНИЯ НКТ ГИДРОКЛЮЧЕМ,</t>
  </si>
  <si>
    <t>Контроль ВИК</t>
  </si>
  <si>
    <t>1,Мастеру КРС совместно с супервайзером и мастером ДНГ ЦДПНГиК АО "Газпром добыча Томск" произвести визуально - ниструметальный контроль резьб ПЛАНШАЙБЫ ФА И ПОДВЕСНОГО ПАТРУБКА. ПРОИЗВЕСТИ ФОТОФИКСАЦИЮ ТЕХНИЧЕСКОГО СОСТОЯНИЯ ПОДВЕСНОГО. СОСТАВИТЬ АКТ НА ВЫПОЛНЕННЫЕ РАБОТЫ,</t>
  </si>
  <si>
    <t>1. Смонтировать превентор ППСГ-2Ф-180х35 с трубными плашками 73мм (опрессованный до установки на усп,е), 2. Произвести монтаж 2-х отбойных щитов ПВО, с установкой 4-х дистанционных штурвалов ручного управления согласно типовой схемы обвязки устья скважин противовыбросовым оборудованием ОП2-180/65х35 (ОП2-160/65x35) при капитальном, текущем ремонтах эксплуатационных и разведочных скважин па Остан и нс ком. Северо-Останкнском. Пинджинском. Мирном. Казанском. Болтном. Рыбальном месторождениях АО «Газпром добыча Томск*- При СПО. ГИС, промывке 16,02,2026 г, 3. Монтаж СУП 4. ПОДАТЬ ЗАЯВКУ НА РЕВИЗИЮ ФОНТАННОЙ АРМАТУРЫ И ВИК РЕЗЬБЫ ПШ В МРУ,</t>
  </si>
  <si>
    <t>Работа комиссии по проверке готовности объекта к производству работ, составить акт готовности. Получить разрешение районного инженера Томского ВО филиала ВСВЧ ООО 'Газпром газобеэопасность" на дальнейшее производство работ после опрессовки ПВО на устье скважины, (ЗАЯВКУ НА ПРЕДСТАВИТЕЛЯ Томского ВО филиала ВСВЧ ООО "Газпром газобезэпасность" пода гь за 48 час до начала операции),</t>
  </si>
  <si>
    <t>Произвести опрессовку задвижек трубной головки АФ ЗД № 3, 9, 10 на давление опрессовки Э/К Р = 21 МПа, в присутствии районного инженера Томского ВО филиала ВСВЧ ООО "Газпром газобеэопасность" и оператора ЦДПНГиК. СОСТАВИТЬ АКТ НА ВЫПОЛНЕННЫЕ РАБОТЫ,</t>
  </si>
  <si>
    <t>В случае не герметичности ЗД № 3, 9 произвести работу комиссии по проверке готовности объекта к производству работ, составить акт готовности. Получить разрешение районного инженера Томского ВО филиала ВСВЧ ООО "Газпром газобеэопасность" на демонтаж не герметичных задвижек № 3, 9 (ЗАЯВКУ НА ПРЕДСТАВИТЕЛЯ Томского ВО филиала ВСВЧ ООО "Газпром газобезопасность" подать за 48 час до начала операции)</t>
  </si>
  <si>
    <t>В случае негерметичности ЭД №10 АФ произвести её замену. Произвести замену ЗД № 3, 9 ФА. СОСТАВИТЬ АКТ НА ВЫПОЛНЕННЫЕ РАБОТЫ</t>
  </si>
  <si>
    <t>1. Опрессовать соединения после установки ЗД № 3, 9, 10 ЗМГ на Р =21 МПа, до концевых задвижек БГД з присутствии оператора ЦДПНГиК и районного инженера Томского ВО филиала ВСВЧ ООО "Газпром газобезопасность". СОСТАВИТЬ АКТ НА ВЫПОЛНЕННЫЕ РАБОТЫ 2. Работа комиссии по проверке готовности объекта к производству работ. Составить акт готовности, 3. Получить разрешение районного инженера Томского ВО филиала ВСВЧ ООО "Газпром газобезопасность" на дальнейшее производство работ после опрессовки (ЗАЯВКУ НА ПРЕДСТАВИТЕЛЯ Томского ВО филиала ВСВЧ ООО "Газпром газобеэопасность' подать за 48 час до начала операции), 3. Произвести срыв и подъём пакера с гл, 30 м</t>
  </si>
  <si>
    <t>Снять со стеллажей НКТП-73мм , поднятую из скважины в количестве 187 шт. Зывсзти на склад КНГКМ, составить документы о приёме-передачи НКТП, 2. Уложить на стеллажи ТТ-73мм в количестве 306 шт,</t>
  </si>
  <si>
    <t>Подготовка инструмента</t>
  </si>
  <si>
    <t>1 Произвести демонтаж 30,1 ЭЦНДИ5-45-2308 (2 секции + газосспаратор) согласно чек-листа 2. Заявки на мон та ж/демонтаж и завоз оборудования подать за 24, 12, 2 часа в ЦПДС АО «Газпром добыча Томск». СОСТАВИТЬ АКТ НА ДЕМОНТАЖ ЭЦН-</t>
  </si>
  <si>
    <t>1. Произвести спуск компоновки: перо ТТ-73мм + хвостовик ТТ-73мм Юм + скрепер 146мм до глубины 2645м 2. Произвести скреперование о интервале 2130-2170м, (установка клина-отклонителя на гл 2151м), 2645-2665м Юраз на трубу, 3. Произвести промывку скважины от продуктов скреперования в У=31,5мЗ</t>
  </si>
  <si>
    <t>БК_КНБК</t>
  </si>
  <si>
    <t>Зачистная КНБК</t>
  </si>
  <si>
    <t>Произвести подъём компоновки: перо ТТ-73мм + хвостовик ТТ-73мм Юм + скрепер 146мм с глубины 2665м. Подъём производить с постоянным доливом скважины раствором глушения,</t>
  </si>
  <si>
    <t>Произвести сборку компоновки с пакер пробкой: ПМ-118-35 + ГУК + ТТ-73мм (осд). Произвести осмотр пакера. Резьбы не должны иметь задиров и вмятин. Манжеты должны быть гладкими, без трещин, подрезов и посторонних включений, наружный диаметр манжет не должен превышать габаритный диаметр пакера Детали не должны иметь забоин к других механических повреждений. Обеспечить работоспособность: гидравлического ключа ГКШ-1500 с исправным и оггарировзнным моментомером Свинчивание элементов производить ключом ГКШ-1500 с контролем моментов свинчивания, согласно паспортным данным, исходя из значения резьбы Фиксировать момент свинчивания через датчик ДЭЛ, с записью в память и онлайн мониторинга. При свинчивании использовать герметизирующую смазку,</t>
  </si>
  <si>
    <t>Произвести спуск компоновки с пакер пробкой: ПМ-118-35 + ГУК на МТ-73мм до глубины 2655м. Спуск должен производиться со скоростью не более 0,25 м/с с шаблонировкой ТТ-73 При спуске Не допускается проталкивать пакер весом колонны ТТ -73 более 2 тонн. Прочностные характеристики ТТ-73 должны обеспечивать создание нагрузки аварийного отсоединения в случае необходимости,</t>
  </si>
  <si>
    <t>1. Сбросить шар (входит в состав ГУК) в полость ТТ-73, 2. На минимальной скорости агрегата плавно создать давление в ТГ-73 12-14 МПа с последующей выдержкой в течение 5 минут, 3. Стравить давление в СБТ до 3 МПа 4. Проверить зацепление пакера с обсадной колонной путём натяжения колонны ТТ-73 усилием 3-5 сонм сверх собственного веса с выдержкой 5 минут, 5. Не снимая натяжения с пакера, плавно поднять давление в ТТ-73 до его резкого падения (происходит при достижении давления около 17-19 МПа), означающего посадку пакера и отсоединение ГУК, ио не более 21 МПа 6. Поднять ТТ-73 на 1,5-2 метра, убедиться в отсуз ствии затяжек, 7. Прямой промывкой проверить наличие циркуляции, 8. Определить место посадки пакера разгрузкой веса ТТ-73 на него не более 5 тс, 9. Проверить герметичность посадки пакера путём подачи давления Р = 21 МПа е ТТ -73мм при закрытом эазрубе. Давление не должно превышать допустимого давления опрессовки обсадной колопны (21 МПа). СОСТАВИТЬ АКТ НА ВЫПОЛНЕННЫЕ РАБОТЫ,</t>
  </si>
  <si>
    <t>Установка</t>
  </si>
  <si>
    <t>Объекты_крепление</t>
  </si>
  <si>
    <t>Произвести подъём ГУК ла ТТ-73мм с глубины 2655м. Подъём производить с постоянным доливом скважины раствором глушения СОСТАВИТЬ АКТ НА ВЫПОЛНЕННЫЕ РАБОТЫ,</t>
  </si>
  <si>
    <t>ГУК</t>
  </si>
  <si>
    <t>Обеспечить наличие на скважине следующею оборудования: клин-отклонитель (ОФ-146, якорь гидравлический ЯГФ-146. ФС 122, подгоночный патрубок для бурильного инструмента; шаблон для проверки внутреннего диаметра бурильного жегрумента - 049мм Е-? 1,25м</t>
  </si>
  <si>
    <t>Подготовка оборудования</t>
  </si>
  <si>
    <t>Клин-отклонитель</t>
  </si>
  <si>
    <t>Сборка КН БК для установки клинового отклонителя и вырезания «окна». На рабочей площадке (приемные мостки) произвести сборку КОФ 146. ЯГФ 146 и ФС 122. Соединить вручную клин-отклонитель с якорем, до полного прилегания торцевой части, резьба 3-86. Соединить клин с фрезером с помощью срезного винта. Выполнить кернение транспортного винта. Ответственный: ООО "НЛФ "Квадро-Уфа". Переместить клин с мостков на устье скважины, оберегая от повреждений гидросистему. Проверить проходимость гидросистемы путем пропуска через нее технической воды. Замерить угол опережения клин-отклонителя относительно "шпонки" переводника ориентирующего,</t>
  </si>
  <si>
    <t>Произвести спуск КН Б К при пониженной скорости (0,2 м/с с контролем по секундомеру) до глубины 2151 м (расположение головы клипа-отклонителя), во время спуска смазку наносить только на ниппель инструмента. Ответственный: ООО «Победит Холдинг». ООО "НПФ"Квадро-Уфа",</t>
  </si>
  <si>
    <t>При получении посадки во время спуска КО более 2 т, от СВ спуск остановить. В первую очередь исключить вероятность посадки БИ на устье. В случае, если в процессе спуска КО фиксируются посадки фреза расширяющего а местах сужения л/к, то, по согласованию с Заказчиком, произвести подрыв инструмента на вира до СВ, подвернуть БИ на 30-44) град, и произвести попытки пройти интервал не допуская разгрузок более 2 т, (контроль веса податчикам ГТИ), в случае отрицательного результата произвести подъем КО с постоянным доливом скважины для смены на КНБК для проработки интервалов посадок, (В случае необходимости подъема КО на любом этапе работ, подъем следует Производить с обязательным постоянным доливом во избежание риска частичной активации КО от перепада давления между затрубным и трубным пространством). Ответственный: ООО «Победит Холдинг». ООО "НПФ"Квадро-Уфа",</t>
  </si>
  <si>
    <t>После спуска КНБК до глубины 2151 м, провести расхаживание бурильного инструмента не менее трёх раз на 10-15 м с целью устранения реактивного момента При проведении расхаживания записать веса на вира и майна. Провести работы по привязке меры инструмента к геологическому разрезу скважины методами ГИС (МЛМ. ГК), определить положение головы КО. Заявку подать за 48 часов до производства работ. Ответственный за подачу заявки на привязки клип а-отклонителя по ГК и МЛМ -геолог ООО 'Победит Холдинг” Подгоночными патрубками подогнать инструмент к плановой глубине таким образом, чтобы ориентирование производить непосредственно на глубине установки КО, допустимая глубина допуска клина перед активацией не более 8 метров. Ответственный: ООО «Победит Холдинг» ,</t>
  </si>
  <si>
    <t>Привязка</t>
  </si>
  <si>
    <t>Ориентирование клин-отклонителя. Произвести проверку корректности показаний геофизического прибора, 3 зависимости от типа используемого прибора установить «ноль» и ввести угол опережения в положении прибора пером вверх. Произвести спуск геофизического прибора, ограничить скорость спуска за 50 м, до посадки на шпонку ориентирующего переводника, . Произвести замер положения отклонителя на шпонке ориентирующего переводника. Произвести 3 поэтапных замера на шпонке ПО с подрывом прибора па Юм, и последующей посадке на шпонку при каждом замере. Сориентировать желоб клина в наложение +45° (I четверть) относительно апсидальной плоскости. Ориентирование КО производить в присутствии инженера по ННБ, с предоставлением фотофиксации ориентирования КО после каждого проворота и рассаживания БК. Повторно расходить инструмент не менее Зх раз, повторно снять замер ориентирующим прибором для определения правильности ориентирования. Расхаживание бурового инструмента проводить не менее трех раз вверх-вниз на высоту 10-15 м с целью устранения реактивного момента -опасность проворота инструмента во время подачи давления при активации ккар». Поднять прибор, проверить корректность его работы. Ответственный: ООО "НПФ”Квадро-Уфа"1 ООО «Победит Холдинг», инженер по ННБ</t>
  </si>
  <si>
    <t>Ориентирование</t>
  </si>
  <si>
    <t>Уста побить голову клина на глубине 2151м. Осуществить обратную промывку в У=25мЗ через перепускной клапан в Я ГФ на малом расходе (давление не более 2 МПа (20 атм) для удаления окалины/шлама внутри инструмента. Перед обратной промывкой произвести взвешивание инструмента (записать значения веса на вира и майна). Продолжи!ельность обратной промывки рассчитать из расчета смены внутреннего объема инструмента. Необходимость проведения обратной промывки определяется инженером ООО «НПФ «Квадро-Уфа». Обратную промывку производить только присутствии представителя ООО «НПФ «Квадро-Уфа». Промывку осуществлять только с применением ЦА-320, обеспечивающий минимальный исход 2 л/с. Во время обратной промывки постоянно контролировать наличие циркуляции. Ответственный: ООО "НПФ"Квадро-Уфа". ООО «Победит Холдинг»,</t>
  </si>
  <si>
    <t>Активация Якоря Навернуть ВСП/аедущуютрубу, при свинчивании резьбовых соединений не допускать проворота колонны бурильных труб и, соответственно проворачивание угла ориентированной установки КО. Для исключения подобного инцидента перед наворотом очертить мелом положение БИ относительно ротора । БУ, при навороте контролировать смещение меток. Цементировочным агрегатом создать давление жидкости в колонне бурильных труб в следующей последовательности: 5 МПа (30 атм) выдержать в течение 5 мин; 6 МПа (60 атм) выдержать в течение 5 мин; 9 МПа (90 атм) выдержать з течение 5 мин; 12 МПа (120 атм) выдержать в течение 5 мин; При активации якоря в процессе увеличения давления возможно появление незначительной циркуляции жидкости по причине неполного закрытия перепускного клапана. В случае появления постоянной циркуляции, обеспечить требуемый перепад давления увеличением расхода с помощью бурового насоса. Далее о суше спея гь разгрузку колонны бурильных труб на 5,,,15 кН (0,5-1,5 т) и повысить давление до 15 МПа (150 атм), выдержать в течение 10-20 мин и сбросить до 0. Натянув колонку бурильных труб с расчётной силой, превышающей вес инструмента, произвести срез транспортного винта, соединяющего фрезер с клиновым отклонителем. Расчётное усилие среза транспортного винта составляет 80-100 кН (3-10 т). Срез винта фиксируется показаниями ГИВ, на котором должен восстановиться собственный вес инструмента. После активации 1 идравлического клина и отсоединения транспортного болта произвести подъём КНБК не менее 1 метра над головой КО. Ответственный: ООО "НПФ" Квадро- Уфа". ООО «Победит Холдинг»</t>
  </si>
  <si>
    <t>Активация</t>
  </si>
  <si>
    <t>После активации гидравлического клина и отсоединения транспортного болта произвести подъём КНБК с глубины 2151м до устья. Подъём производить с постоянным доливом скважины раствором глушения,</t>
  </si>
  <si>
    <t>ФКНБК</t>
  </si>
  <si>
    <t>Работа комиссии по проверке готовности объекта к производству работ, составить акг готовности Получить «Разрешение» районного инженера Томского ВО филиала 0СВЧ ООО "Газпром газобезопасность" на демонтаж ПВО ЗАЯВКУ НА ПРЕДСТАВИТЕЛЯ Томского ВО филиала ВСВЧ ООО "Газпром газобезопасность" подать за 48 час до начала операции</t>
  </si>
  <si>
    <t>Произвести: 1. Демонтаж ПВО 2. Демонтаж 2-х отбойных шитов ПВО 3 Демонтаж 4-х дистанционных штурвалов ручного управления, 4. Произвести монтаж ёлки АФ, 5. Опрессовку ёлки АФ гех золой на Р=21 МПа. СОСТАВИТЬ АКТ НА ВЫПОЛНЕННЫЕ РАБОТЫ, 6-Демонтаж рабочей площадки, 7. Демонта м&lt; гидро ключа ГКШ - 1200, 8. Демонтаж СУ-80, 9. Демонтаж ИВЭ-ЭД 10. Демонтаж СУП,</t>
  </si>
  <si>
    <t>Произвести: 1. Демонтаж УПА 60/80 2. Демонтаж при грузов - 2 шт, 3. Демонтаж якорей - 2 ШТ, 4 Демонтаж приемного моста1 5. Демонтаж трёх облегченных стеллажей, 6. Демонтаж 1-ого защитного колпака, 7. Монтаж 2-х лубрикаторных площадок, 8. Разобрать линию долива,</t>
  </si>
  <si>
    <t>Произвести демонтаж блока дросселирования и выкидной линии 235 м,</t>
  </si>
  <si>
    <t>Произвести: Г Демонтаж заземления 14 единиц, 2 Отключение оборудования 8 единиц 3. Демонтаж подставок под кабель 57 шт, 4. Уборку прилегающей к скважине территории,</t>
  </si>
  <si>
    <t>Передать скважину и прилегающую территорию в цех добычи по Акту. Составить и подписать Акт об окончании работ,</t>
  </si>
  <si>
    <t>Сдача</t>
  </si>
  <si>
    <t>КРС-3</t>
  </si>
  <si>
    <t>ЗАДАНИЕ НОЧНОЙ ВАХТЕ</t>
  </si>
  <si>
    <t>Время работы</t>
  </si>
  <si>
    <t>Смена</t>
  </si>
  <si>
    <t>20:00 - 08:00</t>
  </si>
  <si>
    <t>Ночь</t>
  </si>
  <si>
    <t>Задание выдал</t>
  </si>
  <si>
    <t>__________</t>
  </si>
  <si>
    <t>ООО «Победит Холдинг»</t>
  </si>
  <si>
    <t>Подпись</t>
  </si>
  <si>
    <t>Текущая операция:</t>
  </si>
  <si>
    <t>Бурение под хвостовик</t>
  </si>
  <si>
    <t>Текущий забой скважины, м</t>
  </si>
  <si>
    <t>Планируемый забой скважины на конец смены, м</t>
  </si>
  <si>
    <t>Планируемая проходка за смену, м</t>
  </si>
  <si>
    <t xml:space="preserve">Планируемые операции на смену                </t>
  </si>
  <si>
    <t>1. Бурение под хвостовик. Режим: (G=10т; Q=12-13л/с; N=40обр/мин; V=20м/ч; перепад держать до 25атм), Момент свинчивания СБТ-89мм - 12,4кН*м;
1.1 Прорабатываем каждую свечу 1-2 раза (ориентируемся на состояние скважины при отрыве от забоя или скачки давления и момента при проработке) ↔ 2-а раза с N=↑0-↓40обр/мин (с цируляцией); 3-й раз N=↑0-↓0обр/мин (с циркуляцией); 
1.2  Каждые 120-150м (или под слайд) (6-ть - 8-мь свечей) производить прокачку ВУС в V=1-1,5м³; УВ-80-100сек с содержанием смазки 9% и мела 120кг/м³;
1.3 Снятия замера производить на каждой трубке и направлять в группу МАХ "ИТР БУРОВАЯ";
1.4 Инженеру по бур.р-ру вести контроль за параметрами: плотность (не более 1,12г/см³); тв.фаза (не более 8%); вязкость, фильтрацию (не более 4см³/30 мин); СаСО₃ (от 80кг/м³); Песок не более 0,5%: (запустить центрифугу, песко и илоотделитель); расбавляться только свеже приготовленным р-ром Y=1,05/см³; сброс р-ра только по согласованию с рук.объекта;
1.5 Производить добавление смазывающую добавку "Глитал" в чистом виде в трубное пространство при каждом наращивании в объёме 10л.
1.6 Установить отсечку на момент +5кН*м (не превышать 15кН*м); давление на +20атм (не превышать 230атм).
1.7 Станции ГТИ отбирать шлам через каждые 5м (направлять в группу МАХ "ИТР БУРОВАЯ"), вести ведомость шлама
2. Промывка в призабойной зоне с расхаживанием на длину квадрата с прокачкой ВУС в V=3-5м³;  Режим: (Q=13л/с; N=↑0-↓40обр/мин)
3. Шаблонировка в интервале 3591-2474-3591м (Окно 2488-2491м)
3.1 Скорость СПО в интервале 3591-3268-3591м → 0,2-0,4м/с; Скорость спуска в интервале 2480-2530м → 0,1м/с; 
----------------------------------------------------------------------------------------------------------------------------------------------------------------------------------------------------------------
Доп.работы:
1. Приготовление/обработка бурового раствора по заданию инженера по буровому раствору ООО "НСК Эшелон" (на отдельном листочке);
2. По отдельному распоряжению мастера буровой (на отдельном листочке);
3. Проверить оборудование к спуску ОК-102мм (элеваторы; челюстя; смазка и т.п.);
4. Проверить наличие ЗИП на оборудование (составить необходимую заявку)
5. Проверить наличие оборудование (для еженедельного отчета: Переводники; Элеваторы; КОШ; КШЦ; Патрубки; Трубные фильтра; КЛС; Смазка; Обтираторы и т.п);
6. Контроль за работоспособностью центрифугой; песко и илоотделителя;
---------------------------------------------------------------------------------------------------------------------------------------------------------------------------------------
P.S. Не оставляеть бурильный инструмент в открытом стволе без промывки, расхаживания и вращения более З-х мин;
P.S. При циркуляции использовать в направляющей трубе трубный фильтр;
P.S. При Бурении/СПО применять заводской обтиратор, соответствующие диаметру труб 89мм, для исключения попадания в скважину посторонних предметов. Запрещается привязывать обтираторы к столу ротора жесткой проволокой;
P.S. При спуске труб в скважину не допускать резкого торможения бурильной колонны и удара элеватора о ротор, а также резкой посадки на клинья. Применять клинья соответствующего диаметра у спайдера.
P.S. Раскрепление и докрепление резьбовых соединений бурильных труб ротором запрещается.</t>
  </si>
  <si>
    <t>Планируемая операция на конец смены</t>
  </si>
  <si>
    <t>КСПО</t>
  </si>
  <si>
    <t>·       Режим бурения:</t>
  </si>
  <si>
    <t>Нагрузка на долото, тн</t>
  </si>
  <si>
    <t>2-10</t>
  </si>
  <si>
    <t>Обороты СВП, об/мин</t>
  </si>
  <si>
    <t>↑0-↓40</t>
  </si>
  <si>
    <t>Расход БН, л/сек</t>
  </si>
  <si>
    <t>10-12</t>
  </si>
  <si>
    <t>МСП, м/ч</t>
  </si>
  <si>
    <t>до 20</t>
  </si>
  <si>
    <t>Мкр, кНм</t>
  </si>
  <si>
    <t>до 15</t>
  </si>
  <si>
    <t>·       Проработка</t>
  </si>
  <si>
    <t>Прорабатываем каждую свечу 1-2 раза (ориентируемся на состояние скважины при отрыве от забоя или скачки давления и момента при проработке)</t>
  </si>
  <si>
    <t>·       Промывки:</t>
  </si>
  <si>
    <t>Глубина, м</t>
  </si>
  <si>
    <t>Давление,атм</t>
  </si>
  <si>
    <t>13</t>
  </si>
  <si>
    <t>Обороты ротора, об/мин</t>
  </si>
  <si>
    <t>Продолжительность, мин</t>
  </si>
  <si>
    <t>Уточнить у инженера по буровым растворам</t>
  </si>
  <si>
    <t>·       Наращивание, снятие замеров</t>
  </si>
  <si>
    <t>На каждой трубке и направлять в группу МАХ</t>
  </si>
  <si>
    <t>Оценка возможных технологических и организационных рисков на 12 часов:</t>
  </si>
  <si>
    <t>·       Падение посторонних предметов в скважину.  В обязательном порядке устье должно быть оборудовано устройством против падения посторонних предметов.</t>
  </si>
  <si>
    <t>·       Не прикасаться к оголенным проводам в случае обнаружения сообщить эл.персоналу</t>
  </si>
  <si>
    <t xml:space="preserve">·       Не стоять под грузом и стрелой, использовать исправные паспортизированные </t>
  </si>
  <si>
    <t xml:space="preserve">на высоте. </t>
  </si>
  <si>
    <t>·       Использование СИЗ для работы на высоте. Ручной инструмент должен иметь страховочные приспособления от падения</t>
  </si>
  <si>
    <t xml:space="preserve">·       Нахождение в опасной зоне работы гидравлического ключа </t>
  </si>
  <si>
    <t>·       Перед началом работы принять вахту у предыдущей смены с обозначением критичных моментов по возможным работам</t>
  </si>
  <si>
    <t>·       Передвижение с осторожностью по территории, при движении по лестницам держаться за поручни обеими руками, иметь не менее трех точек опоры</t>
  </si>
  <si>
    <t xml:space="preserve">ТО </t>
  </si>
  <si>
    <t>Механического и энергетического оборудования</t>
  </si>
  <si>
    <t>ППР согласно графику.</t>
  </si>
  <si>
    <t>Завоз/вывоз оборудования</t>
  </si>
  <si>
    <t>ОТ, ТБ и ООС</t>
  </si>
  <si>
    <t>Обязательное использование СИЗ. Аттестация. Правила и нормы. Экология. Хранение ТБО.</t>
  </si>
  <si>
    <t>Задание принято к исполнению</t>
  </si>
  <si>
    <t>Помощник мастер буровой</t>
  </si>
  <si>
    <t>Инженер по бурению ННБ</t>
  </si>
  <si>
    <t>Родиков Илья Владимирович</t>
  </si>
  <si>
    <t>ООО «Интер-Сервис»</t>
  </si>
  <si>
    <t>Бурильщик </t>
  </si>
  <si>
    <t>Севастьянов Андрей Анатольевич</t>
  </si>
  <si>
    <t>Омаров Джамал Шамилович</t>
  </si>
  <si>
    <t>Инженер по буровым растворам</t>
  </si>
  <si>
    <t>Лалиашвили Борис Георгиевич</t>
  </si>
  <si>
    <t>Слесарь по обслуживанию буровых 5р</t>
  </si>
  <si>
    <t>Отклонение от выполнения задания на рабочую смену не допускается!</t>
  </si>
  <si>
    <t>В случае необходимости проведения корректировки задания, внесения корректировок, замечаний, предложений обращаться к руководителю объекта.</t>
  </si>
  <si>
    <t>Ответственный за исполнение «Задания» лежит на помощнике мастера  Горшкова Александра Владимировича</t>
  </si>
  <si>
    <t>v</t>
  </si>
  <si>
    <t>ЗАДАНИЕ ДНЕВНОЙ ВАХТЕ</t>
  </si>
  <si>
    <t>08:00 - 20:00</t>
  </si>
  <si>
    <t>День</t>
  </si>
  <si>
    <t>1. Бурение под хвостовик. Режим: (G=10т; Q=12л/с; N=40обр/мин; V=20м/ч; перепад держать до 25атм), Момент свинчивания СБТ-89мм - 12,4кН*м;
2. Промывка в призабойной зоне с расхаживанием на длину квадрата с прокачкой ВУС в V=3-5м³;  Режим: (Q=13л/с; N=↑0-↓40обр/мин)
3. Шаблонировка в интервале 3591-2474-3591м (Окно 2488-2491м)
3.1 Скорость СПО в интервале 3591-3268-3591м → 0,2-0,4м/с; Скорость спуска в интервале 2480-2530м → 0,1м/с; 
4. Промывка в призабойной зоне с расхаживанием на длину квадрата с прокачкой ВУС в V=3-5м³ и установкой смазывающей пачки в V=10м³;  Режим: (Q=13л/с; N=↑0-↓40обр/мин)
---------------------------------------------------------------------------------------------------------------------------------------------------------------------------------------------------------------------
Доп.работы:
1. Приготовление/обработка бурового раствора по заданию инженера по буровому раствору ООО "НСК Эшелон" (на отдельном листочке);
2. По отдельному распоряжению мастера буровой (на отдельном листочке);
3. Проверить оборудование к спуску ОК-102мм (элеваторы; челюстя; смазка и т.п.);
4. Проверить наличие ЗИП на оборудование (составить необходимую заявку)
5. Проверить наличие оборудование (для еженедельного отчета: Переводники; Элеваторы; КОШ; КШЦ; Патрубки; Трубные фильтра; КЛС; Смазка; Обтираторы и т.п);
6. Контроль за работоспособностью центрифугой; песко и илоотделителя;
---------------------------------------------------------------------------------------------------------------------------------------------------------------------------------------
P.S. Не оставляеть бурильный инструмент в открытом стволе без промывки, расхаживания и вращения более З-х мин;
P.S. При циркуляции использовать в направляющей трубе трубный фильтр;
P.S. При Бурении/СПО применять заводской обтиратор, соответствующие диаметру труб 89мм, для исключения попадания в скважину посторонних предметов. Запрещается привязывать обтираторы к столу ротора жесткой проволокой;
P.S. При спуске труб в скважину не допускать резкого торможения бурильной колонны и удара элеватора о ротор, а также резкой посадки на клинья. Применять клинья соответствующего диаметра у спайдера.
P.S. Раскрепление и докрепление резьбовых соединений бурильных труб ротором запрещается.</t>
  </si>
  <si>
    <t>Промывка в призабойной зоне после КСПО</t>
  </si>
  <si>
    <t>Спатарь Вадим Федорович</t>
  </si>
  <si>
    <t>Щербаков Анатолий Владимирович</t>
  </si>
  <si>
    <t>Пом.бурильщика ЭРБС на НиГ 6р</t>
  </si>
  <si>
    <t>Петряев Данил Валерьевич</t>
  </si>
  <si>
    <t>Кудрявцев Виктор Александрович</t>
  </si>
  <si>
    <t>Электрогазосварщик 5р</t>
  </si>
  <si>
    <t>Щедров Сергей Александрович
Артеев Вячеслав Борисович</t>
  </si>
  <si>
    <t>Ответственный за исполнение «Задания» лежит на мастере буровой  Короткове Денисе Сергеевиче</t>
  </si>
  <si>
    <t>Категории_работ</t>
  </si>
  <si>
    <t>Углубление</t>
  </si>
  <si>
    <t>Крепление</t>
  </si>
  <si>
    <t>Керн</t>
  </si>
  <si>
    <t>Ловильные_работы</t>
  </si>
  <si>
    <t>Мех. бурение</t>
  </si>
  <si>
    <t>Отбор</t>
  </si>
  <si>
    <t>Испытание</t>
  </si>
  <si>
    <t>Извлечение</t>
  </si>
  <si>
    <t>Бурение с контролем шлама</t>
  </si>
  <si>
    <t>ГИС на кабеле</t>
  </si>
  <si>
    <t>Опробование</t>
  </si>
  <si>
    <t>Фрезерование</t>
  </si>
  <si>
    <t>Пусковая комиссия</t>
  </si>
  <si>
    <t>Обслуживание</t>
  </si>
  <si>
    <t>Диагностика</t>
  </si>
  <si>
    <t>Задержка</t>
  </si>
  <si>
    <t>Частичный спуск</t>
  </si>
  <si>
    <t>Оснащение</t>
  </si>
  <si>
    <t>Поэтапное бурение</t>
  </si>
  <si>
    <t>Прокачка</t>
  </si>
  <si>
    <t>ОЗЦ</t>
  </si>
  <si>
    <t>ГИС на БТ</t>
  </si>
  <si>
    <t>Срезка</t>
  </si>
  <si>
    <t>Определение приемистости</t>
  </si>
  <si>
    <t>Освобождение</t>
  </si>
  <si>
    <t>Мобилизация</t>
  </si>
  <si>
    <t>Чистка</t>
  </si>
  <si>
    <t>Остановка</t>
  </si>
  <si>
    <t>Частичный подъем</t>
  </si>
  <si>
    <t>Дооснащение</t>
  </si>
  <si>
    <t>Подключение</t>
  </si>
  <si>
    <t>Проработка</t>
  </si>
  <si>
    <t>Обработка</t>
  </si>
  <si>
    <t>АКЦ</t>
  </si>
  <si>
    <t>Освоение</t>
  </si>
  <si>
    <t>Разбуривание</t>
  </si>
  <si>
    <t>Ревизия</t>
  </si>
  <si>
    <t>Спуск с проработкой</t>
  </si>
  <si>
    <t>Наращивание</t>
  </si>
  <si>
    <t>Приготовление</t>
  </si>
  <si>
    <t>Перезапись ГК</t>
  </si>
  <si>
    <t>Освоение после ГРП / ЗБС</t>
  </si>
  <si>
    <t>Отогрев</t>
  </si>
  <si>
    <t>Восстановление</t>
  </si>
  <si>
    <t>Подъем с проработкой</t>
  </si>
  <si>
    <t>Установка моста</t>
  </si>
  <si>
    <t>Нормализация</t>
  </si>
  <si>
    <t>Определение</t>
  </si>
  <si>
    <t>Подготовка к ГИС</t>
  </si>
  <si>
    <t>Подготовка к запуску</t>
  </si>
  <si>
    <t>Учебная тревога</t>
  </si>
  <si>
    <t>Настройка</t>
  </si>
  <si>
    <t>Спуск с промывкой</t>
  </si>
  <si>
    <t>Шаблонировка</t>
  </si>
  <si>
    <t>Тест</t>
  </si>
  <si>
    <t>Хозяйственные работы</t>
  </si>
  <si>
    <t>Перетяжка</t>
  </si>
  <si>
    <t>Испытание после ремонта</t>
  </si>
  <si>
    <t>Подъем с промывкой</t>
  </si>
  <si>
    <t>Подвеска</t>
  </si>
  <si>
    <t>Контроль</t>
  </si>
  <si>
    <t>Запись</t>
  </si>
  <si>
    <t>Восстановление КП</t>
  </si>
  <si>
    <t>Прочие вспомогательные работы</t>
  </si>
  <si>
    <t>Техническое обслуживание</t>
  </si>
  <si>
    <t>Спуск с выбросом</t>
  </si>
  <si>
    <t>Расстыковка</t>
  </si>
  <si>
    <t>Фиксация</t>
  </si>
  <si>
    <t>Контроль качества записи</t>
  </si>
  <si>
    <t>Аварийный ремонт</t>
  </si>
  <si>
    <t>Подъем с выбросом</t>
  </si>
  <si>
    <t>Центровка</t>
  </si>
  <si>
    <t>Посадка</t>
  </si>
  <si>
    <t>РЦМ</t>
  </si>
  <si>
    <t>Перезапись</t>
  </si>
  <si>
    <t>Смена плашек</t>
  </si>
  <si>
    <t>Спуск со сборкой</t>
  </si>
  <si>
    <t>Снятие</t>
  </si>
  <si>
    <t>РЦС</t>
  </si>
  <si>
    <t>Кольматация</t>
  </si>
  <si>
    <t>Установка клина</t>
  </si>
  <si>
    <t>Подъем с разборкой</t>
  </si>
  <si>
    <t>Перевод на раствор</t>
  </si>
  <si>
    <t>Проверка</t>
  </si>
  <si>
    <t>Спуск с установкой</t>
  </si>
  <si>
    <t>Корректировка</t>
  </si>
  <si>
    <t>Подъем после срыва</t>
  </si>
  <si>
    <t>Вызов</t>
  </si>
  <si>
    <t>Тех. отстой</t>
  </si>
  <si>
    <t>Спуск с мостков</t>
  </si>
  <si>
    <t>Стыковка</t>
  </si>
  <si>
    <t>Подъем на мостки</t>
  </si>
  <si>
    <t>Спуск из-за пальца</t>
  </si>
  <si>
    <t>Установка за палец</t>
  </si>
  <si>
    <t>Техническое СПО</t>
  </si>
  <si>
    <t>КСПО вверх</t>
  </si>
  <si>
    <t>КСПО вниз</t>
  </si>
  <si>
    <t>Категории_объектов</t>
  </si>
  <si>
    <t>Объекты_керн</t>
  </si>
  <si>
    <t>Испытания_освоение_заканчивание</t>
  </si>
  <si>
    <t>КНБК</t>
  </si>
  <si>
    <t>ГИС-прибор</t>
  </si>
  <si>
    <t>Буровой раствор</t>
  </si>
  <si>
    <t>Пласт</t>
  </si>
  <si>
    <t>Кустовая площадка</t>
  </si>
  <si>
    <t>Ствол скважины</t>
  </si>
  <si>
    <t>Боевая КНБК</t>
  </si>
  <si>
    <t>Долото</t>
  </si>
  <si>
    <t>Направление</t>
  </si>
  <si>
    <t>КОС</t>
  </si>
  <si>
    <t>Каротажный кабель</t>
  </si>
  <si>
    <t>Глухие плашки</t>
  </si>
  <si>
    <t>Буровая лебедка</t>
  </si>
  <si>
    <t>Электродвигатель ВСП</t>
  </si>
  <si>
    <t>Интервал испытания</t>
  </si>
  <si>
    <t>Открытый ствол</t>
  </si>
  <si>
    <t>КНБК на шаблонировку</t>
  </si>
  <si>
    <t>ВЗД</t>
  </si>
  <si>
    <t>Кондуктор</t>
  </si>
  <si>
    <t>Керноприемник</t>
  </si>
  <si>
    <t>ВУС</t>
  </si>
  <si>
    <t>Трубные плашки</t>
  </si>
  <si>
    <t>Вспомогательная лебедка</t>
  </si>
  <si>
    <t>Энергоснабжение</t>
  </si>
  <si>
    <t>Испытательное оборудование</t>
  </si>
  <si>
    <t>Обсаженный ствол</t>
  </si>
  <si>
    <t>КНБК на нормализацию</t>
  </si>
  <si>
    <t>Турбобур</t>
  </si>
  <si>
    <t>Промежуточная колонна</t>
  </si>
  <si>
    <t>Кернорватель</t>
  </si>
  <si>
    <t>ГК-прибор</t>
  </si>
  <si>
    <t>Система циркуляции</t>
  </si>
  <si>
    <t>ПУГ</t>
  </si>
  <si>
    <t>Буровой насос</t>
  </si>
  <si>
    <t>ДВС / ДГУ</t>
  </si>
  <si>
    <t>Призабойная зона</t>
  </si>
  <si>
    <t>Подрядчик</t>
  </si>
  <si>
    <t>Забой</t>
  </si>
  <si>
    <t>БК</t>
  </si>
  <si>
    <t>Фрез</t>
  </si>
  <si>
    <t>Эксплуатационная колонна</t>
  </si>
  <si>
    <t>Керновая труба</t>
  </si>
  <si>
    <t>Комплекс ГИС</t>
  </si>
  <si>
    <t>Забойная циркуляция</t>
  </si>
  <si>
    <t>ППГ</t>
  </si>
  <si>
    <t>Подпорный насос</t>
  </si>
  <si>
    <t>Электромеханизмы буровой</t>
  </si>
  <si>
    <t>Продуктивный интервал</t>
  </si>
  <si>
    <t>Интервал</t>
  </si>
  <si>
    <t>СБТ</t>
  </si>
  <si>
    <t>Труболовка</t>
  </si>
  <si>
    <t>Хвостовик</t>
  </si>
  <si>
    <t>Керновый материал</t>
  </si>
  <si>
    <t>Блок регистрации</t>
  </si>
  <si>
    <t>Желобная система</t>
  </si>
  <si>
    <t>Устьевое оборудование</t>
  </si>
  <si>
    <t>Вертлюг</t>
  </si>
  <si>
    <t>Силовая система</t>
  </si>
  <si>
    <t>Освоечная компоновка</t>
  </si>
  <si>
    <t>Дорога</t>
  </si>
  <si>
    <t>Кривизна ствола</t>
  </si>
  <si>
    <t>ТБТ</t>
  </si>
  <si>
    <t>Воронка</t>
  </si>
  <si>
    <t>Тех. колонна</t>
  </si>
  <si>
    <t>Отбор керна</t>
  </si>
  <si>
    <t>Кабельная линия</t>
  </si>
  <si>
    <t>Выкидная линия</t>
  </si>
  <si>
    <t>Ротор</t>
  </si>
  <si>
    <t>Блок управления БН</t>
  </si>
  <si>
    <t>Приемистость</t>
  </si>
  <si>
    <t>Доставка</t>
  </si>
  <si>
    <t>Карман</t>
  </si>
  <si>
    <t>УБТ</t>
  </si>
  <si>
    <t>Якорь</t>
  </si>
  <si>
    <t>Цементировочная пробка</t>
  </si>
  <si>
    <t>Резистивиметр</t>
  </si>
  <si>
    <t>Вибросито</t>
  </si>
  <si>
    <t>Манифольд</t>
  </si>
  <si>
    <t>СВП</t>
  </si>
  <si>
    <t>Приток</t>
  </si>
  <si>
    <t>Техническое решение</t>
  </si>
  <si>
    <t>Мост</t>
  </si>
  <si>
    <t>Переводник</t>
  </si>
  <si>
    <t>Цементный стакан</t>
  </si>
  <si>
    <t>Сетки вибросит</t>
  </si>
  <si>
    <t>Направляющая СВП</t>
  </si>
  <si>
    <t>Цементировочный флот</t>
  </si>
  <si>
    <t>Цементный мост</t>
  </si>
  <si>
    <t>Центратор</t>
  </si>
  <si>
    <t>Пакер-пробка</t>
  </si>
  <si>
    <t>Цементировочная головка</t>
  </si>
  <si>
    <t>Параметры раствора</t>
  </si>
  <si>
    <t>АКБ</t>
  </si>
  <si>
    <t>Ликвидационный мост</t>
  </si>
  <si>
    <t>Калибратор</t>
  </si>
  <si>
    <t>Башмак</t>
  </si>
  <si>
    <t>Концевые задвижки</t>
  </si>
  <si>
    <t>Ключ ZQ</t>
  </si>
  <si>
    <t>Сервисная бригада</t>
  </si>
  <si>
    <t>Зумпф</t>
  </si>
  <si>
    <t>Ясс</t>
  </si>
  <si>
    <t>Ловильный инструмент</t>
  </si>
  <si>
    <t>ЦКОД</t>
  </si>
  <si>
    <t>Ключ TQ</t>
  </si>
  <si>
    <t>Транспорт</t>
  </si>
  <si>
    <t>Устье</t>
  </si>
  <si>
    <t>Телесистема</t>
  </si>
  <si>
    <t>Аварийный инструмент</t>
  </si>
  <si>
    <t>Муфта ОК</t>
  </si>
  <si>
    <t>Устьевая линия</t>
  </si>
  <si>
    <t>Талевая система</t>
  </si>
  <si>
    <t>Окончание работ</t>
  </si>
  <si>
    <t>Измерительный модуль</t>
  </si>
  <si>
    <t>Фрезерующий инструмент</t>
  </si>
  <si>
    <t>1 ступень</t>
  </si>
  <si>
    <t>Крюкоблок</t>
  </si>
  <si>
    <t>Материалы</t>
  </si>
  <si>
    <t>Затрубное пространство</t>
  </si>
  <si>
    <t>Навигационный модуль</t>
  </si>
  <si>
    <t>Испытательный инструмент</t>
  </si>
  <si>
    <t>2 сутпень</t>
  </si>
  <si>
    <t>БГД</t>
  </si>
  <si>
    <t>Тормозная система</t>
  </si>
  <si>
    <t>Решение</t>
  </si>
  <si>
    <t>Амортизатор</t>
  </si>
  <si>
    <t>Технологическая оснастка</t>
  </si>
  <si>
    <t>3 ступень</t>
  </si>
  <si>
    <t>ВШН</t>
  </si>
  <si>
    <t>Разрешение</t>
  </si>
  <si>
    <t>Траектория</t>
  </si>
  <si>
    <t>Стабилизатор</t>
  </si>
  <si>
    <t>КО</t>
  </si>
  <si>
    <t>КГОМ</t>
  </si>
  <si>
    <t>ДЗУ</t>
  </si>
  <si>
    <t>Поставка</t>
  </si>
  <si>
    <t>Горная порода</t>
  </si>
  <si>
    <t>Оснастка КНБК</t>
  </si>
  <si>
    <t>Плашки ФА</t>
  </si>
  <si>
    <t>Гидростанция</t>
  </si>
  <si>
    <t>Компрессор</t>
  </si>
  <si>
    <t>Пакерная компоновка</t>
  </si>
  <si>
    <t>Вышка</t>
  </si>
  <si>
    <t>ЗИП</t>
  </si>
  <si>
    <t>Шаблон</t>
  </si>
  <si>
    <t>Опорный мост</t>
  </si>
  <si>
    <t>Рабочий переводник</t>
  </si>
  <si>
    <t>Комплектующие</t>
  </si>
  <si>
    <t>Стингер</t>
  </si>
  <si>
    <t>РВД</t>
  </si>
  <si>
    <t>Разъеденитель</t>
  </si>
  <si>
    <t>Гидросистема</t>
  </si>
  <si>
    <t>МСЦ</t>
  </si>
  <si>
    <t>Шнек</t>
  </si>
  <si>
    <t>ШПМ</t>
  </si>
  <si>
    <t>Т/К</t>
  </si>
  <si>
    <t>Рабочая площадка</t>
  </si>
  <si>
    <t>Заземление</t>
  </si>
  <si>
    <t>ЦА</t>
  </si>
  <si>
    <t>Этапы_работ</t>
  </si>
  <si>
    <t>Контекст_простоя</t>
  </si>
  <si>
    <t>Технологические_осложнения</t>
  </si>
  <si>
    <t>Инструмент_КНБК</t>
  </si>
  <si>
    <t>Нештатное_крепление</t>
  </si>
  <si>
    <t>Нештатные_ГИС</t>
  </si>
  <si>
    <t>Инцидент_с_керном</t>
  </si>
  <si>
    <t>Нештатные_испытания</t>
  </si>
  <si>
    <t>Лов._работы</t>
  </si>
  <si>
    <t>Инфраструктура_БО</t>
  </si>
  <si>
    <t>Внешние_условия</t>
  </si>
  <si>
    <t>Режим_выполнения</t>
  </si>
  <si>
    <t>Внеплановое_ТО</t>
  </si>
  <si>
    <t>Поглощение</t>
  </si>
  <si>
    <t>Инцидент с КНБК</t>
  </si>
  <si>
    <t>Ненормативный цементный стакан</t>
  </si>
  <si>
    <t>Отказ геофизического оборудования</t>
  </si>
  <si>
    <t>Неудачный отбор керна</t>
  </si>
  <si>
    <t>Неуд. испытание</t>
  </si>
  <si>
    <t>Оставление инструмента</t>
  </si>
  <si>
    <t>Ожидание МТР</t>
  </si>
  <si>
    <t>Отключение электроэнергии</t>
  </si>
  <si>
    <t>Низкие температуры / отогрев</t>
  </si>
  <si>
    <t>По осложнению</t>
  </si>
  <si>
    <t>Частичное поглощение</t>
  </si>
  <si>
    <t>Инцидент с ВЗД</t>
  </si>
  <si>
    <t>Неудовлетворительная опрессовка</t>
  </si>
  <si>
    <t>Отказ кабеля</t>
  </si>
  <si>
    <t>Неполный вынос керна</t>
  </si>
  <si>
    <t>Негерметичность пакера</t>
  </si>
  <si>
    <t>Обрыв инструмента</t>
  </si>
  <si>
    <t>Проблема с энергоснабжением</t>
  </si>
  <si>
    <t>Неблагоприятные погодные условия</t>
  </si>
  <si>
    <t>По аварии</t>
  </si>
  <si>
    <t>Замена расходников</t>
  </si>
  <si>
    <t>Полное поглощение</t>
  </si>
  <si>
    <t>Инцидент с МWD/LWD</t>
  </si>
  <si>
    <t>Негерметичность</t>
  </si>
  <si>
    <t>Заклинивание прибора</t>
  </si>
  <si>
    <t>Заклинивание КОС</t>
  </si>
  <si>
    <t>Срыв пакера</t>
  </si>
  <si>
    <t>Неудачная ловильная операция</t>
  </si>
  <si>
    <t>Ожидание подрядчика</t>
  </si>
  <si>
    <t>Инфраструктурный отказ</t>
  </si>
  <si>
    <t>Сильный ветер</t>
  </si>
  <si>
    <t>После инцидента</t>
  </si>
  <si>
    <t>Бурение</t>
  </si>
  <si>
    <t>Потеря циркуляции</t>
  </si>
  <si>
    <t>Неуправляемость КНБК</t>
  </si>
  <si>
    <t>Осложнение при спуске ОК</t>
  </si>
  <si>
    <t>Потеря прибора</t>
  </si>
  <si>
    <t>Повреждение КОС</t>
  </si>
  <si>
    <t>Неудачная посадка пакера</t>
  </si>
  <si>
    <t>Повторные ловильные работы</t>
  </si>
  <si>
    <t>Ожидание техники</t>
  </si>
  <si>
    <t>Осадки / распутица</t>
  </si>
  <si>
    <t>Повторная операция</t>
  </si>
  <si>
    <t>Замена оборудования</t>
  </si>
  <si>
    <t>Б/м работы</t>
  </si>
  <si>
    <t>Прихват</t>
  </si>
  <si>
    <t>Отказ Т/С</t>
  </si>
  <si>
    <t>Осложнение при цементаже</t>
  </si>
  <si>
    <t>Неудачный спуск прибора</t>
  </si>
  <si>
    <t>Разрушение керна</t>
  </si>
  <si>
    <t>Неудачное опробование</t>
  </si>
  <si>
    <t>Неудачная установка труболовки</t>
  </si>
  <si>
    <t>Ожидание цем. флота</t>
  </si>
  <si>
    <t>Сезонное ограничение</t>
  </si>
  <si>
    <t>Корректирующие работы</t>
  </si>
  <si>
    <t>Отказ ВЗД</t>
  </si>
  <si>
    <t>Недоход ОК</t>
  </si>
  <si>
    <t>Неудачная запись</t>
  </si>
  <si>
    <t>Осложнение при подъеме КОС</t>
  </si>
  <si>
    <t>Низкая приемистость</t>
  </si>
  <si>
    <t>Заклинивание ловильного инструмента</t>
  </si>
  <si>
    <t>Ожидание ННБ</t>
  </si>
  <si>
    <t>Форс-мажор</t>
  </si>
  <si>
    <t>Контрольная операция</t>
  </si>
  <si>
    <t>Затяжка</t>
  </si>
  <si>
    <t>Отказ забойного инструмента</t>
  </si>
  <si>
    <t>Посадка ОК</t>
  </si>
  <si>
    <t>Повторная запись</t>
  </si>
  <si>
    <t>Повторный отбор керна</t>
  </si>
  <si>
    <t>Отсутствие приемистости</t>
  </si>
  <si>
    <t>Авария при ловильных работах</t>
  </si>
  <si>
    <t>Ожидание дороги</t>
  </si>
  <si>
    <t>Внеплановое вмешательство</t>
  </si>
  <si>
    <t>Посадка / затяжка</t>
  </si>
  <si>
    <t>Авария с инструментом</t>
  </si>
  <si>
    <t>Прихват ОК</t>
  </si>
  <si>
    <t>Ограничение по стволу</t>
  </si>
  <si>
    <t>Отказ испытательного оборудования</t>
  </si>
  <si>
    <t>Ожидание решения</t>
  </si>
  <si>
    <t>Аварийный режим</t>
  </si>
  <si>
    <t>Осложнение ствола</t>
  </si>
  <si>
    <t>Потеря циркуляции при цементаже</t>
  </si>
  <si>
    <t>Невозможность прохода</t>
  </si>
  <si>
    <t>Повторное испытание</t>
  </si>
  <si>
    <t>Обвал / осыпание</t>
  </si>
  <si>
    <t>Неудачный пуск цементной пробки</t>
  </si>
  <si>
    <t>Проблема с привязкой</t>
  </si>
  <si>
    <t>Нестабильные параметры испытания</t>
  </si>
  <si>
    <t>Ожидание оборудования</t>
  </si>
  <si>
    <t>Сужение ствола</t>
  </si>
  <si>
    <t>Заклинивание инструмента</t>
  </si>
  <si>
    <t>Нештатное ОЗЦ</t>
  </si>
  <si>
    <t>Неуд. опрессовка</t>
  </si>
  <si>
    <t>Задержка поставки</t>
  </si>
  <si>
    <t>Кавернообразование</t>
  </si>
  <si>
    <t>Повреждение КНБК</t>
  </si>
  <si>
    <t>Нарушение режима цементажа</t>
  </si>
  <si>
    <t>Повторная опрессовка</t>
  </si>
  <si>
    <t>Ловильные работы</t>
  </si>
  <si>
    <t>Шламование</t>
  </si>
  <si>
    <t>Разрушение инструмента</t>
  </si>
  <si>
    <t>Разгерметизация цементировочной линии</t>
  </si>
  <si>
    <t>Логистический простой</t>
  </si>
  <si>
    <t>Заиливание</t>
  </si>
  <si>
    <t>Износ инструмента</t>
  </si>
  <si>
    <t>Повторное цементирование</t>
  </si>
  <si>
    <t>Заколонные проявления</t>
  </si>
  <si>
    <t>Повреждение резьбы</t>
  </si>
  <si>
    <t>Осложнение при оборудовании устья</t>
  </si>
  <si>
    <t>Ожидание КП</t>
  </si>
  <si>
    <t>Газонефтеводопроявление</t>
  </si>
  <si>
    <t>Отказ переводника</t>
  </si>
  <si>
    <t>Флюидопроявление</t>
  </si>
  <si>
    <t>Отказ калибратора</t>
  </si>
  <si>
    <t>Межпластовый переток</t>
  </si>
  <si>
    <t>Отказ долота</t>
  </si>
  <si>
    <t>Нестабильный забой</t>
  </si>
  <si>
    <t>Износ долота</t>
  </si>
  <si>
    <t>Размыв забоя</t>
  </si>
  <si>
    <t>Неисправность ориентирования</t>
  </si>
  <si>
    <t>Отклонение траектории</t>
  </si>
  <si>
    <t>Ответственные</t>
  </si>
  <si>
    <t>Выполняемые работы</t>
  </si>
  <si>
    <t>Статус работ</t>
  </si>
  <si>
    <t>Вид бурения</t>
  </si>
  <si>
    <t>Слайд</t>
  </si>
  <si>
    <t>Механик</t>
  </si>
  <si>
    <t>Энергетик</t>
  </si>
  <si>
    <t>Управление проектом</t>
  </si>
  <si>
    <t>Сервис по ННБ</t>
  </si>
  <si>
    <t>Растворный сервис</t>
  </si>
  <si>
    <t>Сервис по цементажу</t>
  </si>
  <si>
    <t>Сервис по крелению</t>
  </si>
  <si>
    <t>Сервис по ГИС</t>
  </si>
  <si>
    <t>Долотный сервис</t>
  </si>
  <si>
    <t>Транспортный подрядчик</t>
  </si>
  <si>
    <t>Заказчик</t>
  </si>
  <si>
    <t>Геология</t>
  </si>
  <si>
    <t>Названия столбцов</t>
  </si>
  <si>
    <t>Значения</t>
  </si>
  <si>
    <t>Общий итог</t>
  </si>
  <si>
    <t>Сумма по полю ПВ</t>
  </si>
  <si>
    <t>Сумма по полю ПНВ</t>
  </si>
  <si>
    <t>Сумма по полю НПВ</t>
  </si>
  <si>
    <t>Сумма по полю Часы</t>
  </si>
  <si>
    <t>Названия строк</t>
  </si>
  <si>
    <t>май</t>
  </si>
  <si>
    <t>(пусто)</t>
  </si>
  <si>
    <t>июн</t>
  </si>
  <si>
    <t xml:space="preserve">ПВ </t>
  </si>
  <si>
    <t xml:space="preserve">ПНВ </t>
  </si>
  <si>
    <t xml:space="preserve">НПВ </t>
  </si>
  <si>
    <t>Замена Запорная арматура</t>
  </si>
  <si>
    <t>Опрессовка ПВО</t>
  </si>
  <si>
    <t>Замена ПВО</t>
  </si>
  <si>
    <t>Ожидание Персонал</t>
  </si>
  <si>
    <t>Устранение Предписания</t>
  </si>
  <si>
    <t>Подготовка Скважина</t>
  </si>
  <si>
    <t>Рабочая комиссия Разрешительная документация</t>
  </si>
  <si>
    <t>Ожидание Техника</t>
  </si>
  <si>
    <t>Ремонт ПВО</t>
  </si>
  <si>
    <t>Ремонт УПА</t>
  </si>
  <si>
    <t>Тех. дежурство Бригада КРС</t>
  </si>
  <si>
    <t>Опрессовка Блок дросселирования</t>
  </si>
  <si>
    <t>Работа комиссии Скважина</t>
  </si>
  <si>
    <t>Минимум по полю Дата начала</t>
  </si>
  <si>
    <t>Максимум по полю Дата окончания</t>
  </si>
  <si>
    <t xml:space="preserve">Сутки (план) </t>
  </si>
  <si>
    <t xml:space="preserve">Сутки (факт) </t>
  </si>
  <si>
    <t xml:space="preserve">Отставание/опережение </t>
  </si>
  <si>
    <t>Максимум по полю Конец (план)</t>
  </si>
  <si>
    <t>Ожидание спецтехники. Техническое дежурство.</t>
  </si>
  <si>
    <t>Укладка НКТ 89</t>
  </si>
  <si>
    <t>Монтаж БГД, опрессовка выкидной линии</t>
  </si>
  <si>
    <t>Отогрев ФА.Демонтаж ёлки АФ</t>
  </si>
  <si>
    <t>Опрессовка на рабочее давление Р=35МПа БД,БГ, ПП2Г- 2ФТ-180х35</t>
  </si>
  <si>
    <t>Укладка на стеллажи ТТ-73мм - 340шт.</t>
  </si>
  <si>
    <t>Отогрев ФА. Демонтаж ФА. Подготовка ФА для ревизии.</t>
  </si>
  <si>
    <t>Монтаж ПП2Г-2ФТ-180х35. Монтаж 2-х отбойных щитов, 4-х дистанционных штурвалов. Монтаж МОП, СУП.</t>
  </si>
  <si>
    <t>Опрессовка БГД, ПВО до установки на устье</t>
  </si>
  <si>
    <t xml:space="preserve">Монтаж выкидной линии </t>
  </si>
  <si>
    <t>Монтаж ПА-60/80</t>
  </si>
  <si>
    <t>Монтаж подрывного патрубка</t>
  </si>
  <si>
    <t xml:space="preserve">Демонтаж АФ ГРП </t>
  </si>
  <si>
    <t>Монтаж и опрессовка нагнетательных линий</t>
  </si>
  <si>
    <t>Замер избыточного давления</t>
  </si>
  <si>
    <t>Глушение скважины</t>
  </si>
  <si>
    <t>Завоз тех.воды</t>
  </si>
  <si>
    <t>Опрессовка БД, БГ, ПВО до установки на устье</t>
  </si>
  <si>
    <t>Монтаж выкидной линии</t>
  </si>
  <si>
    <t>Разрядка скважины</t>
  </si>
  <si>
    <t>Монтаж ПА и БО</t>
  </si>
  <si>
    <t>Монтаж ПВО</t>
  </si>
  <si>
    <t>Опрессовка задвижек АФ</t>
  </si>
  <si>
    <t>Произвести замену ЗД</t>
  </si>
  <si>
    <t>Монтаж линии набора воды, набор тех. воды 41,7 м³ (ρ=1,01), обработка ПАВ, отбор пробы, параллельный завоз жидкости глушения 131 м³</t>
  </si>
  <si>
    <t>Монтаж и опрессовка нагнетательных линий на полуторократное давление (Р=23 МПа)</t>
  </si>
  <si>
    <t>Монтаж блока дросселирования и выкидной линии L=10 м, демонтаж дублирующих задвижек (2 шт.), монтаж гидравлических задвижек, опрессовка выкидной линии на 10 МПа</t>
  </si>
  <si>
    <t>Замер избыточного давления, разрядка скважины до атмосферного давления (при необходимости глушение)</t>
  </si>
  <si>
    <t>Глушение скважины прямой промывкой раствором 1,01 г/см³ в V=31,7 м³, отбор проб</t>
  </si>
  <si>
    <t>Разрядка скважины до атмосферного давления, организация постоянного долива раствором глушения</t>
  </si>
  <si>
    <t>Монтаж подъемника УБРСП-80, устройство 2 якорей, установка пригрузов (2 компл.), монтаж приемного моста, стеллажей, рабочей площадки, спайдера, гидроключа, ИВЭ-50, испытание якорей</t>
  </si>
  <si>
    <t>Глушение скважины при наличии избыточного давления (31,7 м³, ρ=1,01 г/см³)</t>
  </si>
  <si>
    <t>Монтаж линий для набора тех.воды L=5м. Набор тех.воды со скв. ППД №728 кп.16. Набор тех.жидкости ρ=1,01 г/см³ в V=42,3м³. Обработка ПАВ СНПХ-ПКД-0515 0,03%. Отбор и передача пробы в лабораторию. Параллельный завоз жидкости в V=136м³.</t>
  </si>
  <si>
    <t>Монтаж и опрессовка нагнетательных линий на Р=23МПа.</t>
  </si>
  <si>
    <t>Монтаж блока дросселирования и линий L-10м. Демонтаж ЗД №2,10. Монтаж двух гидравлических задвижек. Опрессовка выкидной линии на Р=10МПа (герметично).</t>
  </si>
  <si>
    <t>Разрядка скважины (-) на выходе тех.жидкость. Замер Ризб от 0,5МПа до 0.</t>
  </si>
  <si>
    <t>Монтаж подъемного агрегата УБРСП-80 (30% + 70%). Устройство 2-х якорей. Установка пригрузов 2 комплекта. Монтаж приемного моста с 3 облегченными стеллажами. Монтаж РП, спайдера СУ-80, гидроключа ГКШ-1200, ИВЭ-50.</t>
  </si>
  <si>
    <t>Глушение скважины прямой промывкой раствором ρ=1,01 г/см³ в V=32,3м³. Скорость подачи 4-6 л/с.</t>
  </si>
  <si>
    <t>Технологическая стоянка. Разрядка скважины (-), излив V=1,8м³. Замер Ризб=1,5МПа. Приготовление раствора глушения ρ=1,10 г/см³ в V=101,3м³.</t>
  </si>
  <si>
    <t>Завоз KCl с базы ООО «Победит Холдинг» КП №7 L=17,285км — 15т.</t>
  </si>
  <si>
    <t>Приготовление раствора глушения ρ=1,10 г/см³ в V=40м³ + 67м³.</t>
  </si>
  <si>
    <t>Приготовление раствора глушения ρ=1,10 г/см³ в V=101м³. Глушение скважины прямой промывкой в V=32,3м³. Технологический отстой.</t>
  </si>
  <si>
    <t>Запуск бригады КРС пусковой комиссией. Получение разрешения районного инженера ТВО на демонтаж ФА ГРП и монтаж ПВО. Устранение пунктов ПК.</t>
  </si>
  <si>
    <t>Техотстой. Замер Ризб=0. Разрядка скважины (+) на выходе тех.жидкость.</t>
  </si>
  <si>
    <t>Опрессовка блока дросселирования, блока глушения и превентора до установки на устье</t>
  </si>
  <si>
    <t>Монтаж линии набора воды, набор тех. воды 35,4 м³, обработка ПАВ, завоз жидкости глушения 81,1 м³</t>
  </si>
  <si>
    <t>Монтаж и опрессовка нагнетательных линий на полуторократное давление</t>
  </si>
  <si>
    <t>Монтаж блока дросселирования и выкидной линии, замена двух задвижек, опрессовка выкидной линии</t>
  </si>
  <si>
    <t>Замер давления, разрядка скважины (при необходимости глушение)</t>
  </si>
  <si>
    <t>Глушение скважины прямой промывкой 25,4 м³, отбор проб</t>
  </si>
  <si>
    <t>Технологическая стоянка</t>
  </si>
  <si>
    <t>Разрядка скважины до атмосферного давления, организация постоянного долива</t>
  </si>
  <si>
    <t>Монтаж подъемника УБРСП-80, якорей, пригрузов, мостов, стеллажей, спайдера, гидроключа, ИВЭ-50</t>
  </si>
  <si>
    <t>Глушение скважины при наличии избыточного давления</t>
  </si>
  <si>
    <t>Отбивка забоя по ГК, МЛМ силами ООО «Газпром недра»</t>
  </si>
  <si>
    <t xml:space="preserve">Монтаж превентора  </t>
  </si>
  <si>
    <t>Спуск УГРХ</t>
  </si>
  <si>
    <t>М/ж пакера ПРО-ЯМО</t>
  </si>
  <si>
    <t>Опрессовка задвижек трубной головки АФ</t>
  </si>
  <si>
    <t>Д/ж гидрозадвижки и выкидной линии</t>
  </si>
  <si>
    <t>Опрессовка фланцевых соединений после установки ЗД</t>
  </si>
  <si>
    <t>Демонтаж рабочей площадки</t>
  </si>
  <si>
    <t>Монтаж ФА ГРП</t>
  </si>
  <si>
    <t>Стыковка УГРХ</t>
  </si>
  <si>
    <t>Ловильные работы труболовкой</t>
  </si>
  <si>
    <t>Ловильные работы З-86</t>
  </si>
  <si>
    <t>Выгрузка на доп. стеллажи ТТ-73мм. Погрузка с выкладкой на стеллажи НКТ-89мм 300шт.</t>
  </si>
  <si>
    <t>Монтаж компоновки УГРХ</t>
  </si>
  <si>
    <t>Спуск компоновки УГРХ</t>
  </si>
  <si>
    <t>Монтаж КНК, спуск компоновки до глубины 1000м</t>
  </si>
  <si>
    <t>Спуск и посадка пакера</t>
  </si>
  <si>
    <t>Спуск компоновки до глубины 3216м</t>
  </si>
  <si>
    <t>СКО</t>
  </si>
  <si>
    <t>Опрессовка ПВО до концевых задвижек</t>
  </si>
  <si>
    <t>Отогрев и опрессовка ЗД АФ</t>
  </si>
  <si>
    <t>Замена негерметичной ЗД АФ</t>
  </si>
  <si>
    <t>Срыв Стингера</t>
  </si>
  <si>
    <t>Подъём Стингера на НКТ-89м</t>
  </si>
  <si>
    <t>Монтаж компоновки "Перо" НКТ-60(9м)+ТТ-60</t>
  </si>
  <si>
    <t>Спуск компоновки "перо"+ НКТ-60мм</t>
  </si>
  <si>
    <t>Обратная промывка скважины</t>
  </si>
  <si>
    <t>Подъём компоновки "перо"</t>
  </si>
  <si>
    <t>Разгрузка на ПМ оборудования для монтажа УЭЦН</t>
  </si>
  <si>
    <t>Монтажа УЭЦН</t>
  </si>
  <si>
    <t>Произвести подъём стингера</t>
  </si>
  <si>
    <t>Доподъём Стингера</t>
  </si>
  <si>
    <t>Произвести срыв стингера</t>
  </si>
  <si>
    <t>Подъём УГРХ</t>
  </si>
  <si>
    <t>Переукладка НКТ на ПМ</t>
  </si>
  <si>
    <t>Доподъём УГРХ</t>
  </si>
  <si>
    <t>Установка барабана, разгрузка УЭЦН</t>
  </si>
  <si>
    <t>Монтаж УЭЦН</t>
  </si>
  <si>
    <t>Спуск УЭЦН</t>
  </si>
  <si>
    <t>Демонтаж АФ ГРП (без срыва стингера), монтаж ПВО, СУП, 2 отбойных щитов, 4 дистанционных штурвалов</t>
  </si>
  <si>
    <t>Опрессовка ПВО на устье до 23 МПа (видеорегистрация)</t>
  </si>
  <si>
    <t>Опрессовка задвижек АФ №2,3,9,10 на 23 МПа</t>
  </si>
  <si>
    <t>Замена негерметичных задвижек №2,3,9,10 и опрессовка соединений на 23 МПа</t>
  </si>
  <si>
    <t>Срыв стингера, вызов циркуляции, обратная промывка раствором глушения V=53,9 м³ (6-8 л/с)</t>
  </si>
  <si>
    <t>Подъём стингера на НКТ-89 с глубины 2941,42 м до 725,6 м (220 шт.) с постоянным доливом</t>
  </si>
  <si>
    <t>Снятие со стеллажей НКТ-89 (220 шт.), укладка новой НКТП-73 с покрытием (245 шт.), установка переводника</t>
  </si>
  <si>
    <t>Доподъём стингера на НКТ-89 с 725,6 м до устья (73 шт.) с постоянным доливом, снятие со стеллажей НКТ-89 (73 шт.)</t>
  </si>
  <si>
    <t>Установка барабана на автовымотку, разгрузка УЭЦН, опрессовка подклапанных НКТП-73 (5 шт.) на 25 МПа, сверка номеров, ВИК резьб, центровка мачты</t>
  </si>
  <si>
    <t>Монтаж УЭЦН (1 секция ПЭД, гидрозащита, газосепаратор, диспергатор, 2 секции ЭЦН)</t>
  </si>
  <si>
    <t>Настройка ГКШ, сборка и опрессовка компоновки на 20 МПа, спуск УЭЦН на глубину 2450 м с поинтервальной опрессовкой НКТП через 600 м (6 МПа), замером изоляции через 300 м, установкой противополётного кольца на 800 м</t>
  </si>
  <si>
    <t>Демонтаж ФА ГРП (без срыва пакера). Монтаж ПВО. Монтаж СУП, МОП. Монтаж 2-х отбойных щитов и 4-х дистанционных штурвалов. Опрессовка ПВО на Р=23МПа. Опрессовка ЗД №3,9,10 на Р=23МПа.</t>
  </si>
  <si>
    <t>Срыв стингера: расхаживание с увеличением веса до 66т (свой 43т), противодавление в затрубе 10МПа. Обратная промывка скважины в V=59м³.</t>
  </si>
  <si>
    <t>Подъём стингера на НКТ 89мм с глубины 3136м до 725,6м (221шт). Вес на вира 61т.</t>
  </si>
  <si>
    <t>Снятие со стеллажей НКТ 89мм (221шт). Укладка на стеллажи новой НКТП 73мм с покрытием TC 3000F (265шт). Доподъём стингера с 725,6м до устья (66шт). Демонтаж стингера.</t>
  </si>
  <si>
    <t>Установка барабана на автовымотку. Разгрузка УЭЦН на приемный мост. Опрессовка подклапанных 5шт на 250атм.</t>
  </si>
  <si>
    <t>Монтаж 0215ЭЦНАКИ5А-100И/2450.</t>
  </si>
  <si>
    <t>Сборка компоновки: ЭЦН + 5 НКТП73 + КОШ + АШУ-73 + 1 НКТП73 + СК-73 + 1 НКТП73. Опрессовка на Р=20МПа (герметично).</t>
  </si>
  <si>
    <t>Спуск УЭЦН на НКТП73мм: Н=1636,4м (159шт) с замером Rиз через 300м и опрессовкой НКТП через 600м (Р=6МПа). Остановка с 20:00 до 24:00 по неполному составу вахты.</t>
  </si>
  <si>
    <t>Спуск УЭЦН на НКТП73мм: Н=2654,4м (258шт) с замером Rиз через 300м и опрессовкой НКТП через 600м (Р=6МПа). Контрольный замер КЗИ.</t>
  </si>
  <si>
    <t>Демонтаж АФ ГРП (без срыва пакера), монтаж ПВО, СУП, отбойных щитов и штурвалов</t>
  </si>
  <si>
    <t>Опрессовка ПВО на устье до 21,34 МПа (видеорегистрация)</t>
  </si>
  <si>
    <t>Опрессовка задвижек АФ №2,3,9,10 на 21,34 МПа</t>
  </si>
  <si>
    <t>Замена негерметичных задвижек №2,3,9,10 и опрессовка соединений</t>
  </si>
  <si>
    <t>Срыв пакера ГРП, релаксация уплотнений 2 часа</t>
  </si>
  <si>
    <t>Подъём пакера на 100 м, вызов циркуляции, обратная промывка 32,1 м³</t>
  </si>
  <si>
    <t>При отсутствии циркуляции – расхаживание, наращивание, повторные промывки (до 3 циклов)</t>
  </si>
  <si>
    <t>Подъём пакера с 2840 м до 725,6 м (215 шт.) с постоянным доливом</t>
  </si>
  <si>
    <t>Снятие со стеллажей НКТ-89 (225 шт.), укладка ТТ-73 (337 шт.)</t>
  </si>
  <si>
    <t>Доподъём пакера до устья, демонтаж пакера, снятие НКТ-89 (73 шт.)</t>
  </si>
  <si>
    <t>Спуск компоновки «Зубчатая муфта» до 3003 м, нормализация забоя с отмывкой пропанта, промывка</t>
  </si>
  <si>
    <t>При отрицательном результате – монтаж гидроротора и ВБТ-80, нормализация забоя, демонтаж</t>
  </si>
  <si>
    <t>Подъём компоновки с 3039,64 м до 656,2 м с постоянным доливом</t>
  </si>
  <si>
    <t>Снятие ТТ-73 (264 шт.), укладка НКТ-73 без покрытия (285 шт.)</t>
  </si>
  <si>
    <t>Доподъём компоновки до устья, снятие ТТ-73 (73 шт.)</t>
  </si>
  <si>
    <t>Установка барабана, разгрузка УЭЦН, опрессовка подклапанных НКТ (5 шт.), сверка номеров, центровка</t>
  </si>
  <si>
    <t>Монтаж УЭЦН (1 секция ПЭД, гидрозащита, газосепаратор, 2 секции ЭЦН)</t>
  </si>
  <si>
    <t>Настройка ГКШ, сборка и опрессовка компоновки, спуск УЭЦН на 2850 м с контролем изоляции и опрессовкой НКТ</t>
  </si>
  <si>
    <t>Контрольный замер сопротивления изоляции после спуска</t>
  </si>
  <si>
    <t>Демонтаж ГКШ, спайдера, превентора, отбойных щитов и штурвалов. Монтаж ёлки ФА, кабельного ввода, опрессовка КВ на 17,6 МПа, укладка кабеля (50 м)</t>
  </si>
  <si>
    <t>Перевод скважины на нефть по затрубному пространству (V=40 м³, на поглощение)</t>
  </si>
  <si>
    <t>Демонтаж ГКШ, спайдера. Протаскивание кабеля через подвесной ролик 50м. Демонтаж ПВО с протаскиванием кабеля. Демонтаж отбойных щитов, штурвалов, СУП. Монтаж ёлки ФА. Монтаж кабельного ввода. Опрессовка НКТП на Р=6МПа. Опрессовка КВ2 на Р=17,6МПа.</t>
  </si>
  <si>
    <t>Перевод скважины на нефть через затрубное пространство в V=40м³. Опрессовка ОК и ФА с обвязкой на Р=4МПа.</t>
  </si>
  <si>
    <t>Демонтаж ПВО, протаскивание кабеля, монтаж ёлки ФА и кабельного ввода, опрессовка КВ, укладка кабеля</t>
  </si>
  <si>
    <t>Перевод скважины на нефть по затрубному пространству (40 м³)</t>
  </si>
  <si>
    <t>Пробный запуск УЭЦН на мерную ёмкость</t>
  </si>
  <si>
    <t>Демонтаж УПА</t>
  </si>
  <si>
    <t>Монтаж ФА</t>
  </si>
  <si>
    <t>Стыковка стингера</t>
  </si>
  <si>
    <t>Демонтаж заземления. Отключение оборудования. Сдача скважины</t>
  </si>
  <si>
    <t>Переезд бригады на скв. № 2201г к.п. № 23 КНГКМ</t>
  </si>
  <si>
    <t>Переезд бригады</t>
  </si>
  <si>
    <t>Расстановка оборудования</t>
  </si>
  <si>
    <t>Демонтаж ПВО. Монтаж ПШ ФА</t>
  </si>
  <si>
    <t>Опрессовка лифта НКТ-73</t>
  </si>
  <si>
    <t>Демонтаж БГД</t>
  </si>
  <si>
    <t>Сдача скважины</t>
  </si>
  <si>
    <t>Расстановка БО</t>
  </si>
  <si>
    <t>Контрольный замер сопротивления</t>
  </si>
  <si>
    <t>Опрессовка НКТ</t>
  </si>
  <si>
    <t>Запуск скважины</t>
  </si>
  <si>
    <t>Демонтаж ПА</t>
  </si>
  <si>
    <t>Демонтаж БД</t>
  </si>
  <si>
    <t xml:space="preserve">Демонтаж </t>
  </si>
  <si>
    <t>Переезд бригады на скв. №2118 (9 рейсов, L=0,015 км)</t>
  </si>
  <si>
    <t>Расстановка и подключение оборудования, установка подставок под кабель, монтаж заземлений и 2‑х защитных колпаков</t>
  </si>
  <si>
    <t>Демонтаж ИВЭ-50, рабочей площадки, УБРСП-80, смена дублирующих задвижек (2 шт.), опрессовка фланцев, демонтаж пригрузов, якорей, приёмного моста, стеллажей, линии долива</t>
  </si>
  <si>
    <t>Демонтаж блока дросселирования и выкидной линии (10 м)</t>
  </si>
  <si>
    <t>Демонтаж 2‑х защитных колпаков, заземлений, отключение оборудования, демонтаж подставок под кабель, уборка территории</t>
  </si>
  <si>
    <t>Переезд бригады на скв. №2200 кп №23 РНМ со скв. №2118 кп №23 РНМ — Ʃ9 рейсов. L=0,005км.</t>
  </si>
  <si>
    <t>Расстановка оборудования. Подключение оборудования с установкой подставок под кабель. Монтаж заземлений. Монтаж 2-х защитных колпаков.</t>
  </si>
  <si>
    <t>Демонтаж ИВЭ-50, РП, УБРСП-80. Смена дублирующих задвижек. Опрессовка фланцевого соединения.</t>
  </si>
  <si>
    <t>Демонтаж оборудования. Сдача скважины.</t>
  </si>
  <si>
    <t>Переезд бригады на скв. №2095</t>
  </si>
  <si>
    <t>Расстановка и подключение оборудования, монтаж заземлений и защитных колпаков</t>
  </si>
  <si>
    <t>Демонтаж ИВЭ-50, рабочей площадки, УБРСП-80, смена задвижек, демонтаж пригрузов, якорей, мостов, стеллажей, линии долива</t>
  </si>
  <si>
    <t>Демонтаж блока дросселирования и выкидной линии</t>
  </si>
  <si>
    <t>Демонтаж защитных колпаков, заземлений, отключение оборудования, демонтаж подставок, уборка территории</t>
  </si>
  <si>
    <t xml:space="preserve">ПВ, % </t>
  </si>
  <si>
    <t xml:space="preserve">ПНВ, % </t>
  </si>
  <si>
    <t xml:space="preserve">НПВ, % </t>
  </si>
  <si>
    <t>27.04.2026 - 03.05.2026</t>
  </si>
  <si>
    <t>04.05.2026 - 10.05.2026</t>
  </si>
  <si>
    <t>11.05.2026 - 17.05.2026</t>
  </si>
  <si>
    <t>18.05.2026 - 24.05.2026</t>
  </si>
  <si>
    <t>25.05.2026 - 31.05.2026</t>
  </si>
  <si>
    <t>(несколько элементов)</t>
  </si>
  <si>
    <t>Сумма по полю Макс (ПНВ; НПВ)</t>
  </si>
  <si>
    <t>НПВ:  Ожидание разрешения
Устранение  Предписания</t>
  </si>
  <si>
    <t>ПНВ:  
Монтаж  УПА</t>
  </si>
  <si>
    <t>ПНВ:  
Монтаж  БО</t>
  </si>
  <si>
    <t>ПНВ:  
Передвижка  УПА</t>
  </si>
  <si>
    <t>ПНВ:  
Завоз  Тех. вода</t>
  </si>
  <si>
    <t>ПНВ:  
Демонтаж  УПА</t>
  </si>
  <si>
    <t>НПВ:  Ожидание персонала
Ожидание  Персонал</t>
  </si>
  <si>
    <t>НПВ:  Орг. простой
Подготовка  Скважина</t>
  </si>
  <si>
    <t>ПНВ:  
Подъем  УЭЦН</t>
  </si>
  <si>
    <t>НПВ:  
Ожидание  Персонал</t>
  </si>
  <si>
    <t>НПВ:  
Ожидание  МТР</t>
  </si>
  <si>
    <t>Сумма по полю ПВ, %</t>
  </si>
  <si>
    <t>Сумма по полю ПНВ, %</t>
  </si>
  <si>
    <t>Сумма по полю НПВ, %</t>
  </si>
  <si>
    <t xml:space="preserve">
</t>
  </si>
  <si>
    <t xml:space="preserve">Жабин П.П.
</t>
  </si>
  <si>
    <t>Вдовин И.О.
Жангазиев С.К.</t>
  </si>
  <si>
    <t>Жабин П.П.
Керимов Н.К.</t>
  </si>
  <si>
    <t>Тарасов А.С.
Жангазиев С.К.</t>
  </si>
  <si>
    <t>Жабин П.П.
Жангазиев С.К.</t>
  </si>
  <si>
    <t>Тарасов А.С.
Штыкин А.А.</t>
  </si>
  <si>
    <t>Епифанов Д.Б.
Жангазиев С.К.</t>
  </si>
  <si>
    <t xml:space="preserve">
Шипунов С.И.</t>
  </si>
  <si>
    <t>Епифанов Д.Б.
Хохряков В.Я.</t>
  </si>
  <si>
    <t>Епифанов Д.Б.
Шипунов С.И.</t>
  </si>
  <si>
    <t xml:space="preserve">
Хохряков В.Я.</t>
  </si>
  <si>
    <t>Жабин П.П.
Титов А.А.</t>
  </si>
  <si>
    <t xml:space="preserve">
Арбузов А.В.</t>
  </si>
  <si>
    <t xml:space="preserve">
Титов А.А.</t>
  </si>
  <si>
    <t>Жабин П.П.
Арбузов А.В.</t>
  </si>
  <si>
    <t>(Все)</t>
  </si>
  <si>
    <t>Сумма по полю % ПВ</t>
  </si>
  <si>
    <t>Монтаж_демонтаж</t>
  </si>
  <si>
    <t>Сумма по полю Рейсовая скорость</t>
  </si>
  <si>
    <t xml:space="preserve">Приход ДТ, л </t>
  </si>
  <si>
    <t>Расхождение расходов ДТ, л</t>
  </si>
  <si>
    <t>Остаток ДТ, л</t>
  </si>
  <si>
    <t>Остаток ДТ, м3</t>
  </si>
  <si>
    <t>Фактический расход</t>
  </si>
  <si>
    <t>Нормативный
расход ДТ, л</t>
  </si>
  <si>
    <t>Расхождение
расходов, Л</t>
  </si>
  <si>
    <t>Расхождение расходов, %</t>
  </si>
  <si>
    <t>Приход ДТ</t>
  </si>
  <si>
    <t>Остаток ДТ</t>
  </si>
  <si>
    <t>Нормативный
расход ДТ</t>
  </si>
  <si>
    <t>Перерасход ДТ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</si>
</sst>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d/mm/yy\ h:mm;@"/>
    <numFmt numFmtId="165" formatCode="h:mm;@"/>
    <numFmt numFmtId="166" formatCode="0.0"/>
    <numFmt numFmtId="167" formatCode="0.0000000"/>
    <numFmt numFmtId="168" formatCode="[$-FC19]dd\ mmmm\ yyyy\ \г\.;@"/>
  </numFmts>
  <fonts count="98">
    <font>
      <sz val="12"/>
      <color theme="1"/>
      <name val="CenturyGothic"/>
      <family val="2"/>
      <charset val="204"/>
    </font>
    <font>
      <sz val="11"/>
      <color theme="1"/>
      <name val="Calibri"/>
      <family val="2"/>
      <charset val="204"/>
      <scheme val="minor"/>
    </font>
    <font>
      <sz val="11"/>
      <color theme="1"/>
      <name val="Century Gothic"/>
      <family val="1"/>
    </font>
    <font>
      <b/>
      <sz val="11"/>
      <color theme="0"/>
      <name val="Century Gothic"/>
      <family val="1"/>
    </font>
    <font>
      <b/>
      <sz val="12"/>
      <color theme="1"/>
      <name val="CenturyGothic"/>
      <charset val="204"/>
    </font>
    <font>
      <sz val="10"/>
      <color theme="1"/>
      <name val="Century Gothic"/>
      <family val="1"/>
    </font>
    <font>
      <b/>
      <sz val="28"/>
      <color theme="1"/>
      <name val="CenturyGothic"/>
      <charset val="204"/>
    </font>
    <font>
      <sz val="12"/>
      <color theme="1"/>
      <name val="CenturyGothic"/>
      <charset val="204"/>
    </font>
    <font>
      <b/>
      <sz val="14"/>
      <color rgb="FF000000"/>
      <name val="Century Gothic"/>
      <family val="2"/>
      <charset val="204"/>
    </font>
    <font>
      <sz val="14"/>
      <color rgb="FF000000"/>
      <name val="Century Gothic"/>
      <family val="2"/>
      <charset val="204"/>
    </font>
    <font>
      <sz val="10"/>
      <name val="Arial"/>
      <family val="2"/>
      <charset val="204"/>
    </font>
    <font>
      <b/>
      <sz val="12"/>
      <name val="Century Gothic"/>
      <family val="1"/>
    </font>
    <font>
      <sz val="10"/>
      <name val="Arial Cyr"/>
      <charset val="204"/>
    </font>
    <font>
      <sz val="10"/>
      <name val="Verdana"/>
      <family val="2"/>
      <charset val="204"/>
    </font>
    <font>
      <b/>
      <sz val="16"/>
      <color rgb="FF000000"/>
      <name val="Century Gothic"/>
      <family val="2"/>
      <charset val="204"/>
    </font>
    <font>
      <sz val="11"/>
      <color rgb="FF000000"/>
      <name val="Century Gothic"/>
      <family val="2"/>
      <charset val="204"/>
    </font>
    <font>
      <b/>
      <sz val="20"/>
      <color rgb="FF000000"/>
      <name val="Century Gothic"/>
      <family val="2"/>
      <charset val="204"/>
    </font>
    <font>
      <b/>
      <sz val="14"/>
      <name val="Century Gothic"/>
      <family val="2"/>
      <charset val="204"/>
    </font>
    <font>
      <sz val="14"/>
      <name val="Century Gothic"/>
      <family val="2"/>
      <charset val="204"/>
    </font>
    <font>
      <b/>
      <sz val="12"/>
      <name val="Century Gothic"/>
      <family val="2"/>
      <charset val="204"/>
    </font>
    <font>
      <sz val="20"/>
      <color rgb="FF000000"/>
      <name val="Century Gothic"/>
      <family val="2"/>
      <charset val="204"/>
    </font>
    <font>
      <b/>
      <sz val="11"/>
      <color rgb="FF000000"/>
      <name val="Century Gothic"/>
      <family val="2"/>
      <charset val="204"/>
    </font>
    <font>
      <b/>
      <sz val="11"/>
      <name val="Century Gothic"/>
      <family val="2"/>
      <charset val="204"/>
    </font>
    <font>
      <b/>
      <sz val="12"/>
      <color rgb="FF000000"/>
      <name val="Century Gothic"/>
      <family val="2"/>
      <charset val="204"/>
    </font>
    <font>
      <b/>
      <sz val="14"/>
      <color rgb="FF000000"/>
      <name val="Century Gothic"/>
      <family val="1"/>
    </font>
    <font>
      <b/>
      <sz val="11"/>
      <color rgb="FF000000"/>
      <name val="Century Gothic"/>
      <family val="1"/>
    </font>
    <font>
      <sz val="12"/>
      <color rgb="FF000000"/>
      <name val="Century Gothic"/>
      <family val="1"/>
    </font>
    <font>
      <b/>
      <sz val="10"/>
      <color rgb="FF000000"/>
      <name val="Century Gothic"/>
      <family val="1"/>
    </font>
    <font>
      <sz val="10"/>
      <color rgb="FF000000"/>
      <name val="Century Gothic"/>
      <family val="1"/>
    </font>
    <font>
      <b/>
      <sz val="8"/>
      <color rgb="FF000000"/>
      <name val="Century Gothic"/>
      <family val="1"/>
    </font>
    <font>
      <sz val="8"/>
      <color rgb="FF000000"/>
      <name val="Century Gothic"/>
      <family val="1"/>
    </font>
    <font>
      <sz val="8"/>
      <name val="Century Gothic"/>
      <family val="1"/>
    </font>
    <font>
      <b/>
      <sz val="16"/>
      <color rgb="FF000000"/>
      <name val="Century Gothic"/>
      <family val="1"/>
    </font>
    <font>
      <b/>
      <sz val="11"/>
      <color theme="1"/>
      <name val="Century Gothic"/>
      <family val="1"/>
      <charset val="204"/>
    </font>
    <font>
      <b/>
      <sz val="11"/>
      <color rgb="FF000000"/>
      <name val="Century Gothic"/>
      <family val="1"/>
      <charset val="204"/>
    </font>
    <font>
      <sz val="11"/>
      <color rgb="FF000000"/>
      <name val="Century Gothic"/>
      <family val="1"/>
      <charset val="204"/>
    </font>
    <font>
      <sz val="11"/>
      <color theme="1"/>
      <name val="CenturyGothic"/>
      <family val="2"/>
      <charset val="204"/>
    </font>
    <font>
      <b/>
      <sz val="11"/>
      <name val="Century Gothic"/>
      <family val="1"/>
    </font>
    <font>
      <sz val="11"/>
      <name val="Century Gothic"/>
      <family val="1"/>
      <charset val="204"/>
    </font>
    <font>
      <sz val="11"/>
      <color rgb="FF000000"/>
      <name val="Century Gothic"/>
      <family val="1"/>
    </font>
    <font>
      <sz val="11"/>
      <name val="Century Gothic"/>
      <family val="1"/>
    </font>
    <font>
      <sz val="14"/>
      <color theme="1"/>
      <name val="Century Gothic"/>
      <family val="2"/>
      <charset val="204"/>
    </font>
    <font>
      <sz val="14"/>
      <color theme="1"/>
      <name val="Times New Roman"/>
      <family val="1"/>
      <charset val="204"/>
    </font>
    <font>
      <sz val="11"/>
      <color theme="1"/>
      <name val="Times New Roman"/>
      <family val="1"/>
      <charset val="204"/>
    </font>
    <font>
      <b/>
      <sz val="11"/>
      <color theme="1"/>
      <name val="Times New Roman"/>
      <family val="1"/>
      <charset val="204"/>
    </font>
    <font>
      <b/>
      <sz val="14"/>
      <name val="Century Gothic"/>
      <family val="1"/>
    </font>
    <font>
      <sz val="14"/>
      <color rgb="FF000000"/>
      <name val="Century Gothic"/>
      <family val="1"/>
    </font>
    <font>
      <b/>
      <sz val="12"/>
      <color theme="1"/>
      <name val="Times New Roman"/>
      <family val="1"/>
      <charset val="204"/>
    </font>
    <font>
      <sz val="12"/>
      <color rgb="FF000000"/>
      <name val="Times New Roman"/>
      <family val="1"/>
      <charset val="204"/>
    </font>
    <font>
      <sz val="10"/>
      <name val="Arial"/>
      <family val="2"/>
    </font>
    <font>
      <sz val="12"/>
      <color theme="1"/>
      <name val="Century Gothic"/>
      <family val="1"/>
    </font>
    <font>
      <b/>
      <sz val="12"/>
      <color theme="1"/>
      <name val="Century Gothic"/>
      <family val="1"/>
    </font>
    <font>
      <sz val="12"/>
      <color theme="1"/>
      <name val="Times New Roman"/>
      <family val="1"/>
      <charset val="204"/>
    </font>
    <font>
      <b/>
      <sz val="12"/>
      <color theme="1"/>
      <name val="CenturyGothic"/>
      <family val="2"/>
      <charset val="204"/>
    </font>
    <font>
      <sz val="10"/>
      <color theme="1"/>
      <name val="Times New Roman"/>
      <family val="1"/>
      <charset val="204"/>
    </font>
    <font>
      <u/>
      <sz val="10"/>
      <color theme="1"/>
      <name val="Times New Roman"/>
      <family val="1"/>
      <charset val="204"/>
    </font>
    <font>
      <b/>
      <sz val="10"/>
      <color theme="1"/>
      <name val="Times New Roman"/>
      <family val="1"/>
      <charset val="204"/>
    </font>
    <font>
      <sz val="11"/>
      <color theme="1"/>
      <name val="Symbol"/>
      <family val="1"/>
      <charset val="2"/>
    </font>
    <font>
      <b/>
      <sz val="11"/>
      <color theme="0"/>
      <name val="Times New Roman"/>
      <family val="1"/>
      <charset val="204"/>
    </font>
    <font>
      <u/>
      <sz val="12"/>
      <color theme="10"/>
      <name val="CenturyGothic"/>
      <family val="2"/>
      <charset val="204"/>
    </font>
    <font>
      <b/>
      <sz val="16"/>
      <name val="Calibri"/>
      <family val="2"/>
      <charset val="204"/>
      <scheme val="minor"/>
    </font>
    <font>
      <sz val="10"/>
      <color theme="1"/>
      <name val="CenturyGothic"/>
      <family val="2"/>
      <charset val="204"/>
    </font>
    <font>
      <sz val="12"/>
      <color theme="1"/>
      <name val="Symbol"/>
      <family val="1"/>
      <charset val="204"/>
    </font>
    <font>
      <sz val="11"/>
      <color theme="1"/>
      <name val="Calibri"/>
      <family val="2"/>
      <scheme val="minor"/>
    </font>
    <font>
      <sz val="12"/>
      <name val="Century Gothic"/>
      <family val="2"/>
      <charset val="204"/>
    </font>
    <font>
      <sz val="12"/>
      <color rgb="FF000000"/>
      <name val="Century Gothic"/>
      <family val="2"/>
      <charset val="204"/>
    </font>
    <font>
      <b/>
      <sz val="12"/>
      <color theme="0"/>
      <name val="CenturyGothic"/>
      <charset val="204"/>
    </font>
    <font>
      <sz val="10"/>
      <color theme="1"/>
      <name val="Century Gothic"/>
      <family val="1"/>
      <charset val="204"/>
    </font>
    <font>
      <sz val="11"/>
      <color rgb="FF000000"/>
      <name val="Calibri"/>
      <family val="2"/>
      <charset val="204"/>
    </font>
    <font>
      <sz val="14"/>
      <color theme="1"/>
      <name val="CenturyGothic"/>
      <family val="2"/>
      <charset val="204"/>
    </font>
    <font>
      <sz val="10"/>
      <name val="Arial Cyr"/>
      <family val="2"/>
      <charset val="204"/>
    </font>
    <font>
      <b/>
      <sz val="14"/>
      <color theme="1"/>
      <name val="Times New Roman"/>
      <family val="1"/>
      <charset val="204"/>
    </font>
    <font>
      <u/>
      <sz val="14"/>
      <color theme="10"/>
      <name val="CenturyGothic"/>
      <family val="2"/>
      <charset val="204"/>
    </font>
    <font>
      <sz val="16"/>
      <color theme="1"/>
      <name val="Times New Roman"/>
      <family val="1"/>
      <charset val="204"/>
    </font>
    <font>
      <sz val="10"/>
      <name val="Times New Roman"/>
      <family val="1"/>
      <charset val="204"/>
    </font>
    <font>
      <sz val="11"/>
      <name val="Century Gothic"/>
      <family val="2"/>
      <charset val="204"/>
    </font>
    <font>
      <sz val="14"/>
      <color rgb="FFFF0000"/>
      <name val="Century Gothic"/>
      <family val="2"/>
      <charset val="204"/>
    </font>
    <font>
      <b/>
      <sz val="22"/>
      <color theme="1"/>
      <name val="CenturyGothic"/>
      <charset val="204"/>
    </font>
    <font>
      <b/>
      <sz val="10"/>
      <color theme="1"/>
      <name val="Century Gothic"/>
      <family val="1"/>
    </font>
    <font>
      <b/>
      <sz val="10"/>
      <color theme="0"/>
      <name val="Century Gothic"/>
      <family val="1"/>
    </font>
    <font>
      <sz val="10"/>
      <color theme="1" tint="4.9989318521683403E-2"/>
      <name val="Century Gothic"/>
      <family val="1"/>
    </font>
    <font>
      <b/>
      <sz val="10"/>
      <color theme="1" tint="4.9989318521683403E-2"/>
      <name val="Century Gothic"/>
      <family val="1"/>
    </font>
    <font>
      <b/>
      <sz val="12"/>
      <color rgb="FF000000"/>
      <name val="Century Gothic"/>
      <family val="1"/>
    </font>
    <font>
      <sz val="12"/>
      <color theme="1" tint="4.9989318521683403E-2"/>
      <name val="CenturyGothic"/>
      <family val="2"/>
      <charset val="204"/>
    </font>
    <font>
      <b/>
      <sz val="14"/>
      <color theme="1" tint="4.9989318521683403E-2"/>
      <name val="Century Gothic"/>
      <family val="1"/>
    </font>
    <font>
      <sz val="14"/>
      <color theme="1"/>
      <name val="Century Gothic"/>
      <family val="1"/>
    </font>
    <font>
      <b/>
      <sz val="18"/>
      <color rgb="FFF9FAFB"/>
      <name val="Helvetica Neue"/>
      <family val="2"/>
    </font>
    <font>
      <sz val="16"/>
      <color rgb="FFF9FAFB"/>
      <name val="Helvetica Neue"/>
      <family val="2"/>
    </font>
    <font>
      <b/>
      <sz val="12"/>
      <color theme="1"/>
      <name val="Helvetica Neue"/>
      <family val="2"/>
    </font>
    <font>
      <sz val="12"/>
      <color theme="1"/>
      <name val="Helvetica Neue"/>
      <family val="2"/>
    </font>
    <font>
      <sz val="16"/>
      <color rgb="FFF9FAFB"/>
      <name val="Helvetica Neue"/>
      <family val="2"/>
    </font>
    <font>
      <b/>
      <sz val="18"/>
      <color theme="1"/>
      <name val="Helvetica Neue"/>
      <family val="2"/>
      <charset val="204"/>
    </font>
    <font>
      <b/>
      <sz val="12"/>
      <color theme="1"/>
      <name val="Helvetica Neue"/>
      <family val="2"/>
      <charset val="204"/>
    </font>
    <font>
      <sz val="12"/>
      <color theme="1"/>
      <name val="Helvetica Neue"/>
      <family val="2"/>
      <charset val="204"/>
    </font>
    <font>
      <sz val="16"/>
      <color theme="1"/>
      <name val="Helvetica Neue"/>
      <family val="2"/>
      <charset val="204"/>
    </font>
    <font>
      <sz val="16"/>
      <color theme="1"/>
      <name val="Helvetica Neue"/>
      <family val="2"/>
      <charset val="204"/>
    </font>
    <font>
      <b/>
      <sz val="18"/>
      <color theme="1"/>
      <name val="CenturyGothic"/>
      <family val="2"/>
      <charset val="204"/>
    </font>
    <font>
      <sz val="12"/>
      <color theme="1"/>
      <name val="CenturyGothic"/>
      <family val="2"/>
      <charset val="204"/>
    </font>
  </fonts>
  <fills count="21">
    <fill>
      <patternFill patternType="none"/>
    </fill>
    <fill>
      <patternFill patternType="gray125"/>
    </fill>
    <fill>
      <patternFill patternType="solid">
        <fgColor theme="4" tint="0.79998168889431442"/>
        <bgColor theme="4" tint="0.79998168889431442"/>
      </patternFill>
    </fill>
    <fill>
      <patternFill patternType="solid">
        <fgColor theme="4"/>
        <bgColor theme="4"/>
      </patternFill>
    </fill>
    <fill>
      <patternFill patternType="solid">
        <fgColor theme="0" tint="-0.14999847407452621"/>
        <bgColor indexed="64"/>
      </patternFill>
    </fill>
    <fill>
      <patternFill patternType="solid">
        <fgColor theme="0"/>
        <bgColor indexed="64"/>
      </patternFill>
    </fill>
    <fill>
      <patternFill patternType="solid">
        <fgColor theme="8" tint="0.79998168889431442"/>
        <bgColor indexed="64"/>
      </patternFill>
    </fill>
    <fill>
      <patternFill patternType="solid">
        <fgColor rgb="FFE1E1E3"/>
        <bgColor indexed="64"/>
      </patternFill>
    </fill>
    <fill>
      <patternFill patternType="solid">
        <fgColor rgb="FFD9D9D9"/>
        <bgColor rgb="FF000000"/>
      </patternFill>
    </fill>
    <fill>
      <patternFill patternType="solid">
        <fgColor rgb="FFD0CECE"/>
        <bgColor rgb="FF000000"/>
      </patternFill>
    </fill>
    <fill>
      <patternFill patternType="solid">
        <fgColor rgb="FFFFFFFF"/>
        <bgColor rgb="FF000000"/>
      </patternFill>
    </fill>
    <fill>
      <patternFill patternType="solid">
        <fgColor rgb="FFE1E1E3"/>
        <bgColor rgb="FF000000"/>
      </patternFill>
    </fill>
    <fill>
      <patternFill patternType="solid">
        <fgColor theme="2" tint="-9.9978637043366805E-2"/>
        <bgColor indexed="64"/>
      </patternFill>
    </fill>
    <fill>
      <patternFill patternType="solid">
        <fgColor theme="7" tint="0.79998168889431442"/>
        <bgColor indexed="64"/>
      </patternFill>
    </fill>
    <fill>
      <patternFill patternType="solid">
        <fgColor rgb="FFC00000"/>
        <bgColor indexed="64"/>
      </patternFill>
    </fill>
    <fill>
      <patternFill patternType="solid">
        <fgColor theme="7"/>
        <bgColor indexed="64"/>
      </patternFill>
    </fill>
    <fill>
      <patternFill patternType="solid">
        <fgColor theme="5"/>
        <bgColor indexed="64"/>
      </patternFill>
    </fill>
    <fill>
      <patternFill patternType="solid">
        <fgColor theme="0" tint="-0.14999847407452621"/>
        <bgColor rgb="FF000000"/>
      </patternFill>
    </fill>
    <fill>
      <patternFill patternType="solid">
        <fgColor rgb="FFD0CECE"/>
        <bgColor indexed="64"/>
      </patternFill>
    </fill>
    <fill>
      <patternFill patternType="solid">
        <fgColor theme="4" tint="0.79998168889431442"/>
        <bgColor indexed="64"/>
      </patternFill>
    </fill>
    <fill>
      <patternFill patternType="solid">
        <fgColor theme="9"/>
        <bgColor indexed="64"/>
      </patternFill>
    </fill>
  </fills>
  <borders count="140">
    <border>
      <left/>
      <right/>
      <top/>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right/>
      <top style="thin">
        <color theme="4" tint="0.39997558519241921"/>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indexed="64"/>
      </right>
      <top/>
      <bottom style="medium">
        <color indexed="64"/>
      </bottom>
      <diagonal/>
    </border>
    <border>
      <left style="thin">
        <color auto="1"/>
      </left>
      <right/>
      <top style="thin">
        <color auto="1"/>
      </top>
      <bottom style="thin">
        <color auto="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medium">
        <color auto="1"/>
      </right>
      <top style="thin">
        <color indexed="64"/>
      </top>
      <bottom/>
      <diagonal/>
    </border>
    <border>
      <left/>
      <right style="thin">
        <color indexed="64"/>
      </right>
      <top style="thin">
        <color indexed="64"/>
      </top>
      <bottom/>
      <diagonal/>
    </border>
    <border>
      <left/>
      <right style="medium">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style="thin">
        <color indexed="64"/>
      </top>
      <bottom style="thin">
        <color indexed="64"/>
      </bottom>
      <diagonal/>
    </border>
    <border>
      <left style="medium">
        <color indexed="64"/>
      </left>
      <right/>
      <top style="thin">
        <color indexed="64"/>
      </top>
      <bottom style="thin">
        <color indexed="64"/>
      </bottom>
      <diagonal/>
    </border>
    <border>
      <left/>
      <right style="medium">
        <color auto="1"/>
      </right>
      <top style="thin">
        <color indexed="64"/>
      </top>
      <bottom style="thin">
        <color indexed="64"/>
      </bottom>
      <diagonal/>
    </border>
    <border>
      <left/>
      <right style="thin">
        <color indexed="64"/>
      </right>
      <top style="medium">
        <color auto="1"/>
      </top>
      <bottom style="thin">
        <color indexed="64"/>
      </bottom>
      <diagonal/>
    </border>
    <border>
      <left style="thin">
        <color auto="1"/>
      </left>
      <right/>
      <top style="medium">
        <color indexed="64"/>
      </top>
      <bottom style="thin">
        <color indexed="64"/>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medium">
        <color indexed="64"/>
      </left>
      <right style="thin">
        <color indexed="64"/>
      </right>
      <top style="thin">
        <color indexed="64"/>
      </top>
      <bottom style="medium">
        <color indexed="64"/>
      </bottom>
      <diagonal/>
    </border>
    <border>
      <left style="thin">
        <color auto="1"/>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auto="1"/>
      </left>
      <right style="thin">
        <color auto="1"/>
      </right>
      <top style="thin">
        <color auto="1"/>
      </top>
      <bottom style="thin">
        <color auto="1"/>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auto="1"/>
      </left>
      <right/>
      <top style="medium">
        <color indexed="64"/>
      </top>
      <bottom/>
      <diagonal/>
    </border>
    <border>
      <left style="medium">
        <color indexed="64"/>
      </left>
      <right style="thin">
        <color indexed="64"/>
      </right>
      <top/>
      <bottom/>
      <diagonal/>
    </border>
    <border>
      <left style="thin">
        <color auto="1"/>
      </left>
      <right/>
      <top/>
      <bottom style="medium">
        <color auto="1"/>
      </bottom>
      <diagonal/>
    </border>
    <border>
      <left style="thin">
        <color indexed="64"/>
      </left>
      <right style="thin">
        <color indexed="64"/>
      </right>
      <top style="thin">
        <color indexed="64"/>
      </top>
      <bottom style="medium">
        <color indexed="64"/>
      </bottom>
      <diagonal/>
    </border>
    <border>
      <left style="thin">
        <color auto="1"/>
      </left>
      <right style="medium">
        <color indexed="64"/>
      </right>
      <top/>
      <bottom style="medium">
        <color indexed="64"/>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rgb="FFFFFFFF"/>
      </right>
      <top style="medium">
        <color indexed="64"/>
      </top>
      <bottom style="medium">
        <color indexed="64"/>
      </bottom>
      <diagonal/>
    </border>
    <border>
      <left/>
      <right/>
      <top style="thin">
        <color theme="1"/>
      </top>
      <bottom/>
      <diagonal/>
    </border>
    <border>
      <left style="thin">
        <color theme="1"/>
      </left>
      <right/>
      <top style="thin">
        <color indexed="64"/>
      </top>
      <bottom/>
      <diagonal/>
    </border>
    <border>
      <left/>
      <right/>
      <top style="thin">
        <color theme="0" tint="-0.249977111117893"/>
      </top>
      <bottom style="thin">
        <color theme="0" tint="-0.249977111117893"/>
      </bottom>
      <diagonal/>
    </border>
    <border>
      <left style="thin">
        <color auto="1"/>
      </left>
      <right style="thick">
        <color auto="1"/>
      </right>
      <top style="thin">
        <color auto="1"/>
      </top>
      <bottom style="thin">
        <color auto="1"/>
      </bottom>
      <diagonal/>
    </border>
    <border>
      <left style="thin">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right/>
      <top style="thin">
        <color indexed="64"/>
      </top>
      <bottom style="thin">
        <color theme="0" tint="-0.249977111117893"/>
      </bottom>
      <diagonal/>
    </border>
    <border>
      <left/>
      <right style="thin">
        <color indexed="64"/>
      </right>
      <top style="thin">
        <color indexed="64"/>
      </top>
      <bottom style="thin">
        <color theme="0" tint="-0.249977111117893"/>
      </bottom>
      <diagonal/>
    </border>
    <border>
      <left/>
      <right style="thin">
        <color indexed="64"/>
      </right>
      <top style="thin">
        <color theme="0" tint="-0.249977111117893"/>
      </top>
      <bottom style="thin">
        <color theme="0" tint="-0.249977111117893"/>
      </bottom>
      <diagonal/>
    </border>
    <border>
      <left style="thin">
        <color indexed="64"/>
      </left>
      <right/>
      <top style="thin">
        <color indexed="64"/>
      </top>
      <bottom style="thin">
        <color theme="0" tint="-0.249977111117893"/>
      </bottom>
      <diagonal/>
    </border>
    <border>
      <left style="thin">
        <color indexed="64"/>
      </left>
      <right/>
      <top style="thin">
        <color theme="0" tint="-0.249977111117893"/>
      </top>
      <bottom style="thin">
        <color theme="0" tint="-0.249977111117893"/>
      </bottom>
      <diagonal/>
    </border>
    <border>
      <left/>
      <right style="thin">
        <color indexed="64"/>
      </right>
      <top/>
      <bottom style="medium">
        <color indexed="64"/>
      </bottom>
      <diagonal/>
    </border>
    <border>
      <left style="medium">
        <color auto="1"/>
      </left>
      <right/>
      <top/>
      <bottom style="thin">
        <color indexed="64"/>
      </bottom>
      <diagonal/>
    </border>
    <border>
      <left style="thin">
        <color auto="1"/>
      </left>
      <right style="medium">
        <color auto="1"/>
      </right>
      <top/>
      <bottom style="thin">
        <color auto="1"/>
      </bottom>
      <diagonal/>
    </border>
    <border>
      <left/>
      <right style="thin">
        <color indexed="64"/>
      </right>
      <top style="medium">
        <color auto="1"/>
      </top>
      <bottom style="medium">
        <color auto="1"/>
      </bottom>
      <diagonal/>
    </border>
    <border>
      <left style="thin">
        <color indexed="64"/>
      </left>
      <right style="medium">
        <color indexed="64"/>
      </right>
      <top style="medium">
        <color indexed="64"/>
      </top>
      <bottom style="medium">
        <color auto="1"/>
      </bottom>
      <diagonal/>
    </border>
    <border>
      <left style="thin">
        <color indexed="64"/>
      </left>
      <right style="thin">
        <color indexed="64"/>
      </right>
      <top style="medium">
        <color auto="1"/>
      </top>
      <bottom style="medium">
        <color auto="1"/>
      </bottom>
      <diagonal/>
    </border>
    <border>
      <left style="thin">
        <color auto="1"/>
      </left>
      <right/>
      <top style="medium">
        <color auto="1"/>
      </top>
      <bottom style="medium">
        <color auto="1"/>
      </bottom>
      <diagonal/>
    </border>
    <border>
      <left/>
      <right/>
      <top style="medium">
        <color auto="1"/>
      </top>
      <bottom style="hair">
        <color auto="1"/>
      </bottom>
      <diagonal/>
    </border>
    <border>
      <left/>
      <right style="medium">
        <color auto="1"/>
      </right>
      <top style="medium">
        <color auto="1"/>
      </top>
      <bottom style="hair">
        <color auto="1"/>
      </bottom>
      <diagonal/>
    </border>
    <border>
      <left/>
      <right/>
      <top style="hair">
        <color auto="1"/>
      </top>
      <bottom style="medium">
        <color auto="1"/>
      </bottom>
      <diagonal/>
    </border>
    <border>
      <left/>
      <right style="medium">
        <color auto="1"/>
      </right>
      <top style="hair">
        <color auto="1"/>
      </top>
      <bottom style="medium">
        <color auto="1"/>
      </bottom>
      <diagonal/>
    </border>
    <border>
      <left style="thick">
        <color auto="1"/>
      </left>
      <right style="thin">
        <color auto="1"/>
      </right>
      <top style="thick">
        <color auto="1"/>
      </top>
      <bottom style="thick">
        <color auto="1"/>
      </bottom>
      <diagonal/>
    </border>
    <border>
      <left style="thin">
        <color auto="1"/>
      </left>
      <right style="thin">
        <color auto="1"/>
      </right>
      <top style="thick">
        <color auto="1"/>
      </top>
      <bottom style="thick">
        <color auto="1"/>
      </bottom>
      <diagonal/>
    </border>
    <border>
      <left style="thin">
        <color auto="1"/>
      </left>
      <right style="thick">
        <color auto="1"/>
      </right>
      <top style="thick">
        <color auto="1"/>
      </top>
      <bottom style="thick">
        <color auto="1"/>
      </bottom>
      <diagonal/>
    </border>
    <border>
      <left style="medium">
        <color auto="1"/>
      </left>
      <right style="thin">
        <color auto="1"/>
      </right>
      <top/>
      <bottom style="thin">
        <color auto="1"/>
      </bottom>
      <diagonal/>
    </border>
    <border>
      <left style="thin">
        <color auto="1"/>
      </left>
      <right style="thick">
        <color auto="1"/>
      </right>
      <top/>
      <bottom style="thin">
        <color auto="1"/>
      </bottom>
      <diagonal/>
    </border>
    <border>
      <left/>
      <right/>
      <top/>
      <bottom style="thin">
        <color theme="4" tint="0.39997558519241921"/>
      </bottom>
      <diagonal/>
    </border>
    <border>
      <left style="thin">
        <color theme="4" tint="0.39997558519241921"/>
      </left>
      <right style="thin">
        <color theme="4" tint="0.39997558519241921"/>
      </right>
      <top/>
      <bottom style="thin">
        <color theme="4" tint="0.39997558519241921"/>
      </bottom>
      <diagonal/>
    </border>
    <border>
      <left/>
      <right/>
      <top style="thin">
        <color theme="1"/>
      </top>
      <bottom style="thin">
        <color indexed="64"/>
      </bottom>
      <diagonal/>
    </border>
    <border>
      <left/>
      <right style="thin">
        <color theme="1"/>
      </right>
      <top style="thin">
        <color theme="1"/>
      </top>
      <bottom style="thin">
        <color indexed="64"/>
      </bottom>
      <diagonal/>
    </border>
    <border>
      <left/>
      <right style="thin">
        <color indexed="64"/>
      </right>
      <top style="thin">
        <color theme="1"/>
      </top>
      <bottom style="thin">
        <color indexed="64"/>
      </bottom>
      <diagonal/>
    </border>
    <border>
      <left style="thin">
        <color theme="4" tint="0.39997558519241921"/>
      </left>
      <right style="thin">
        <color theme="4" tint="0.39997558519241921"/>
      </right>
      <top style="thin">
        <color theme="4" tint="0.39997558519241921"/>
      </top>
      <bottom/>
      <diagonal/>
    </border>
    <border>
      <left style="medium">
        <color indexed="64"/>
      </left>
      <right style="medium">
        <color auto="1"/>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top style="thin">
        <color auto="1"/>
      </top>
      <bottom style="thin">
        <color auto="1"/>
      </bottom>
      <diagonal/>
    </border>
    <border>
      <left/>
      <right style="medium">
        <color auto="1"/>
      </right>
      <top style="thin">
        <color auto="1"/>
      </top>
      <bottom style="thin">
        <color auto="1"/>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auto="1"/>
      </right>
      <top style="thin">
        <color indexed="64"/>
      </top>
      <bottom/>
      <diagonal/>
    </border>
    <border>
      <left style="medium">
        <color indexed="64"/>
      </left>
      <right style="thin">
        <color indexed="64"/>
      </right>
      <top style="thin">
        <color indexed="64"/>
      </top>
      <bottom style="medium">
        <color auto="1"/>
      </bottom>
      <diagonal/>
    </border>
    <border>
      <left style="medium">
        <color indexed="64"/>
      </left>
      <right style="thin">
        <color indexed="64"/>
      </right>
      <top/>
      <bottom style="medium">
        <color auto="1"/>
      </bottom>
      <diagonal/>
    </border>
    <border>
      <left style="medium">
        <color auto="1"/>
      </left>
      <right style="medium">
        <color auto="1"/>
      </right>
      <top style="medium">
        <color auto="1"/>
      </top>
      <bottom style="thin">
        <color auto="1"/>
      </bottom>
      <diagonal/>
    </border>
    <border>
      <left style="medium">
        <color indexed="64"/>
      </left>
      <right style="medium">
        <color auto="1"/>
      </right>
      <top/>
      <bottom/>
      <diagonal/>
    </border>
    <border>
      <left style="thin">
        <color auto="1"/>
      </left>
      <right style="medium">
        <color indexed="64"/>
      </right>
      <top style="medium">
        <color indexed="64"/>
      </top>
      <bottom/>
      <diagonal/>
    </border>
    <border>
      <left/>
      <right style="thin">
        <color auto="1"/>
      </right>
      <top style="thin">
        <color auto="1"/>
      </top>
      <bottom style="thin">
        <color auto="1"/>
      </bottom>
      <diagonal/>
    </border>
    <border>
      <left style="medium">
        <color auto="1"/>
      </left>
      <right style="thin">
        <color auto="1"/>
      </right>
      <top/>
      <bottom/>
      <diagonal/>
    </border>
    <border>
      <left style="medium">
        <color indexed="64"/>
      </left>
      <right style="medium">
        <color indexed="64"/>
      </right>
      <top style="medium">
        <color indexed="64"/>
      </top>
      <bottom/>
      <diagonal/>
    </border>
    <border>
      <left style="medium">
        <color auto="1"/>
      </left>
      <right style="thin">
        <color indexed="64"/>
      </right>
      <top style="medium">
        <color auto="1"/>
      </top>
      <bottom style="thin">
        <color auto="1"/>
      </bottom>
      <diagonal/>
    </border>
    <border>
      <left/>
      <right style="thin">
        <color indexed="64"/>
      </right>
      <top style="medium">
        <color auto="1"/>
      </top>
      <bottom style="thin">
        <color auto="1"/>
      </bottom>
      <diagonal/>
    </border>
    <border>
      <left style="medium">
        <color indexed="64"/>
      </left>
      <right style="thin">
        <color indexed="64"/>
      </right>
      <top/>
      <bottom style="thin">
        <color indexed="64"/>
      </bottom>
      <diagonal/>
    </border>
    <border>
      <left style="thin">
        <color auto="1"/>
      </left>
      <right style="thin">
        <color indexed="64"/>
      </right>
      <top style="medium">
        <color indexed="64"/>
      </top>
      <bottom style="medium">
        <color indexed="64"/>
      </bottom>
      <diagonal/>
    </border>
    <border>
      <left style="thin">
        <color auto="1"/>
      </left>
      <right/>
      <top/>
      <bottom/>
      <diagonal/>
    </border>
    <border>
      <left style="thin">
        <color auto="1"/>
      </left>
      <right/>
      <top/>
      <bottom style="medium">
        <color indexed="64"/>
      </bottom>
      <diagonal/>
    </border>
    <border>
      <left/>
      <right/>
      <top/>
      <bottom style="medium">
        <color indexed="64"/>
      </bottom>
      <diagonal/>
    </border>
    <border>
      <left style="thin">
        <color auto="1"/>
      </left>
      <right style="thin">
        <color indexed="64"/>
      </right>
      <top style="medium">
        <color auto="1"/>
      </top>
      <bottom style="medium">
        <color auto="1"/>
      </bottom>
      <diagonal/>
    </border>
    <border>
      <left/>
      <right style="thin">
        <color auto="1"/>
      </right>
      <top style="thick">
        <color auto="1"/>
      </top>
      <bottom style="thick">
        <color auto="1"/>
      </bottom>
      <diagonal/>
    </border>
    <border>
      <left/>
      <right style="thin">
        <color auto="1"/>
      </right>
      <top/>
      <bottom style="thin">
        <color auto="1"/>
      </bottom>
      <diagonal/>
    </border>
    <border>
      <left style="medium">
        <color indexed="64"/>
      </left>
      <right style="thin">
        <color indexed="64"/>
      </right>
      <top style="medium">
        <color indexed="64"/>
      </top>
      <bottom style="medium">
        <color auto="1"/>
      </bottom>
      <diagonal/>
    </border>
    <border>
      <left style="thin">
        <color auto="1"/>
      </left>
      <right style="thin">
        <color indexed="64"/>
      </right>
      <top style="thin">
        <color auto="1"/>
      </top>
      <bottom style="thin">
        <color auto="1"/>
      </bottom>
      <diagonal/>
    </border>
    <border>
      <left/>
      <right style="thin">
        <color indexed="64"/>
      </right>
      <top style="thin">
        <color auto="1"/>
      </top>
      <bottom style="thin">
        <color auto="1"/>
      </bottom>
      <diagonal/>
    </border>
    <border>
      <left style="thin">
        <color indexed="64"/>
      </left>
      <right/>
      <top style="thin">
        <color indexed="64"/>
      </top>
      <bottom style="thin">
        <color indexed="64"/>
      </bottom>
      <diagonal/>
    </border>
    <border>
      <left style="thin">
        <color theme="1"/>
      </left>
      <right style="thin">
        <color theme="1"/>
      </right>
      <top style="thin">
        <color theme="1"/>
      </top>
      <bottom style="thin">
        <color indexed="64"/>
      </bottom>
      <diagonal/>
    </border>
    <border>
      <left style="thin">
        <color theme="1"/>
      </left>
      <right style="thin">
        <color indexed="64"/>
      </right>
      <top style="thin">
        <color theme="1"/>
      </top>
      <bottom style="thin">
        <color indexed="64"/>
      </bottom>
      <diagonal/>
    </border>
    <border>
      <left style="medium">
        <color auto="1"/>
      </left>
      <right style="medium">
        <color indexed="64"/>
      </right>
      <top/>
      <bottom style="medium">
        <color auto="1"/>
      </bottom>
      <diagonal/>
    </border>
    <border>
      <left/>
      <right style="medium">
        <color indexed="64"/>
      </right>
      <top/>
      <bottom/>
      <diagonal/>
    </border>
    <border>
      <left/>
      <right style="medium">
        <color indexed="64"/>
      </right>
      <top/>
      <bottom style="medium">
        <color auto="1"/>
      </bottom>
      <diagonal/>
    </border>
    <border>
      <left style="medium">
        <color indexed="64"/>
      </left>
      <right/>
      <top/>
      <bottom style="medium">
        <color indexed="64"/>
      </bottom>
      <diagonal/>
    </border>
    <border>
      <left style="medium">
        <color auto="1"/>
      </left>
      <right style="medium">
        <color auto="1"/>
      </right>
      <top style="medium">
        <color auto="1"/>
      </top>
      <bottom style="hair">
        <color auto="1"/>
      </bottom>
      <diagonal/>
    </border>
    <border>
      <left style="medium">
        <color rgb="FFFFFFFF"/>
      </left>
      <right style="medium">
        <color rgb="FFFFFFFF"/>
      </right>
      <top style="medium">
        <color indexed="64"/>
      </top>
      <bottom style="medium">
        <color indexed="64"/>
      </bottom>
      <diagonal/>
    </border>
    <border>
      <left/>
      <right/>
      <top style="medium">
        <color indexed="64"/>
      </top>
      <bottom style="medium">
        <color indexed="64"/>
      </bottom>
      <diagonal/>
    </border>
    <border>
      <left style="medium">
        <color auto="1"/>
      </left>
      <right style="medium">
        <color auto="1"/>
      </right>
      <top style="medium">
        <color auto="1"/>
      </top>
      <bottom style="medium">
        <color auto="1"/>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diagonal/>
    </border>
    <border>
      <left style="medium">
        <color indexed="64"/>
      </left>
      <right style="medium">
        <color indexed="64"/>
      </right>
      <top style="thin">
        <color indexed="64"/>
      </top>
      <bottom style="thin">
        <color indexed="64"/>
      </bottom>
      <diagonal/>
    </border>
    <border>
      <left style="medium">
        <color indexed="64"/>
      </left>
      <right/>
      <top/>
      <bottom style="thin">
        <color indexed="64"/>
      </bottom>
      <diagonal/>
    </border>
    <border>
      <left style="medium">
        <color auto="1"/>
      </left>
      <right style="medium">
        <color auto="1"/>
      </right>
      <top style="hair">
        <color auto="1"/>
      </top>
      <bottom style="medium">
        <color auto="1"/>
      </bottom>
      <diagonal/>
    </border>
  </borders>
  <cellStyleXfs count="14">
    <xf numFmtId="0" fontId="0" fillId="0" borderId="0"/>
    <xf numFmtId="0" fontId="1" fillId="0" borderId="0"/>
    <xf numFmtId="0" fontId="1" fillId="0" borderId="0"/>
    <xf numFmtId="0" fontId="1" fillId="0" borderId="0"/>
    <xf numFmtId="0" fontId="97" fillId="0" borderId="0"/>
    <xf numFmtId="9" fontId="97" fillId="0" borderId="0"/>
    <xf numFmtId="0" fontId="10" fillId="0" borderId="0"/>
    <xf numFmtId="0" fontId="12" fillId="0" borderId="0"/>
    <xf numFmtId="0" fontId="13" fillId="0" borderId="0"/>
    <xf numFmtId="168" fontId="49" fillId="0" borderId="0"/>
    <xf numFmtId="0" fontId="59" fillId="0" borderId="0"/>
    <xf numFmtId="0" fontId="63" fillId="0" borderId="0"/>
    <xf numFmtId="0" fontId="68" fillId="0" borderId="0"/>
    <xf numFmtId="0" fontId="70" fillId="0" borderId="0"/>
  </cellStyleXfs>
  <cellXfs count="925">
    <xf numFmtId="0" fontId="0" fillId="0" borderId="0" xfId="0"/>
    <xf numFmtId="0" fontId="2" fillId="2" borderId="2" xfId="1" applyFont="1" applyFill="1" applyBorder="1"/>
    <xf numFmtId="0" fontId="2" fillId="0" borderId="2" xfId="1" applyFont="1" applyBorder="1"/>
    <xf numFmtId="0" fontId="3" fillId="3" borderId="0" xfId="1" applyFont="1" applyFill="1"/>
    <xf numFmtId="164" fontId="0" fillId="0" borderId="0" xfId="0" applyNumberFormat="1"/>
    <xf numFmtId="2" fontId="0" fillId="0" borderId="0" xfId="0" applyNumberFormat="1"/>
    <xf numFmtId="0" fontId="7" fillId="0" borderId="0" xfId="0" applyFont="1"/>
    <xf numFmtId="0" fontId="0" fillId="0" borderId="3" xfId="0" applyBorder="1"/>
    <xf numFmtId="0" fontId="0" fillId="0" borderId="0" xfId="0" pivotButton="1"/>
    <xf numFmtId="0" fontId="0" fillId="0" borderId="0" xfId="0" applyAlignment="1">
      <alignment horizontal="left"/>
    </xf>
    <xf numFmtId="0" fontId="0" fillId="0" borderId="0" xfId="0" applyAlignment="1">
      <alignment horizontal="left" indent="1"/>
    </xf>
    <xf numFmtId="0" fontId="11" fillId="0" borderId="0" xfId="6" applyFont="1" applyAlignment="1" applyProtection="1">
      <alignment wrapText="1"/>
      <protection hidden="1"/>
    </xf>
    <xf numFmtId="0" fontId="15" fillId="0" borderId="0" xfId="0" applyFont="1" applyAlignment="1" applyProtection="1">
      <alignment vertical="center"/>
      <protection hidden="1"/>
    </xf>
    <xf numFmtId="0" fontId="16" fillId="0" borderId="0" xfId="0" applyFont="1" applyAlignment="1" applyProtection="1">
      <alignment vertical="center"/>
      <protection hidden="1"/>
    </xf>
    <xf numFmtId="0" fontId="16" fillId="0" borderId="0" xfId="0" applyFont="1" applyAlignment="1" applyProtection="1">
      <alignment horizontal="right" vertical="center"/>
      <protection hidden="1"/>
    </xf>
    <xf numFmtId="0" fontId="17" fillId="0" borderId="0" xfId="6" applyFont="1" applyAlignment="1" applyProtection="1">
      <alignment vertical="center" wrapText="1"/>
      <protection hidden="1"/>
    </xf>
    <xf numFmtId="0" fontId="9" fillId="8" borderId="20" xfId="0" applyFont="1" applyFill="1" applyBorder="1" applyAlignment="1" applyProtection="1">
      <alignment horizontal="left" vertical="center"/>
      <protection locked="0"/>
    </xf>
    <xf numFmtId="0" fontId="15" fillId="0" borderId="9" xfId="0" applyFont="1" applyBorder="1" applyAlignment="1" applyProtection="1">
      <alignment vertical="center"/>
      <protection hidden="1"/>
    </xf>
    <xf numFmtId="0" fontId="9" fillId="0" borderId="18" xfId="0" applyFont="1" applyBorder="1" applyAlignment="1" applyProtection="1">
      <alignment horizontal="right" vertical="center" wrapText="1"/>
      <protection hidden="1"/>
    </xf>
    <xf numFmtId="0" fontId="9" fillId="9" borderId="37" xfId="0" applyFont="1" applyFill="1" applyBorder="1" applyAlignment="1" applyProtection="1">
      <alignment vertical="center"/>
      <protection locked="0"/>
    </xf>
    <xf numFmtId="0" fontId="9" fillId="0" borderId="38" xfId="0" applyFont="1" applyBorder="1" applyAlignment="1" applyProtection="1">
      <alignment vertical="center"/>
      <protection hidden="1"/>
    </xf>
    <xf numFmtId="0" fontId="9" fillId="0" borderId="39" xfId="0" applyFont="1" applyBorder="1" applyAlignment="1" applyProtection="1">
      <alignment vertical="center"/>
      <protection hidden="1"/>
    </xf>
    <xf numFmtId="0" fontId="9" fillId="8" borderId="40" xfId="0" applyFont="1" applyFill="1" applyBorder="1" applyAlignment="1" applyProtection="1">
      <alignment horizontal="left" vertical="center"/>
      <protection locked="0"/>
    </xf>
    <xf numFmtId="0" fontId="9" fillId="0" borderId="41" xfId="0" applyFont="1" applyBorder="1" applyAlignment="1" applyProtection="1">
      <alignment horizontal="right" vertical="center" wrapText="1"/>
      <protection hidden="1"/>
    </xf>
    <xf numFmtId="0" fontId="9" fillId="0" borderId="43" xfId="0" applyFont="1" applyBorder="1" applyAlignment="1" applyProtection="1">
      <alignment vertical="center" wrapText="1"/>
      <protection hidden="1"/>
    </xf>
    <xf numFmtId="0" fontId="9" fillId="0" borderId="44" xfId="0" applyFont="1" applyBorder="1" applyAlignment="1" applyProtection="1">
      <alignment vertical="center" wrapText="1"/>
      <protection hidden="1"/>
    </xf>
    <xf numFmtId="0" fontId="9" fillId="0" borderId="0" xfId="0" applyFont="1" applyAlignment="1" applyProtection="1">
      <alignment horizontal="right" vertical="center" wrapText="1"/>
      <protection hidden="1"/>
    </xf>
    <xf numFmtId="0" fontId="9" fillId="0" borderId="0" xfId="0" applyFont="1" applyAlignment="1" applyProtection="1">
      <alignment vertical="center"/>
      <protection hidden="1"/>
    </xf>
    <xf numFmtId="0" fontId="9" fillId="0" borderId="12" xfId="0" applyFont="1" applyBorder="1" applyAlignment="1" applyProtection="1">
      <alignment vertical="center"/>
      <protection hidden="1"/>
    </xf>
    <xf numFmtId="0" fontId="8" fillId="0" borderId="18" xfId="0" applyFont="1" applyBorder="1" applyAlignment="1" applyProtection="1">
      <alignment horizontal="right" vertical="center" wrapText="1"/>
      <protection hidden="1"/>
    </xf>
    <xf numFmtId="0" fontId="8" fillId="0" borderId="19" xfId="0" applyFont="1" applyBorder="1" applyAlignment="1" applyProtection="1">
      <alignment horizontal="center" vertical="center"/>
      <protection hidden="1"/>
    </xf>
    <xf numFmtId="0" fontId="8" fillId="0" borderId="20" xfId="0" applyFont="1" applyBorder="1" applyAlignment="1" applyProtection="1">
      <alignment horizontal="center" vertical="center" wrapText="1"/>
      <protection hidden="1"/>
    </xf>
    <xf numFmtId="0" fontId="9" fillId="0" borderId="45" xfId="0" applyFont="1" applyBorder="1" applyAlignment="1" applyProtection="1">
      <alignment horizontal="right" vertical="center" wrapText="1"/>
      <protection hidden="1"/>
    </xf>
    <xf numFmtId="0" fontId="9" fillId="10" borderId="17" xfId="0" applyFont="1" applyFill="1" applyBorder="1" applyAlignment="1">
      <alignment horizontal="center" vertical="center"/>
    </xf>
    <xf numFmtId="14" fontId="9" fillId="10" borderId="40" xfId="0" applyNumberFormat="1" applyFont="1" applyFill="1" applyBorder="1" applyAlignment="1">
      <alignment horizontal="center" vertical="center"/>
    </xf>
    <xf numFmtId="49" fontId="9" fillId="8" borderId="40" xfId="6" applyNumberFormat="1" applyFont="1" applyFill="1" applyBorder="1" applyAlignment="1" applyProtection="1">
      <alignment horizontal="left" vertical="center"/>
      <protection locked="0"/>
    </xf>
    <xf numFmtId="14" fontId="18" fillId="0" borderId="40" xfId="6" applyNumberFormat="1" applyFont="1" applyBorder="1" applyAlignment="1" applyProtection="1">
      <alignment horizontal="left" vertical="center"/>
      <protection hidden="1"/>
    </xf>
    <xf numFmtId="1" fontId="18" fillId="0" borderId="40" xfId="6" applyNumberFormat="1" applyFont="1" applyBorder="1" applyAlignment="1" applyProtection="1">
      <alignment horizontal="left" vertical="center"/>
      <protection hidden="1"/>
    </xf>
    <xf numFmtId="164" fontId="18" fillId="0" borderId="40" xfId="6" applyNumberFormat="1" applyFont="1" applyBorder="1" applyAlignment="1" applyProtection="1">
      <alignment horizontal="left" vertical="center"/>
      <protection hidden="1"/>
    </xf>
    <xf numFmtId="2" fontId="18" fillId="0" borderId="40" xfId="6" applyNumberFormat="1" applyFont="1" applyBorder="1" applyAlignment="1" applyProtection="1">
      <alignment horizontal="left" vertical="center"/>
      <protection hidden="1"/>
    </xf>
    <xf numFmtId="0" fontId="9" fillId="0" borderId="33" xfId="0" applyFont="1" applyBorder="1" applyAlignment="1" applyProtection="1">
      <alignment vertical="center"/>
      <protection hidden="1"/>
    </xf>
    <xf numFmtId="0" fontId="9" fillId="0" borderId="35" xfId="0" applyFont="1" applyBorder="1" applyAlignment="1" applyProtection="1">
      <alignment vertical="center"/>
      <protection hidden="1"/>
    </xf>
    <xf numFmtId="2" fontId="18" fillId="0" borderId="40" xfId="5" applyNumberFormat="1" applyFont="1" applyBorder="1" applyAlignment="1" applyProtection="1">
      <alignment horizontal="left" vertical="center"/>
      <protection hidden="1"/>
    </xf>
    <xf numFmtId="0" fontId="18" fillId="8" borderId="40" xfId="6" applyFont="1" applyFill="1" applyBorder="1" applyAlignment="1" applyProtection="1">
      <alignment horizontal="left" vertical="center"/>
      <protection locked="0"/>
    </xf>
    <xf numFmtId="0" fontId="9" fillId="0" borderId="43" xfId="0" applyFont="1" applyBorder="1" applyAlignment="1" applyProtection="1">
      <alignment vertical="center"/>
      <protection hidden="1"/>
    </xf>
    <xf numFmtId="0" fontId="9" fillId="0" borderId="44" xfId="0" applyFont="1" applyBorder="1" applyAlignment="1" applyProtection="1">
      <alignment vertical="center"/>
      <protection hidden="1"/>
    </xf>
    <xf numFmtId="2" fontId="18" fillId="8" borderId="40" xfId="6" applyNumberFormat="1" applyFont="1" applyFill="1" applyBorder="1" applyAlignment="1" applyProtection="1">
      <alignment horizontal="left" vertical="center"/>
      <protection locked="0"/>
    </xf>
    <xf numFmtId="0" fontId="9" fillId="0" borderId="0" xfId="0" applyFont="1" applyAlignment="1" applyProtection="1">
      <alignment vertical="center" wrapText="1"/>
      <protection hidden="1"/>
    </xf>
    <xf numFmtId="0" fontId="15" fillId="0" borderId="0" xfId="0" applyFont="1" applyAlignment="1" applyProtection="1">
      <alignment vertical="center" wrapText="1"/>
      <protection hidden="1"/>
    </xf>
    <xf numFmtId="0" fontId="15" fillId="0" borderId="12" xfId="0" applyFont="1" applyBorder="1" applyAlignment="1" applyProtection="1">
      <alignment vertical="center"/>
      <protection hidden="1"/>
    </xf>
    <xf numFmtId="0" fontId="9" fillId="0" borderId="11" xfId="0" applyFont="1" applyBorder="1" applyAlignment="1" applyProtection="1">
      <alignment horizontal="right" vertical="center"/>
      <protection hidden="1"/>
    </xf>
    <xf numFmtId="0" fontId="9" fillId="0" borderId="0" xfId="0" applyFont="1" applyAlignment="1" applyProtection="1">
      <alignment horizontal="right" vertical="center"/>
      <protection hidden="1"/>
    </xf>
    <xf numFmtId="49" fontId="18" fillId="8" borderId="20" xfId="6" applyNumberFormat="1" applyFont="1" applyFill="1" applyBorder="1" applyAlignment="1" applyProtection="1">
      <alignment vertical="center"/>
      <protection locked="0"/>
    </xf>
    <xf numFmtId="49" fontId="18" fillId="8" borderId="40" xfId="6" applyNumberFormat="1" applyFont="1" applyFill="1" applyBorder="1" applyAlignment="1" applyProtection="1">
      <alignment vertical="center"/>
      <protection locked="0"/>
    </xf>
    <xf numFmtId="14" fontId="9" fillId="8" borderId="16" xfId="0" applyNumberFormat="1" applyFont="1" applyFill="1" applyBorder="1" applyAlignment="1" applyProtection="1">
      <alignment horizontal="center" vertical="center"/>
      <protection locked="0"/>
    </xf>
    <xf numFmtId="49" fontId="18" fillId="8" borderId="40" xfId="6" applyNumberFormat="1" applyFont="1" applyFill="1" applyBorder="1" applyAlignment="1" applyProtection="1">
      <alignment vertical="center" wrapText="1"/>
      <protection locked="0"/>
    </xf>
    <xf numFmtId="0" fontId="9" fillId="0" borderId="46" xfId="0" applyFont="1" applyBorder="1" applyAlignment="1" applyProtection="1">
      <alignment horizontal="right" vertical="center" wrapText="1"/>
      <protection hidden="1"/>
    </xf>
    <xf numFmtId="0" fontId="15" fillId="0" borderId="0" xfId="0" applyFont="1" applyAlignment="1" applyProtection="1">
      <alignment horizontal="right" vertical="center"/>
      <protection hidden="1"/>
    </xf>
    <xf numFmtId="0" fontId="9" fillId="0" borderId="9" xfId="0" applyFont="1" applyBorder="1" applyAlignment="1" applyProtection="1">
      <alignment vertical="center"/>
      <protection hidden="1"/>
    </xf>
    <xf numFmtId="0" fontId="9" fillId="0" borderId="10" xfId="0" applyFont="1" applyBorder="1" applyAlignment="1" applyProtection="1">
      <alignment vertical="center"/>
      <protection hidden="1"/>
    </xf>
    <xf numFmtId="0" fontId="9" fillId="0" borderId="3" xfId="0" applyFont="1" applyBorder="1" applyAlignment="1" applyProtection="1">
      <alignment vertical="center"/>
      <protection hidden="1"/>
    </xf>
    <xf numFmtId="49" fontId="18" fillId="8" borderId="48" xfId="6" applyNumberFormat="1" applyFont="1" applyFill="1" applyBorder="1" applyAlignment="1" applyProtection="1">
      <alignment vertical="center" wrapText="1"/>
      <protection locked="0"/>
    </xf>
    <xf numFmtId="0" fontId="15" fillId="0" borderId="14" xfId="0" applyFont="1" applyBorder="1" applyAlignment="1" applyProtection="1">
      <alignment vertical="center"/>
      <protection hidden="1"/>
    </xf>
    <xf numFmtId="0" fontId="9" fillId="0" borderId="51" xfId="0" applyFont="1" applyBorder="1" applyAlignment="1" applyProtection="1">
      <alignment vertical="center"/>
      <protection hidden="1"/>
    </xf>
    <xf numFmtId="0" fontId="9" fillId="0" borderId="14" xfId="0" applyFont="1" applyBorder="1" applyAlignment="1" applyProtection="1">
      <alignment vertical="center"/>
      <protection hidden="1"/>
    </xf>
    <xf numFmtId="0" fontId="9" fillId="0" borderId="15" xfId="0" applyFont="1" applyBorder="1" applyAlignment="1" applyProtection="1">
      <alignment vertical="center"/>
      <protection hidden="1"/>
    </xf>
    <xf numFmtId="0" fontId="19" fillId="0" borderId="0" xfId="6" applyFont="1" applyAlignment="1" applyProtection="1">
      <alignment vertical="center" wrapText="1"/>
      <protection hidden="1"/>
    </xf>
    <xf numFmtId="2" fontId="18" fillId="0" borderId="0" xfId="6" quotePrefix="1" applyNumberFormat="1" applyFont="1" applyAlignment="1" applyProtection="1">
      <alignment vertical="center" wrapText="1"/>
      <protection hidden="1"/>
    </xf>
    <xf numFmtId="2" fontId="18" fillId="0" borderId="0" xfId="6" applyNumberFormat="1" applyFont="1" applyAlignment="1" applyProtection="1">
      <alignment vertical="center" wrapText="1"/>
      <protection hidden="1"/>
    </xf>
    <xf numFmtId="0" fontId="21" fillId="0" borderId="45" xfId="0" applyFont="1" applyBorder="1" applyAlignment="1" applyProtection="1">
      <alignment horizontal="center" vertical="center"/>
      <protection hidden="1"/>
    </xf>
    <xf numFmtId="49" fontId="22" fillId="0" borderId="17" xfId="6" applyNumberFormat="1" applyFont="1" applyBorder="1" applyAlignment="1" applyProtection="1">
      <alignment horizontal="center" vertical="center" wrapText="1"/>
      <protection hidden="1"/>
    </xf>
    <xf numFmtId="0" fontId="21" fillId="0" borderId="17" xfId="0" applyFont="1" applyBorder="1" applyAlignment="1" applyProtection="1">
      <alignment horizontal="center" vertical="center" wrapText="1"/>
      <protection hidden="1"/>
    </xf>
    <xf numFmtId="0" fontId="23" fillId="0" borderId="17" xfId="0" applyFont="1" applyBorder="1" applyAlignment="1" applyProtection="1">
      <alignment horizontal="center" vertical="center" wrapText="1"/>
      <protection hidden="1"/>
    </xf>
    <xf numFmtId="0" fontId="23" fillId="0" borderId="40" xfId="0" applyFont="1" applyBorder="1" applyAlignment="1" applyProtection="1">
      <alignment horizontal="center" vertical="center" wrapText="1"/>
      <protection hidden="1"/>
    </xf>
    <xf numFmtId="2" fontId="18" fillId="0" borderId="45" xfId="6" applyNumberFormat="1" applyFont="1" applyBorder="1" applyAlignment="1" applyProtection="1">
      <alignment horizontal="center" vertical="center" wrapText="1"/>
      <protection hidden="1"/>
    </xf>
    <xf numFmtId="0" fontId="9" fillId="0" borderId="17" xfId="0" applyFont="1" applyBorder="1" applyAlignment="1" applyProtection="1">
      <alignment horizontal="center" vertical="center"/>
      <protection hidden="1"/>
    </xf>
    <xf numFmtId="0" fontId="9" fillId="9" borderId="40" xfId="0" applyFont="1" applyFill="1" applyBorder="1" applyAlignment="1" applyProtection="1">
      <alignment horizontal="center" vertical="center" wrapText="1"/>
      <protection locked="0"/>
    </xf>
    <xf numFmtId="0" fontId="9" fillId="9" borderId="40" xfId="0" applyFont="1" applyFill="1" applyBorder="1" applyAlignment="1" applyProtection="1">
      <alignment horizontal="center" vertical="center"/>
      <protection locked="0"/>
    </xf>
    <xf numFmtId="0" fontId="9" fillId="9" borderId="53" xfId="0" applyFont="1" applyFill="1" applyBorder="1" applyAlignment="1" applyProtection="1">
      <alignment horizontal="center" vertical="center"/>
      <protection locked="0"/>
    </xf>
    <xf numFmtId="0" fontId="9" fillId="9" borderId="17" xfId="0" applyFont="1" applyFill="1" applyBorder="1" applyAlignment="1" applyProtection="1">
      <alignment vertical="center" wrapText="1"/>
      <protection locked="0"/>
    </xf>
    <xf numFmtId="0" fontId="9" fillId="9" borderId="17" xfId="0" applyFont="1" applyFill="1" applyBorder="1" applyAlignment="1" applyProtection="1">
      <alignment horizontal="center" vertical="center" wrapText="1"/>
      <protection locked="0"/>
    </xf>
    <xf numFmtId="0" fontId="9" fillId="9" borderId="17" xfId="0" applyFont="1" applyFill="1" applyBorder="1" applyAlignment="1" applyProtection="1">
      <alignment vertical="center"/>
      <protection locked="0"/>
    </xf>
    <xf numFmtId="0" fontId="9" fillId="9" borderId="52" xfId="0" applyFont="1" applyFill="1" applyBorder="1" applyAlignment="1" applyProtection="1">
      <alignment vertical="center"/>
      <protection locked="0"/>
    </xf>
    <xf numFmtId="0" fontId="9" fillId="9" borderId="52" xfId="0" applyFont="1" applyFill="1" applyBorder="1" applyAlignment="1" applyProtection="1">
      <alignment vertical="center" wrapText="1"/>
      <protection locked="0"/>
    </xf>
    <xf numFmtId="0" fontId="9" fillId="9" borderId="40" xfId="0" applyFont="1" applyFill="1" applyBorder="1" applyAlignment="1" applyProtection="1">
      <alignment vertical="center"/>
      <protection locked="0"/>
    </xf>
    <xf numFmtId="0" fontId="9" fillId="9" borderId="48" xfId="0" applyFont="1" applyFill="1" applyBorder="1" applyAlignment="1" applyProtection="1">
      <alignment vertical="center"/>
      <protection locked="0"/>
    </xf>
    <xf numFmtId="0" fontId="14" fillId="0" borderId="30" xfId="0" applyFont="1" applyBorder="1" applyAlignment="1" applyProtection="1">
      <alignment horizontal="center" vertical="center"/>
      <protection hidden="1"/>
    </xf>
    <xf numFmtId="0" fontId="14" fillId="0" borderId="31" xfId="0" applyFont="1" applyBorder="1" applyAlignment="1" applyProtection="1">
      <alignment horizontal="center" vertical="center"/>
      <protection hidden="1"/>
    </xf>
    <xf numFmtId="0" fontId="14" fillId="0" borderId="32" xfId="0" applyFont="1" applyBorder="1" applyAlignment="1" applyProtection="1">
      <alignment horizontal="center" vertical="center"/>
      <protection hidden="1"/>
    </xf>
    <xf numFmtId="0" fontId="9" fillId="9" borderId="17" xfId="0" applyFont="1" applyFill="1" applyBorder="1" applyAlignment="1" applyProtection="1">
      <alignment horizontal="left" vertical="center"/>
      <protection locked="0"/>
    </xf>
    <xf numFmtId="0" fontId="9" fillId="0" borderId="34" xfId="0" applyFont="1" applyBorder="1" applyAlignment="1" applyProtection="1">
      <alignment horizontal="center" vertical="center"/>
      <protection hidden="1"/>
    </xf>
    <xf numFmtId="0" fontId="9" fillId="10" borderId="3" xfId="0" applyFont="1" applyFill="1" applyBorder="1" applyAlignment="1" applyProtection="1">
      <alignment vertical="center"/>
      <protection hidden="1"/>
    </xf>
    <xf numFmtId="0" fontId="9" fillId="10" borderId="0" xfId="0" applyFont="1" applyFill="1" applyAlignment="1" applyProtection="1">
      <alignment vertical="center"/>
      <protection hidden="1"/>
    </xf>
    <xf numFmtId="0" fontId="9" fillId="10" borderId="4" xfId="0" applyFont="1" applyFill="1" applyBorder="1" applyAlignment="1" applyProtection="1">
      <alignment vertical="center"/>
      <protection hidden="1"/>
    </xf>
    <xf numFmtId="0" fontId="9" fillId="9" borderId="27" xfId="0" applyFont="1" applyFill="1" applyBorder="1" applyAlignment="1" applyProtection="1">
      <alignment horizontal="center" vertical="center"/>
      <protection locked="0"/>
    </xf>
    <xf numFmtId="0" fontId="9" fillId="0" borderId="46" xfId="0" applyFont="1" applyBorder="1" applyAlignment="1" applyProtection="1">
      <alignment horizontal="center" vertical="center"/>
      <protection hidden="1"/>
    </xf>
    <xf numFmtId="0" fontId="9" fillId="9" borderId="47" xfId="0" applyFont="1" applyFill="1" applyBorder="1" applyAlignment="1" applyProtection="1">
      <alignment horizontal="center" vertical="center"/>
      <protection locked="0"/>
    </xf>
    <xf numFmtId="0" fontId="9" fillId="9" borderId="48" xfId="0" applyFont="1" applyFill="1" applyBorder="1" applyAlignment="1" applyProtection="1">
      <alignment horizontal="center" vertical="center"/>
      <protection locked="0"/>
    </xf>
    <xf numFmtId="0" fontId="9" fillId="9" borderId="19" xfId="0" applyFont="1" applyFill="1" applyBorder="1" applyAlignment="1" applyProtection="1">
      <alignment horizontal="left" vertical="center"/>
      <protection locked="0"/>
    </xf>
    <xf numFmtId="0" fontId="9" fillId="9" borderId="49" xfId="0" applyFont="1" applyFill="1" applyBorder="1" applyAlignment="1" applyProtection="1">
      <alignment vertical="center"/>
      <protection locked="0"/>
    </xf>
    <xf numFmtId="0" fontId="9" fillId="0" borderId="5" xfId="0" applyFont="1" applyBorder="1" applyAlignment="1" applyProtection="1">
      <alignment vertical="center"/>
      <protection hidden="1"/>
    </xf>
    <xf numFmtId="0" fontId="9" fillId="0" borderId="6" xfId="0" applyFont="1" applyBorder="1" applyAlignment="1" applyProtection="1">
      <alignment vertical="center"/>
      <protection hidden="1"/>
    </xf>
    <xf numFmtId="0" fontId="9" fillId="0" borderId="25" xfId="0" applyFont="1" applyBorder="1" applyAlignment="1" applyProtection="1">
      <alignment vertical="center"/>
      <protection hidden="1"/>
    </xf>
    <xf numFmtId="0" fontId="9" fillId="9" borderId="21" xfId="0" applyFont="1" applyFill="1" applyBorder="1" applyAlignment="1" applyProtection="1">
      <alignment vertical="center"/>
      <protection locked="0"/>
    </xf>
    <xf numFmtId="0" fontId="9" fillId="0" borderId="22" xfId="0" applyFont="1" applyBorder="1" applyAlignment="1" applyProtection="1">
      <alignment vertical="center"/>
      <protection hidden="1"/>
    </xf>
    <xf numFmtId="0" fontId="9" fillId="0" borderId="23" xfId="0" applyFont="1" applyBorder="1" applyAlignment="1" applyProtection="1">
      <alignment vertical="center"/>
      <protection hidden="1"/>
    </xf>
    <xf numFmtId="2" fontId="9" fillId="9" borderId="17" xfId="0" applyNumberFormat="1" applyFont="1" applyFill="1" applyBorder="1" applyAlignment="1" applyProtection="1">
      <alignment horizontal="left" vertical="center"/>
      <protection locked="0"/>
    </xf>
    <xf numFmtId="0" fontId="9" fillId="9" borderId="52" xfId="0" applyFont="1" applyFill="1" applyBorder="1" applyAlignment="1" applyProtection="1">
      <alignment horizontal="left" vertical="center"/>
      <protection locked="0"/>
    </xf>
    <xf numFmtId="0" fontId="9" fillId="9" borderId="17" xfId="0" applyFont="1" applyFill="1" applyBorder="1" applyAlignment="1" applyProtection="1">
      <alignment horizontal="center" vertical="center"/>
      <protection locked="0"/>
    </xf>
    <xf numFmtId="49" fontId="9" fillId="9" borderId="17" xfId="0" applyNumberFormat="1" applyFont="1" applyFill="1" applyBorder="1" applyAlignment="1" applyProtection="1">
      <alignment horizontal="center" vertical="center"/>
      <protection locked="0"/>
    </xf>
    <xf numFmtId="0" fontId="9" fillId="0" borderId="17" xfId="0" applyFont="1" applyBorder="1" applyAlignment="1" applyProtection="1">
      <alignment horizontal="center" vertical="center" wrapText="1"/>
      <protection hidden="1"/>
    </xf>
    <xf numFmtId="0" fontId="9" fillId="0" borderId="52" xfId="0" applyFont="1" applyBorder="1" applyAlignment="1" applyProtection="1">
      <alignment horizontal="center" vertical="center" wrapText="1"/>
      <protection hidden="1"/>
    </xf>
    <xf numFmtId="49" fontId="9" fillId="9" borderId="52" xfId="0" applyNumberFormat="1" applyFont="1" applyFill="1" applyBorder="1" applyAlignment="1" applyProtection="1">
      <alignment horizontal="center" vertical="center"/>
      <protection locked="0"/>
    </xf>
    <xf numFmtId="0" fontId="15" fillId="0" borderId="11" xfId="0" applyFont="1" applyBorder="1" applyAlignment="1" applyProtection="1">
      <alignment vertical="center"/>
      <protection hidden="1"/>
    </xf>
    <xf numFmtId="0" fontId="8" fillId="0" borderId="30" xfId="0" applyFont="1" applyBorder="1" applyAlignment="1" applyProtection="1">
      <alignment horizontal="center" vertical="center" wrapText="1"/>
      <protection hidden="1"/>
    </xf>
    <xf numFmtId="0" fontId="8" fillId="0" borderId="31" xfId="0" applyFont="1" applyBorder="1" applyAlignment="1" applyProtection="1">
      <alignment horizontal="center" vertical="center" wrapText="1"/>
      <protection hidden="1"/>
    </xf>
    <xf numFmtId="0" fontId="8" fillId="0" borderId="32" xfId="0" applyFont="1" applyBorder="1" applyAlignment="1" applyProtection="1">
      <alignment horizontal="center" vertical="center" wrapText="1"/>
      <protection hidden="1"/>
    </xf>
    <xf numFmtId="0" fontId="17" fillId="9" borderId="18" xfId="0" applyFont="1" applyFill="1" applyBorder="1" applyAlignment="1" applyProtection="1">
      <alignment horizontal="center" vertical="center" wrapText="1"/>
      <protection locked="0"/>
    </xf>
    <xf numFmtId="0" fontId="17" fillId="9" borderId="36" xfId="0" applyFont="1" applyFill="1" applyBorder="1" applyAlignment="1" applyProtection="1">
      <alignment horizontal="center" vertical="center" wrapText="1"/>
      <protection locked="0"/>
    </xf>
    <xf numFmtId="1" fontId="17" fillId="9" borderId="19" xfId="6" applyNumberFormat="1" applyFont="1" applyFill="1" applyBorder="1" applyAlignment="1" applyProtection="1">
      <alignment horizontal="center" vertical="center"/>
      <protection locked="0"/>
    </xf>
    <xf numFmtId="1" fontId="17" fillId="9" borderId="20" xfId="6" applyNumberFormat="1" applyFont="1" applyFill="1" applyBorder="1" applyAlignment="1" applyProtection="1">
      <alignment horizontal="center" vertical="center"/>
      <protection locked="0"/>
    </xf>
    <xf numFmtId="0" fontId="9" fillId="9" borderId="45" xfId="0" applyFont="1" applyFill="1" applyBorder="1" applyAlignment="1" applyProtection="1">
      <alignment vertical="center"/>
      <protection locked="0"/>
    </xf>
    <xf numFmtId="0" fontId="9" fillId="9" borderId="41" xfId="0" applyFont="1" applyFill="1" applyBorder="1" applyAlignment="1" applyProtection="1">
      <alignment vertical="center"/>
      <protection locked="0"/>
    </xf>
    <xf numFmtId="0" fontId="8" fillId="0" borderId="18" xfId="0" applyFont="1" applyBorder="1" applyAlignment="1" applyProtection="1">
      <alignment horizontal="center" vertical="center" wrapText="1"/>
      <protection hidden="1"/>
    </xf>
    <xf numFmtId="0" fontId="8" fillId="0" borderId="19" xfId="0" applyFont="1" applyBorder="1" applyAlignment="1" applyProtection="1">
      <alignment horizontal="center" vertical="center" wrapText="1"/>
      <protection hidden="1"/>
    </xf>
    <xf numFmtId="0" fontId="8" fillId="0" borderId="45" xfId="0" applyFont="1" applyBorder="1" applyAlignment="1" applyProtection="1">
      <alignment horizontal="center" vertical="center" wrapText="1"/>
      <protection hidden="1"/>
    </xf>
    <xf numFmtId="0" fontId="8" fillId="0" borderId="0" xfId="0" applyFont="1" applyAlignment="1" applyProtection="1">
      <alignment horizontal="center" vertical="center" wrapText="1"/>
      <protection hidden="1"/>
    </xf>
    <xf numFmtId="0" fontId="9" fillId="0" borderId="0" xfId="0" applyFont="1" applyAlignment="1" applyProtection="1">
      <alignment horizontal="center" vertical="center"/>
      <protection locked="0"/>
    </xf>
    <xf numFmtId="49" fontId="9" fillId="0" borderId="0" xfId="0" applyNumberFormat="1" applyFont="1" applyAlignment="1" applyProtection="1">
      <alignment vertical="center"/>
      <protection hidden="1"/>
    </xf>
    <xf numFmtId="0" fontId="8" fillId="0" borderId="30" xfId="0" applyFont="1" applyBorder="1" applyAlignment="1" applyProtection="1">
      <alignment horizontal="center" vertical="center"/>
      <protection hidden="1"/>
    </xf>
    <xf numFmtId="0" fontId="8" fillId="0" borderId="31" xfId="0" applyFont="1" applyBorder="1" applyAlignment="1" applyProtection="1">
      <alignment horizontal="center" vertical="center"/>
      <protection hidden="1"/>
    </xf>
    <xf numFmtId="0" fontId="8" fillId="0" borderId="17" xfId="0" applyFont="1" applyBorder="1" applyAlignment="1" applyProtection="1">
      <alignment horizontal="center" vertical="center" wrapText="1"/>
      <protection hidden="1"/>
    </xf>
    <xf numFmtId="0" fontId="15" fillId="9" borderId="42" xfId="0" applyFont="1" applyFill="1" applyBorder="1" applyAlignment="1" applyProtection="1">
      <alignment vertical="center"/>
      <protection locked="0"/>
    </xf>
    <xf numFmtId="0" fontId="15" fillId="0" borderId="43" xfId="0" applyFont="1" applyBorder="1" applyAlignment="1" applyProtection="1">
      <alignment vertical="center"/>
      <protection hidden="1"/>
    </xf>
    <xf numFmtId="0" fontId="15" fillId="0" borderId="44" xfId="0" applyFont="1" applyBorder="1" applyAlignment="1" applyProtection="1">
      <alignment vertical="center"/>
      <protection hidden="1"/>
    </xf>
    <xf numFmtId="0" fontId="8" fillId="0" borderId="40" xfId="0" applyFont="1" applyBorder="1" applyAlignment="1" applyProtection="1">
      <alignment horizontal="center" vertical="center" wrapText="1"/>
      <protection hidden="1"/>
    </xf>
    <xf numFmtId="0" fontId="9" fillId="9" borderId="34" xfId="0" applyFont="1" applyFill="1" applyBorder="1" applyAlignment="1" applyProtection="1">
      <alignment horizontal="left" vertical="center" wrapText="1"/>
      <protection locked="0"/>
    </xf>
    <xf numFmtId="0" fontId="9" fillId="0" borderId="40" xfId="0" applyFont="1" applyBorder="1" applyAlignment="1" applyProtection="1">
      <alignment horizontal="center" vertical="center" wrapText="1"/>
      <protection hidden="1"/>
    </xf>
    <xf numFmtId="0" fontId="8" fillId="0" borderId="41" xfId="0" applyFont="1" applyBorder="1" applyAlignment="1" applyProtection="1">
      <alignment horizontal="right" vertical="center" wrapText="1"/>
      <protection hidden="1"/>
    </xf>
    <xf numFmtId="0" fontId="9" fillId="9" borderId="45" xfId="0" applyFont="1" applyFill="1" applyBorder="1" applyAlignment="1" applyProtection="1">
      <alignment horizontal="center" vertical="center" wrapText="1"/>
      <protection locked="0"/>
    </xf>
    <xf numFmtId="0" fontId="9" fillId="0" borderId="16" xfId="0" applyFont="1" applyBorder="1" applyAlignment="1" applyProtection="1">
      <alignment horizontal="center" vertical="center" wrapText="1"/>
      <protection hidden="1"/>
    </xf>
    <xf numFmtId="0" fontId="9" fillId="0" borderId="42" xfId="0" applyFont="1" applyBorder="1" applyAlignment="1" applyProtection="1">
      <alignment horizontal="center" vertical="center" wrapText="1"/>
      <protection hidden="1"/>
    </xf>
    <xf numFmtId="0" fontId="9" fillId="0" borderId="0" xfId="0" applyFont="1" applyAlignment="1" applyProtection="1">
      <alignment horizontal="center" vertical="center" wrapText="1"/>
      <protection hidden="1"/>
    </xf>
    <xf numFmtId="0" fontId="26" fillId="0" borderId="0" xfId="0" applyFont="1" applyProtection="1">
      <protection hidden="1"/>
    </xf>
    <xf numFmtId="0" fontId="28" fillId="0" borderId="5" xfId="0" applyFont="1" applyBorder="1" applyAlignment="1" applyProtection="1">
      <alignment horizontal="right" wrapText="1"/>
      <protection hidden="1"/>
    </xf>
    <xf numFmtId="0" fontId="30" fillId="0" borderId="0" xfId="0" applyFont="1" applyProtection="1">
      <protection hidden="1"/>
    </xf>
    <xf numFmtId="0" fontId="30" fillId="0" borderId="0" xfId="0" applyFont="1" applyAlignment="1" applyProtection="1">
      <alignment horizontal="left"/>
      <protection hidden="1"/>
    </xf>
    <xf numFmtId="165" fontId="31" fillId="0" borderId="0" xfId="6" applyNumberFormat="1" applyFont="1" applyAlignment="1" applyProtection="1">
      <alignment horizontal="left" wrapText="1"/>
      <protection hidden="1"/>
    </xf>
    <xf numFmtId="2" fontId="31" fillId="0" borderId="0" xfId="6" applyNumberFormat="1" applyFont="1" applyAlignment="1" applyProtection="1">
      <alignment horizontal="left" wrapText="1"/>
      <protection hidden="1"/>
    </xf>
    <xf numFmtId="0" fontId="31" fillId="0" borderId="0" xfId="7" quotePrefix="1" applyFont="1" applyAlignment="1" applyProtection="1">
      <alignment horizontal="left" wrapText="1"/>
      <protection hidden="1"/>
    </xf>
    <xf numFmtId="0" fontId="30" fillId="0" borderId="0" xfId="0" applyFont="1" applyAlignment="1" applyProtection="1">
      <alignment horizontal="right"/>
      <protection hidden="1"/>
    </xf>
    <xf numFmtId="0" fontId="30" fillId="0" borderId="0" xfId="0" applyFont="1" applyAlignment="1" applyProtection="1">
      <alignment horizontal="left" wrapText="1"/>
      <protection hidden="1"/>
    </xf>
    <xf numFmtId="0" fontId="29" fillId="0" borderId="0" xfId="0" applyFont="1" applyAlignment="1" applyProtection="1">
      <alignment horizontal="right" wrapText="1"/>
      <protection hidden="1"/>
    </xf>
    <xf numFmtId="0" fontId="30" fillId="0" borderId="0" xfId="0" applyFont="1" applyAlignment="1" applyProtection="1">
      <alignment wrapText="1"/>
      <protection hidden="1"/>
    </xf>
    <xf numFmtId="0" fontId="34" fillId="0" borderId="22" xfId="0" applyFont="1" applyBorder="1" applyAlignment="1" applyProtection="1">
      <alignment horizontal="left"/>
      <protection hidden="1"/>
    </xf>
    <xf numFmtId="0" fontId="34" fillId="0" borderId="22" xfId="0" applyFont="1" applyBorder="1" applyAlignment="1" applyProtection="1">
      <alignment horizontal="right" wrapText="1"/>
      <protection hidden="1"/>
    </xf>
    <xf numFmtId="0" fontId="34" fillId="0" borderId="6" xfId="0" applyFont="1" applyBorder="1" applyAlignment="1" applyProtection="1">
      <alignment horizontal="right" wrapText="1"/>
      <protection hidden="1"/>
    </xf>
    <xf numFmtId="0" fontId="34" fillId="0" borderId="22" xfId="0" applyFont="1" applyBorder="1" applyAlignment="1" applyProtection="1">
      <alignment horizontal="left" wrapText="1"/>
      <protection hidden="1"/>
    </xf>
    <xf numFmtId="0" fontId="34" fillId="0" borderId="24" xfId="0" applyFont="1" applyBorder="1" applyAlignment="1" applyProtection="1">
      <alignment horizontal="left" wrapText="1"/>
      <protection hidden="1"/>
    </xf>
    <xf numFmtId="14" fontId="35" fillId="0" borderId="4" xfId="0" applyNumberFormat="1" applyFont="1" applyBorder="1" applyAlignment="1" applyProtection="1">
      <alignment horizontal="left"/>
      <protection hidden="1"/>
    </xf>
    <xf numFmtId="0" fontId="34" fillId="0" borderId="6" xfId="0" applyFont="1" applyBorder="1" applyAlignment="1" applyProtection="1">
      <alignment horizontal="left" wrapText="1"/>
      <protection hidden="1"/>
    </xf>
    <xf numFmtId="0" fontId="35" fillId="0" borderId="6" xfId="0" applyFont="1" applyBorder="1" applyAlignment="1" applyProtection="1">
      <alignment horizontal="left"/>
      <protection hidden="1"/>
    </xf>
    <xf numFmtId="14" fontId="35" fillId="0" borderId="7" xfId="0" applyNumberFormat="1" applyFont="1" applyBorder="1" applyAlignment="1" applyProtection="1">
      <alignment horizontal="left"/>
      <protection hidden="1"/>
    </xf>
    <xf numFmtId="0" fontId="35" fillId="0" borderId="4" xfId="0" applyFont="1" applyBorder="1" applyAlignment="1" applyProtection="1">
      <alignment horizontal="left"/>
      <protection hidden="1"/>
    </xf>
    <xf numFmtId="0" fontId="35" fillId="0" borderId="4" xfId="0" applyFont="1" applyBorder="1" applyProtection="1">
      <protection hidden="1"/>
    </xf>
    <xf numFmtId="0" fontId="34" fillId="0" borderId="0" xfId="0" applyFont="1" applyAlignment="1" applyProtection="1">
      <alignment horizontal="left"/>
      <protection hidden="1"/>
    </xf>
    <xf numFmtId="0" fontId="34" fillId="0" borderId="0" xfId="0" applyFont="1" applyAlignment="1" applyProtection="1">
      <alignment horizontal="left" wrapText="1"/>
      <protection hidden="1"/>
    </xf>
    <xf numFmtId="0" fontId="35" fillId="0" borderId="0" xfId="0" applyFont="1" applyAlignment="1" applyProtection="1">
      <alignment horizontal="left"/>
      <protection hidden="1"/>
    </xf>
    <xf numFmtId="0" fontId="34" fillId="0" borderId="0" xfId="0" applyFont="1" applyProtection="1">
      <protection hidden="1"/>
    </xf>
    <xf numFmtId="14" fontId="34" fillId="0" borderId="0" xfId="0" applyNumberFormat="1" applyFont="1" applyAlignment="1" applyProtection="1">
      <alignment horizontal="left"/>
      <protection hidden="1"/>
    </xf>
    <xf numFmtId="0" fontId="36" fillId="0" borderId="0" xfId="0" applyFont="1"/>
    <xf numFmtId="1" fontId="35" fillId="0" borderId="0" xfId="0" applyNumberFormat="1" applyFont="1" applyAlignment="1" applyProtection="1">
      <alignment horizontal="left"/>
      <protection hidden="1"/>
    </xf>
    <xf numFmtId="49" fontId="37" fillId="0" borderId="3" xfId="6" applyNumberFormat="1" applyFont="1" applyBorder="1" applyAlignment="1" applyProtection="1">
      <alignment horizontal="center" wrapText="1"/>
      <protection hidden="1"/>
    </xf>
    <xf numFmtId="0" fontId="25" fillId="0" borderId="0" xfId="0" applyFont="1" applyAlignment="1" applyProtection="1">
      <alignment horizontal="left"/>
      <protection hidden="1"/>
    </xf>
    <xf numFmtId="49" fontId="37" fillId="0" borderId="0" xfId="6" applyNumberFormat="1" applyFont="1" applyAlignment="1" applyProtection="1">
      <alignment horizontal="left" wrapText="1"/>
      <protection hidden="1"/>
    </xf>
    <xf numFmtId="0" fontId="25" fillId="0" borderId="0" xfId="0" applyFont="1" applyAlignment="1" applyProtection="1">
      <alignment horizontal="left" wrapText="1"/>
      <protection hidden="1"/>
    </xf>
    <xf numFmtId="49" fontId="37" fillId="0" borderId="3" xfId="6" applyNumberFormat="1" applyFont="1" applyBorder="1" applyAlignment="1" applyProtection="1">
      <alignment horizontal="left" wrapText="1"/>
      <protection hidden="1"/>
    </xf>
    <xf numFmtId="165" fontId="40" fillId="0" borderId="3" xfId="6" applyNumberFormat="1" applyFont="1" applyBorder="1" applyAlignment="1" applyProtection="1">
      <alignment horizontal="left" wrapText="1"/>
      <protection hidden="1"/>
    </xf>
    <xf numFmtId="165" fontId="40" fillId="0" borderId="0" xfId="6" applyNumberFormat="1" applyFont="1" applyAlignment="1" applyProtection="1">
      <alignment horizontal="left" wrapText="1"/>
      <protection hidden="1"/>
    </xf>
    <xf numFmtId="2" fontId="40" fillId="0" borderId="0" xfId="6" applyNumberFormat="1" applyFont="1" applyAlignment="1" applyProtection="1">
      <alignment horizontal="left" wrapText="1"/>
      <protection hidden="1"/>
    </xf>
    <xf numFmtId="165" fontId="40" fillId="0" borderId="5" xfId="6" applyNumberFormat="1" applyFont="1" applyBorder="1" applyAlignment="1" applyProtection="1">
      <alignment horizontal="left" wrapText="1"/>
      <protection hidden="1"/>
    </xf>
    <xf numFmtId="165" fontId="40" fillId="0" borderId="6" xfId="6" applyNumberFormat="1" applyFont="1" applyBorder="1" applyAlignment="1" applyProtection="1">
      <alignment horizontal="left" wrapText="1"/>
      <protection hidden="1"/>
    </xf>
    <xf numFmtId="2" fontId="40" fillId="0" borderId="6" xfId="6" applyNumberFormat="1" applyFont="1" applyBorder="1" applyAlignment="1" applyProtection="1">
      <alignment horizontal="left" wrapText="1"/>
      <protection hidden="1"/>
    </xf>
    <xf numFmtId="12" fontId="40" fillId="0" borderId="3" xfId="8" applyNumberFormat="1" applyFont="1" applyBorder="1" applyAlignment="1" applyProtection="1">
      <alignment horizontal="left" wrapText="1"/>
      <protection hidden="1"/>
    </xf>
    <xf numFmtId="12" fontId="40" fillId="0" borderId="4" xfId="8" applyNumberFormat="1" applyFont="1" applyBorder="1" applyAlignment="1" applyProtection="1">
      <alignment horizontal="left" wrapText="1"/>
      <protection hidden="1"/>
    </xf>
    <xf numFmtId="0" fontId="39" fillId="0" borderId="22" xfId="0" applyFont="1" applyBorder="1" applyAlignment="1" applyProtection="1">
      <alignment horizontal="left"/>
      <protection hidden="1"/>
    </xf>
    <xf numFmtId="0" fontId="25" fillId="0" borderId="22" xfId="0" applyFont="1" applyBorder="1" applyAlignment="1" applyProtection="1">
      <alignment horizontal="center"/>
      <protection hidden="1"/>
    </xf>
    <xf numFmtId="0" fontId="25" fillId="0" borderId="24" xfId="0" applyFont="1" applyBorder="1" applyAlignment="1" applyProtection="1">
      <alignment horizontal="center"/>
      <protection hidden="1"/>
    </xf>
    <xf numFmtId="0" fontId="39" fillId="0" borderId="3" xfId="0" applyFont="1" applyBorder="1" applyAlignment="1" applyProtection="1">
      <alignment horizontal="right"/>
      <protection hidden="1"/>
    </xf>
    <xf numFmtId="0" fontId="39" fillId="0" borderId="0" xfId="0" applyFont="1" applyAlignment="1" applyProtection="1">
      <alignment horizontal="right"/>
      <protection hidden="1"/>
    </xf>
    <xf numFmtId="0" fontId="39" fillId="0" borderId="0" xfId="0" applyFont="1" applyAlignment="1" applyProtection="1">
      <alignment horizontal="left"/>
      <protection hidden="1"/>
    </xf>
    <xf numFmtId="0" fontId="39" fillId="0" borderId="4" xfId="0" applyFont="1" applyBorder="1" applyAlignment="1" applyProtection="1">
      <alignment horizontal="left" wrapText="1"/>
      <protection hidden="1"/>
    </xf>
    <xf numFmtId="0" fontId="39" fillId="0" borderId="0" xfId="0" applyFont="1" applyAlignment="1" applyProtection="1">
      <alignment horizontal="center" wrapText="1"/>
      <protection hidden="1"/>
    </xf>
    <xf numFmtId="0" fontId="39" fillId="0" borderId="4" xfId="0" applyFont="1" applyBorder="1" applyAlignment="1" applyProtection="1">
      <alignment horizontal="center" wrapText="1"/>
      <protection hidden="1"/>
    </xf>
    <xf numFmtId="0" fontId="39" fillId="0" borderId="4" xfId="0" applyFont="1" applyBorder="1" applyAlignment="1" applyProtection="1">
      <alignment horizontal="left"/>
      <protection hidden="1"/>
    </xf>
    <xf numFmtId="0" fontId="39" fillId="0" borderId="3" xfId="0" applyFont="1" applyBorder="1" applyAlignment="1" applyProtection="1">
      <alignment horizontal="right" wrapText="1"/>
      <protection hidden="1"/>
    </xf>
    <xf numFmtId="0" fontId="39" fillId="0" borderId="5" xfId="0" applyFont="1" applyBorder="1" applyAlignment="1" applyProtection="1">
      <alignment horizontal="right"/>
      <protection hidden="1"/>
    </xf>
    <xf numFmtId="0" fontId="39" fillId="0" borderId="6" xfId="0" applyFont="1" applyBorder="1" applyAlignment="1" applyProtection="1">
      <alignment horizontal="right"/>
      <protection hidden="1"/>
    </xf>
    <xf numFmtId="0" fontId="39" fillId="0" borderId="6" xfId="0" applyFont="1" applyBorder="1" applyAlignment="1" applyProtection="1">
      <alignment horizontal="left"/>
      <protection hidden="1"/>
    </xf>
    <xf numFmtId="0" fontId="39" fillId="0" borderId="7" xfId="0" applyFont="1" applyBorder="1" applyAlignment="1" applyProtection="1">
      <alignment horizontal="left"/>
      <protection hidden="1"/>
    </xf>
    <xf numFmtId="0" fontId="39" fillId="0" borderId="6" xfId="0" applyFont="1" applyBorder="1" applyAlignment="1" applyProtection="1">
      <alignment horizontal="center" wrapText="1"/>
      <protection hidden="1"/>
    </xf>
    <xf numFmtId="0" fontId="39" fillId="0" borderId="7" xfId="0" applyFont="1" applyBorder="1" applyAlignment="1" applyProtection="1">
      <alignment horizontal="center" wrapText="1"/>
      <protection hidden="1"/>
    </xf>
    <xf numFmtId="0" fontId="25" fillId="0" borderId="21" xfId="0" applyFont="1" applyBorder="1" applyAlignment="1" applyProtection="1">
      <alignment horizontal="center"/>
      <protection hidden="1"/>
    </xf>
    <xf numFmtId="0" fontId="25" fillId="0" borderId="22" xfId="0" applyFont="1" applyBorder="1" applyAlignment="1" applyProtection="1">
      <alignment horizontal="left"/>
      <protection hidden="1"/>
    </xf>
    <xf numFmtId="0" fontId="25" fillId="0" borderId="24" xfId="0" applyFont="1" applyBorder="1" applyAlignment="1" applyProtection="1">
      <alignment horizontal="left"/>
      <protection hidden="1"/>
    </xf>
    <xf numFmtId="0" fontId="39" fillId="0" borderId="3" xfId="0" applyFont="1" applyBorder="1" applyAlignment="1" applyProtection="1">
      <alignment horizontal="center"/>
      <protection hidden="1"/>
    </xf>
    <xf numFmtId="0" fontId="39" fillId="0" borderId="5" xfId="0" applyFont="1" applyBorder="1" applyAlignment="1" applyProtection="1">
      <alignment horizontal="center"/>
      <protection hidden="1"/>
    </xf>
    <xf numFmtId="0" fontId="39" fillId="0" borderId="0" xfId="0" applyFont="1" applyAlignment="1" applyProtection="1">
      <alignment horizontal="left" wrapText="1"/>
      <protection hidden="1"/>
    </xf>
    <xf numFmtId="0" fontId="39" fillId="0" borderId="3" xfId="0" applyFont="1" applyBorder="1" applyAlignment="1" applyProtection="1">
      <alignment horizontal="left"/>
      <protection hidden="1"/>
    </xf>
    <xf numFmtId="0" fontId="39" fillId="0" borderId="0" xfId="0" applyFont="1" applyProtection="1">
      <protection hidden="1"/>
    </xf>
    <xf numFmtId="0" fontId="39" fillId="0" borderId="4" xfId="0" applyFont="1" applyBorder="1" applyProtection="1">
      <protection hidden="1"/>
    </xf>
    <xf numFmtId="0" fontId="25" fillId="0" borderId="5" xfId="0" applyFont="1" applyBorder="1" applyAlignment="1" applyProtection="1">
      <alignment horizontal="right" wrapText="1"/>
      <protection hidden="1"/>
    </xf>
    <xf numFmtId="0" fontId="25" fillId="0" borderId="6" xfId="0" applyFont="1" applyBorder="1" applyAlignment="1" applyProtection="1">
      <alignment horizontal="right" wrapText="1"/>
      <protection hidden="1"/>
    </xf>
    <xf numFmtId="0" fontId="39" fillId="0" borderId="6" xfId="0" applyFont="1" applyBorder="1" applyAlignment="1" applyProtection="1">
      <alignment horizontal="center"/>
      <protection hidden="1"/>
    </xf>
    <xf numFmtId="0" fontId="39" fillId="0" borderId="7" xfId="0" applyFont="1" applyBorder="1" applyAlignment="1" applyProtection="1">
      <alignment horizontal="center"/>
      <protection hidden="1"/>
    </xf>
    <xf numFmtId="0" fontId="25" fillId="0" borderId="3" xfId="0" applyFont="1" applyBorder="1" applyAlignment="1" applyProtection="1">
      <alignment horizontal="center" wrapText="1"/>
      <protection hidden="1"/>
    </xf>
    <xf numFmtId="0" fontId="39" fillId="0" borderId="3" xfId="0" applyFont="1" applyBorder="1" applyAlignment="1" applyProtection="1">
      <alignment horizontal="left" wrapText="1"/>
      <protection hidden="1"/>
    </xf>
    <xf numFmtId="0" fontId="25" fillId="0" borderId="21" xfId="0" applyFont="1" applyBorder="1" applyAlignment="1" applyProtection="1">
      <alignment horizontal="left"/>
      <protection hidden="1"/>
    </xf>
    <xf numFmtId="0" fontId="39" fillId="0" borderId="4" xfId="0" applyFont="1" applyBorder="1" applyAlignment="1" applyProtection="1">
      <alignment horizontal="center"/>
      <protection hidden="1"/>
    </xf>
    <xf numFmtId="0" fontId="25" fillId="0" borderId="22" xfId="0" applyFont="1" applyBorder="1" applyAlignment="1" applyProtection="1">
      <alignment horizontal="left" wrapText="1"/>
      <protection hidden="1"/>
    </xf>
    <xf numFmtId="0" fontId="39" fillId="0" borderId="5" xfId="0" applyFont="1" applyBorder="1" applyAlignment="1" applyProtection="1">
      <alignment horizontal="left" wrapText="1"/>
      <protection hidden="1"/>
    </xf>
    <xf numFmtId="0" fontId="39" fillId="0" borderId="6" xfId="0" applyFont="1" applyBorder="1" applyAlignment="1" applyProtection="1">
      <alignment horizontal="left" wrapText="1"/>
      <protection hidden="1"/>
    </xf>
    <xf numFmtId="0" fontId="39" fillId="0" borderId="7" xfId="0" applyFont="1" applyBorder="1" applyAlignment="1" applyProtection="1">
      <alignment horizontal="left" wrapText="1"/>
      <protection hidden="1"/>
    </xf>
    <xf numFmtId="0" fontId="25" fillId="0" borderId="24" xfId="0" applyFont="1" applyBorder="1" applyAlignment="1" applyProtection="1">
      <alignment horizontal="left" wrapText="1"/>
      <protection hidden="1"/>
    </xf>
    <xf numFmtId="0" fontId="25" fillId="0" borderId="3" xfId="0" applyFont="1" applyBorder="1" applyAlignment="1" applyProtection="1">
      <alignment horizontal="right" wrapText="1"/>
      <protection hidden="1"/>
    </xf>
    <xf numFmtId="0" fontId="25" fillId="0" borderId="0" xfId="0" applyFont="1" applyAlignment="1" applyProtection="1">
      <alignment wrapText="1"/>
      <protection hidden="1"/>
    </xf>
    <xf numFmtId="0" fontId="39" fillId="0" borderId="6" xfId="0" applyFont="1" applyBorder="1" applyProtection="1">
      <protection hidden="1"/>
    </xf>
    <xf numFmtId="0" fontId="39" fillId="0" borderId="22" xfId="0" applyFont="1" applyBorder="1" applyAlignment="1" applyProtection="1">
      <alignment horizontal="left" wrapText="1"/>
      <protection hidden="1"/>
    </xf>
    <xf numFmtId="49" fontId="27" fillId="0" borderId="22" xfId="0" applyNumberFormat="1" applyFont="1" applyBorder="1" applyAlignment="1" applyProtection="1">
      <alignment horizontal="left" wrapText="1"/>
      <protection hidden="1"/>
    </xf>
    <xf numFmtId="0" fontId="39" fillId="0" borderId="0" xfId="0" applyFont="1" applyAlignment="1" applyProtection="1">
      <alignment horizontal="center"/>
      <protection hidden="1"/>
    </xf>
    <xf numFmtId="49" fontId="27" fillId="0" borderId="24" xfId="0" applyNumberFormat="1" applyFont="1" applyBorder="1" applyAlignment="1" applyProtection="1">
      <alignment horizontal="left" wrapText="1"/>
      <protection hidden="1"/>
    </xf>
    <xf numFmtId="49" fontId="27" fillId="0" borderId="33" xfId="0" applyNumberFormat="1" applyFont="1" applyBorder="1" applyAlignment="1" applyProtection="1">
      <alignment horizontal="left" wrapText="1"/>
      <protection hidden="1"/>
    </xf>
    <xf numFmtId="49" fontId="27" fillId="0" borderId="27" xfId="0" applyNumberFormat="1" applyFont="1" applyBorder="1" applyAlignment="1" applyProtection="1">
      <alignment horizontal="left" wrapText="1"/>
      <protection hidden="1"/>
    </xf>
    <xf numFmtId="166" fontId="0" fillId="0" borderId="0" xfId="0" applyNumberFormat="1"/>
    <xf numFmtId="9" fontId="0" fillId="0" borderId="0" xfId="5" applyFont="1"/>
    <xf numFmtId="1" fontId="0" fillId="0" borderId="0" xfId="0" applyNumberFormat="1"/>
    <xf numFmtId="1" fontId="41" fillId="4" borderId="37" xfId="0" applyNumberFormat="1" applyFont="1" applyFill="1" applyBorder="1" applyAlignment="1" applyProtection="1">
      <alignment horizontal="center" vertical="center"/>
      <protection locked="0"/>
    </xf>
    <xf numFmtId="0" fontId="41" fillId="4" borderId="16" xfId="0" applyFont="1" applyFill="1" applyBorder="1" applyAlignment="1" applyProtection="1">
      <alignment horizontal="center" vertical="center"/>
      <protection locked="0"/>
    </xf>
    <xf numFmtId="49" fontId="41" fillId="4" borderId="16" xfId="0" applyNumberFormat="1" applyFont="1" applyFill="1" applyBorder="1" applyAlignment="1" applyProtection="1">
      <alignment horizontal="center" vertical="center"/>
      <protection locked="0"/>
    </xf>
    <xf numFmtId="0" fontId="41" fillId="4" borderId="42" xfId="0" applyFont="1" applyFill="1" applyBorder="1" applyAlignment="1" applyProtection="1">
      <alignment horizontal="center" vertical="center"/>
      <protection locked="0"/>
    </xf>
    <xf numFmtId="0" fontId="45" fillId="0" borderId="0" xfId="6" applyFont="1" applyAlignment="1" applyProtection="1">
      <alignment wrapText="1"/>
      <protection hidden="1"/>
    </xf>
    <xf numFmtId="0" fontId="24" fillId="0" borderId="0" xfId="0" applyFont="1" applyAlignment="1" applyProtection="1">
      <alignment horizontal="right"/>
      <protection hidden="1"/>
    </xf>
    <xf numFmtId="0" fontId="46" fillId="0" borderId="0" xfId="0" applyFont="1" applyProtection="1">
      <protection hidden="1"/>
    </xf>
    <xf numFmtId="14" fontId="24" fillId="0" borderId="0" xfId="0" applyNumberFormat="1" applyFont="1" applyAlignment="1" applyProtection="1">
      <alignment horizontal="left"/>
      <protection hidden="1"/>
    </xf>
    <xf numFmtId="0" fontId="43" fillId="0" borderId="0" xfId="0" applyFont="1"/>
    <xf numFmtId="0" fontId="48" fillId="0" borderId="0" xfId="0" applyFont="1" applyAlignment="1">
      <alignment horizontal="justify" vertical="center"/>
    </xf>
    <xf numFmtId="0" fontId="47" fillId="0" borderId="0" xfId="0" applyFont="1"/>
    <xf numFmtId="0" fontId="50" fillId="0" borderId="0" xfId="0" applyFont="1"/>
    <xf numFmtId="0" fontId="0" fillId="0" borderId="0" xfId="0" applyAlignment="1">
      <alignment wrapText="1"/>
    </xf>
    <xf numFmtId="0" fontId="42" fillId="0" borderId="59" xfId="0" applyFont="1" applyBorder="1" applyAlignment="1">
      <alignment horizontal="center" vertical="center"/>
    </xf>
    <xf numFmtId="14" fontId="52" fillId="12" borderId="60" xfId="0" applyNumberFormat="1" applyFont="1" applyFill="1" applyBorder="1" applyAlignment="1" applyProtection="1">
      <alignment horizontal="center" vertical="center"/>
      <protection locked="0"/>
    </xf>
    <xf numFmtId="0" fontId="4" fillId="0" borderId="22" xfId="0" applyFont="1" applyBorder="1" applyAlignment="1">
      <alignment vertical="top" wrapText="1"/>
    </xf>
    <xf numFmtId="0" fontId="0" fillId="0" borderId="22" xfId="0" applyBorder="1"/>
    <xf numFmtId="0" fontId="0" fillId="0" borderId="0" xfId="0" applyAlignment="1">
      <alignment horizontal="right"/>
    </xf>
    <xf numFmtId="0" fontId="40" fillId="0" borderId="3" xfId="0" applyFont="1" applyBorder="1" applyAlignment="1" applyProtection="1">
      <alignment horizontal="center" vertical="top" wrapText="1"/>
      <protection hidden="1"/>
    </xf>
    <xf numFmtId="0" fontId="40" fillId="0" borderId="0" xfId="0" applyFont="1" applyAlignment="1" applyProtection="1">
      <alignment horizontal="center" vertical="top" wrapText="1"/>
      <protection hidden="1"/>
    </xf>
    <xf numFmtId="0" fontId="39" fillId="0" borderId="21" xfId="0" applyFont="1" applyBorder="1" applyAlignment="1" applyProtection="1">
      <alignment horizontal="center" wrapText="1"/>
      <protection hidden="1"/>
    </xf>
    <xf numFmtId="0" fontId="39" fillId="0" borderId="3" xfId="0" applyFont="1" applyBorder="1" applyAlignment="1" applyProtection="1">
      <alignment horizontal="center" wrapText="1"/>
      <protection hidden="1"/>
    </xf>
    <xf numFmtId="0" fontId="39" fillId="0" borderId="5" xfId="0" applyFont="1" applyBorder="1" applyAlignment="1" applyProtection="1">
      <alignment horizontal="center" wrapText="1"/>
      <protection hidden="1"/>
    </xf>
    <xf numFmtId="0" fontId="39" fillId="0" borderId="24" xfId="0" applyFont="1" applyBorder="1" applyAlignment="1" applyProtection="1">
      <alignment horizontal="center" wrapText="1"/>
      <protection hidden="1"/>
    </xf>
    <xf numFmtId="0" fontId="61" fillId="0" borderId="64" xfId="0" applyFont="1" applyBorder="1"/>
    <xf numFmtId="0" fontId="2" fillId="2" borderId="0" xfId="1" applyFont="1" applyFill="1"/>
    <xf numFmtId="0" fontId="64" fillId="9" borderId="17" xfId="8" applyFont="1" applyFill="1" applyBorder="1" applyAlignment="1" applyProtection="1">
      <alignment horizontal="center" vertical="center"/>
      <protection locked="0"/>
    </xf>
    <xf numFmtId="0" fontId="65" fillId="9" borderId="17" xfId="0" applyFont="1" applyFill="1" applyBorder="1" applyAlignment="1" applyProtection="1">
      <alignment vertical="center"/>
      <protection locked="0"/>
    </xf>
    <xf numFmtId="0" fontId="65" fillId="9" borderId="65" xfId="0" applyFont="1" applyFill="1" applyBorder="1" applyAlignment="1" applyProtection="1">
      <alignment vertical="center"/>
      <protection locked="0"/>
    </xf>
    <xf numFmtId="0" fontId="65" fillId="9" borderId="66" xfId="0" applyFont="1" applyFill="1" applyBorder="1" applyAlignment="1" applyProtection="1">
      <alignment vertical="center"/>
      <protection locked="0"/>
    </xf>
    <xf numFmtId="0" fontId="64" fillId="9" borderId="66" xfId="8" applyFont="1" applyFill="1" applyBorder="1" applyAlignment="1" applyProtection="1">
      <alignment horizontal="center" vertical="center"/>
      <protection locked="0"/>
    </xf>
    <xf numFmtId="0" fontId="65" fillId="9" borderId="67" xfId="0" applyFont="1" applyFill="1" applyBorder="1" applyAlignment="1" applyProtection="1">
      <alignment vertical="center"/>
      <protection locked="0"/>
    </xf>
    <xf numFmtId="0" fontId="61" fillId="0" borderId="68" xfId="0" applyFont="1" applyBorder="1"/>
    <xf numFmtId="0" fontId="61" fillId="0" borderId="69" xfId="0" applyFont="1" applyBorder="1"/>
    <xf numFmtId="0" fontId="61" fillId="0" borderId="70" xfId="0" applyFont="1" applyBorder="1"/>
    <xf numFmtId="0" fontId="61" fillId="0" borderId="6" xfId="0" applyFont="1" applyBorder="1"/>
    <xf numFmtId="0" fontId="61" fillId="0" borderId="7" xfId="0" applyFont="1" applyBorder="1"/>
    <xf numFmtId="0" fontId="61" fillId="0" borderId="71" xfId="0" applyFont="1" applyBorder="1"/>
    <xf numFmtId="0" fontId="61" fillId="0" borderId="72" xfId="0" applyFont="1" applyBorder="1"/>
    <xf numFmtId="0" fontId="61" fillId="0" borderId="5" xfId="0" applyFont="1" applyBorder="1"/>
    <xf numFmtId="14" fontId="0" fillId="0" borderId="0" xfId="0" applyNumberFormat="1" applyAlignment="1">
      <alignment horizontal="center"/>
    </xf>
    <xf numFmtId="14" fontId="0" fillId="0" borderId="12" xfId="0" applyNumberFormat="1" applyBorder="1" applyAlignment="1">
      <alignment horizontal="center"/>
    </xf>
    <xf numFmtId="2" fontId="0" fillId="0" borderId="0" xfId="0" applyNumberFormat="1" applyAlignment="1">
      <alignment horizontal="center"/>
    </xf>
    <xf numFmtId="2" fontId="0" fillId="0" borderId="12" xfId="0" applyNumberFormat="1" applyBorder="1" applyAlignment="1">
      <alignment horizontal="center"/>
    </xf>
    <xf numFmtId="166" fontId="0" fillId="0" borderId="0" xfId="0" applyNumberFormat="1" applyAlignment="1">
      <alignment horizontal="centerContinuous"/>
    </xf>
    <xf numFmtId="166" fontId="0" fillId="0" borderId="12" xfId="0" applyNumberFormat="1" applyBorder="1" applyAlignment="1">
      <alignment horizontal="centerContinuous"/>
    </xf>
    <xf numFmtId="2" fontId="0" fillId="0" borderId="14" xfId="0" applyNumberFormat="1" applyBorder="1" applyAlignment="1">
      <alignment horizontal="centerContinuous"/>
    </xf>
    <xf numFmtId="2" fontId="0" fillId="0" borderId="15" xfId="0" applyNumberFormat="1" applyBorder="1" applyAlignment="1">
      <alignment horizontal="centerContinuous"/>
    </xf>
    <xf numFmtId="0" fontId="4" fillId="0" borderId="16" xfId="0" applyFont="1" applyBorder="1" applyAlignment="1">
      <alignment vertical="top" wrapText="1"/>
    </xf>
    <xf numFmtId="0" fontId="4" fillId="0" borderId="33" xfId="0" applyFont="1" applyBorder="1" applyAlignment="1">
      <alignment vertical="top" wrapText="1"/>
    </xf>
    <xf numFmtId="0" fontId="4" fillId="0" borderId="27" xfId="0" applyFont="1" applyBorder="1" applyAlignment="1">
      <alignment vertical="top" wrapText="1"/>
    </xf>
    <xf numFmtId="0" fontId="53" fillId="0" borderId="62" xfId="0" applyFont="1" applyBorder="1" applyAlignment="1">
      <alignment vertical="top" wrapText="1"/>
    </xf>
    <xf numFmtId="0" fontId="66" fillId="14" borderId="24" xfId="0" applyFont="1" applyFill="1" applyBorder="1" applyAlignment="1">
      <alignment vertical="top" wrapText="1"/>
    </xf>
    <xf numFmtId="0" fontId="0" fillId="0" borderId="9" xfId="0" applyBorder="1"/>
    <xf numFmtId="0" fontId="0" fillId="0" borderId="14" xfId="0" applyBorder="1"/>
    <xf numFmtId="0" fontId="6" fillId="0" borderId="0" xfId="0" applyFont="1"/>
    <xf numFmtId="0" fontId="0" fillId="0" borderId="0" xfId="0" applyAlignment="1">
      <alignment vertical="top"/>
    </xf>
    <xf numFmtId="0" fontId="25" fillId="0" borderId="0" xfId="0" applyFont="1" applyAlignment="1" applyProtection="1">
      <alignment vertical="center"/>
      <protection hidden="1"/>
    </xf>
    <xf numFmtId="0" fontId="9" fillId="0" borderId="17" xfId="0" applyFont="1" applyBorder="1" applyAlignment="1" applyProtection="1">
      <alignment vertical="center"/>
      <protection hidden="1"/>
    </xf>
    <xf numFmtId="0" fontId="9" fillId="0" borderId="52" xfId="0" applyFont="1" applyBorder="1" applyAlignment="1" applyProtection="1">
      <alignment vertical="center"/>
      <protection hidden="1"/>
    </xf>
    <xf numFmtId="49" fontId="9" fillId="9" borderId="28" xfId="0" applyNumberFormat="1" applyFont="1" applyFill="1" applyBorder="1" applyAlignment="1" applyProtection="1">
      <alignment horizontal="center" vertical="center"/>
      <protection locked="0"/>
    </xf>
    <xf numFmtId="49" fontId="9" fillId="9" borderId="21" xfId="0" applyNumberFormat="1" applyFont="1" applyFill="1" applyBorder="1" applyAlignment="1" applyProtection="1">
      <alignment horizontal="center" vertical="center"/>
      <protection locked="0"/>
    </xf>
    <xf numFmtId="49" fontId="9" fillId="9" borderId="16" xfId="0" applyNumberFormat="1" applyFont="1" applyFill="1" applyBorder="1" applyAlignment="1" applyProtection="1">
      <alignment horizontal="center" vertical="center"/>
      <protection locked="0"/>
    </xf>
    <xf numFmtId="49" fontId="9" fillId="0" borderId="33" xfId="0" applyNumberFormat="1" applyFont="1" applyBorder="1" applyAlignment="1" applyProtection="1">
      <alignment horizontal="center" vertical="center"/>
      <protection hidden="1"/>
    </xf>
    <xf numFmtId="49" fontId="9" fillId="0" borderId="27" xfId="0" applyNumberFormat="1" applyFont="1" applyBorder="1" applyAlignment="1" applyProtection="1">
      <alignment horizontal="center" vertical="center"/>
      <protection hidden="1"/>
    </xf>
    <xf numFmtId="49" fontId="9" fillId="0" borderId="17" xfId="0" applyNumberFormat="1" applyFont="1" applyBorder="1" applyAlignment="1" applyProtection="1">
      <alignment horizontal="center" vertical="center"/>
      <protection hidden="1"/>
    </xf>
    <xf numFmtId="2" fontId="9" fillId="9" borderId="21" xfId="0" applyNumberFormat="1" applyFont="1" applyFill="1" applyBorder="1" applyAlignment="1" applyProtection="1">
      <alignment vertical="center"/>
      <protection locked="0"/>
    </xf>
    <xf numFmtId="0" fontId="9" fillId="9" borderId="18" xfId="0" applyFont="1" applyFill="1" applyBorder="1" applyAlignment="1" applyProtection="1">
      <alignment horizontal="center" vertical="center"/>
      <protection locked="0"/>
    </xf>
    <xf numFmtId="0" fontId="9" fillId="9" borderId="19" xfId="0" applyFont="1" applyFill="1" applyBorder="1" applyAlignment="1" applyProtection="1">
      <alignment horizontal="center" vertical="center" wrapText="1"/>
      <protection locked="0"/>
    </xf>
    <xf numFmtId="0" fontId="9" fillId="9" borderId="19" xfId="0" applyFont="1" applyFill="1" applyBorder="1" applyAlignment="1" applyProtection="1">
      <alignment horizontal="center" vertical="center"/>
      <protection locked="0"/>
    </xf>
    <xf numFmtId="0" fontId="9" fillId="10" borderId="51" xfId="0" applyFont="1" applyFill="1" applyBorder="1" applyAlignment="1" applyProtection="1">
      <alignment vertical="center"/>
      <protection hidden="1"/>
    </xf>
    <xf numFmtId="0" fontId="9" fillId="10" borderId="14" xfId="0" applyFont="1" applyFill="1" applyBorder="1" applyAlignment="1" applyProtection="1">
      <alignment vertical="center"/>
      <protection hidden="1"/>
    </xf>
    <xf numFmtId="0" fontId="9" fillId="10" borderId="73" xfId="0" applyFont="1" applyFill="1" applyBorder="1" applyAlignment="1" applyProtection="1">
      <alignment vertical="center"/>
      <protection hidden="1"/>
    </xf>
    <xf numFmtId="0" fontId="43" fillId="0" borderId="0" xfId="0" applyFont="1" applyAlignment="1">
      <alignment wrapText="1"/>
    </xf>
    <xf numFmtId="2" fontId="9" fillId="9" borderId="17" xfId="0" applyNumberFormat="1" applyFont="1" applyFill="1" applyBorder="1" applyAlignment="1" applyProtection="1">
      <alignment horizontal="center" vertical="center"/>
      <protection locked="0"/>
    </xf>
    <xf numFmtId="2" fontId="18" fillId="9" borderId="17" xfId="8" applyNumberFormat="1" applyFont="1" applyFill="1" applyBorder="1" applyAlignment="1" applyProtection="1">
      <alignment horizontal="center" vertical="center"/>
      <protection locked="0"/>
    </xf>
    <xf numFmtId="0" fontId="18" fillId="9" borderId="17" xfId="8" applyFont="1" applyFill="1" applyBorder="1" applyAlignment="1" applyProtection="1">
      <alignment horizontal="center" vertical="center"/>
      <protection locked="0"/>
    </xf>
    <xf numFmtId="0" fontId="18" fillId="9" borderId="17" xfId="0" applyFont="1" applyFill="1" applyBorder="1" applyAlignment="1" applyProtection="1">
      <alignment vertical="center" wrapText="1"/>
      <protection locked="0"/>
    </xf>
    <xf numFmtId="49" fontId="65" fillId="9" borderId="17" xfId="0" applyNumberFormat="1" applyFont="1" applyFill="1" applyBorder="1" applyAlignment="1" applyProtection="1">
      <alignment vertical="center"/>
      <protection locked="0"/>
    </xf>
    <xf numFmtId="49" fontId="9" fillId="9" borderId="17" xfId="0" applyNumberFormat="1" applyFont="1" applyFill="1" applyBorder="1" applyAlignment="1" applyProtection="1">
      <alignment horizontal="left" vertical="center"/>
      <protection locked="0"/>
    </xf>
    <xf numFmtId="0" fontId="9" fillId="9" borderId="26" xfId="0" applyFont="1" applyFill="1" applyBorder="1" applyAlignment="1" applyProtection="1">
      <alignment vertical="center"/>
      <protection locked="0"/>
    </xf>
    <xf numFmtId="0" fontId="9" fillId="0" borderId="74" xfId="0" applyFont="1" applyBorder="1" applyAlignment="1" applyProtection="1">
      <alignment horizontal="center" vertical="center"/>
      <protection hidden="1"/>
    </xf>
    <xf numFmtId="0" fontId="9" fillId="9" borderId="7" xfId="0" applyFont="1" applyFill="1" applyBorder="1" applyAlignment="1" applyProtection="1">
      <alignment horizontal="center" vertical="center"/>
      <protection locked="0"/>
    </xf>
    <xf numFmtId="0" fontId="9" fillId="9" borderId="75" xfId="0" applyFont="1" applyFill="1" applyBorder="1" applyAlignment="1" applyProtection="1">
      <alignment horizontal="center" vertical="center"/>
      <protection locked="0"/>
    </xf>
    <xf numFmtId="0" fontId="18" fillId="9" borderId="26" xfId="8" applyFont="1" applyFill="1" applyBorder="1" applyAlignment="1" applyProtection="1">
      <alignment horizontal="center" vertical="center"/>
      <protection locked="0"/>
    </xf>
    <xf numFmtId="0" fontId="61" fillId="16" borderId="68" xfId="0" applyFont="1" applyFill="1" applyBorder="1"/>
    <xf numFmtId="0" fontId="61" fillId="16" borderId="64" xfId="0" applyFont="1" applyFill="1" applyBorder="1"/>
    <xf numFmtId="0" fontId="61" fillId="0" borderId="0" xfId="0" applyFont="1"/>
    <xf numFmtId="0" fontId="67" fillId="0" borderId="0" xfId="0" applyFont="1"/>
    <xf numFmtId="0" fontId="61" fillId="0" borderId="0" xfId="0" applyFont="1" applyAlignment="1">
      <alignment vertical="top" wrapText="1"/>
    </xf>
    <xf numFmtId="0" fontId="51" fillId="0" borderId="0" xfId="0" applyFont="1"/>
    <xf numFmtId="9" fontId="0" fillId="0" borderId="0" xfId="0" applyNumberFormat="1"/>
    <xf numFmtId="0" fontId="9" fillId="0" borderId="54" xfId="0" applyFont="1" applyBorder="1" applyAlignment="1" applyProtection="1">
      <alignment horizontal="center" vertical="center"/>
      <protection hidden="1"/>
    </xf>
    <xf numFmtId="0" fontId="9" fillId="9" borderId="76" xfId="0" applyFont="1" applyFill="1" applyBorder="1" applyAlignment="1" applyProtection="1">
      <alignment horizontal="center" vertical="center"/>
      <protection locked="0"/>
    </xf>
    <xf numFmtId="0" fontId="9" fillId="9" borderId="77" xfId="0" applyFont="1" applyFill="1" applyBorder="1" applyAlignment="1" applyProtection="1">
      <alignment horizontal="center" vertical="center"/>
      <protection locked="0"/>
    </xf>
    <xf numFmtId="0" fontId="9" fillId="9" borderId="78" xfId="0" applyFont="1" applyFill="1" applyBorder="1" applyAlignment="1" applyProtection="1">
      <alignment horizontal="left" vertical="center" wrapText="1"/>
      <protection locked="0"/>
    </xf>
    <xf numFmtId="0" fontId="9" fillId="10" borderId="79" xfId="0" applyFont="1" applyFill="1" applyBorder="1" applyAlignment="1" applyProtection="1">
      <alignment vertical="center"/>
      <protection hidden="1"/>
    </xf>
    <xf numFmtId="0" fontId="9" fillId="10" borderId="55" xfId="0" applyFont="1" applyFill="1" applyBorder="1" applyAlignment="1" applyProtection="1">
      <alignment vertical="center"/>
      <protection hidden="1"/>
    </xf>
    <xf numFmtId="0" fontId="9" fillId="10" borderId="76" xfId="0" applyFont="1" applyFill="1" applyBorder="1" applyAlignment="1" applyProtection="1">
      <alignment vertical="center"/>
      <protection hidden="1"/>
    </xf>
    <xf numFmtId="0" fontId="18" fillId="9" borderId="65" xfId="8" applyFont="1" applyFill="1" applyBorder="1" applyAlignment="1" applyProtection="1">
      <alignment horizontal="center" vertical="center"/>
      <protection locked="0"/>
    </xf>
    <xf numFmtId="0" fontId="18" fillId="9" borderId="27" xfId="8" applyFont="1" applyFill="1" applyBorder="1" applyAlignment="1" applyProtection="1">
      <alignment horizontal="center" vertical="center"/>
      <protection locked="0"/>
    </xf>
    <xf numFmtId="12" fontId="18" fillId="9" borderId="17" xfId="8" applyNumberFormat="1" applyFont="1" applyFill="1" applyBorder="1" applyAlignment="1" applyProtection="1">
      <alignment horizontal="center" vertical="center" wrapText="1"/>
      <protection locked="0"/>
    </xf>
    <xf numFmtId="0" fontId="51" fillId="5" borderId="6" xfId="0" applyFont="1" applyFill="1" applyBorder="1" applyAlignment="1">
      <alignment horizontal="left" vertical="top" wrapText="1"/>
    </xf>
    <xf numFmtId="0" fontId="50" fillId="0" borderId="0" xfId="0" applyFont="1" applyAlignment="1">
      <alignment horizontal="left"/>
    </xf>
    <xf numFmtId="0" fontId="15" fillId="0" borderId="33" xfId="0" applyFont="1" applyBorder="1" applyAlignment="1" applyProtection="1">
      <alignment vertical="center"/>
      <protection hidden="1"/>
    </xf>
    <xf numFmtId="166" fontId="34" fillId="0" borderId="0" xfId="0" applyNumberFormat="1" applyFont="1" applyAlignment="1" applyProtection="1">
      <alignment horizontal="left"/>
      <protection hidden="1"/>
    </xf>
    <xf numFmtId="12" fontId="40" fillId="0" borderId="0" xfId="8" applyNumberFormat="1" applyFont="1" applyAlignment="1" applyProtection="1">
      <alignment horizontal="left" wrapText="1"/>
      <protection hidden="1"/>
    </xf>
    <xf numFmtId="14" fontId="15" fillId="0" borderId="0" xfId="0" applyNumberFormat="1" applyFont="1" applyAlignment="1" applyProtection="1">
      <alignment vertical="center"/>
      <protection hidden="1"/>
    </xf>
    <xf numFmtId="0" fontId="16" fillId="0" borderId="0" xfId="0" applyFont="1" applyAlignment="1">
      <alignment horizontal="left" vertical="center"/>
    </xf>
    <xf numFmtId="14" fontId="16" fillId="0" borderId="0" xfId="0" applyNumberFormat="1" applyFont="1" applyAlignment="1" applyProtection="1">
      <alignment horizontal="left" vertical="center"/>
      <protection locked="0"/>
    </xf>
    <xf numFmtId="0" fontId="9" fillId="0" borderId="52" xfId="0" applyFont="1" applyBorder="1" applyAlignment="1" applyProtection="1">
      <alignment horizontal="center" vertical="center"/>
      <protection hidden="1"/>
    </xf>
    <xf numFmtId="0" fontId="21" fillId="0" borderId="30" xfId="0" applyFont="1" applyBorder="1" applyAlignment="1" applyProtection="1">
      <alignment horizontal="center" vertical="center"/>
      <protection hidden="1"/>
    </xf>
    <xf numFmtId="49" fontId="22" fillId="0" borderId="31" xfId="6" applyNumberFormat="1" applyFont="1" applyBorder="1" applyAlignment="1" applyProtection="1">
      <alignment horizontal="center" vertical="center" wrapText="1"/>
      <protection hidden="1"/>
    </xf>
    <xf numFmtId="0" fontId="21" fillId="0" borderId="31" xfId="0" applyFont="1" applyBorder="1" applyAlignment="1" applyProtection="1">
      <alignment horizontal="center" vertical="center" wrapText="1"/>
      <protection hidden="1"/>
    </xf>
    <xf numFmtId="0" fontId="23" fillId="0" borderId="31" xfId="0" applyFont="1" applyBorder="1" applyAlignment="1" applyProtection="1">
      <alignment horizontal="center" vertical="center" wrapText="1"/>
      <protection hidden="1"/>
    </xf>
    <xf numFmtId="0" fontId="23" fillId="0" borderId="32" xfId="0" applyFont="1" applyBorder="1" applyAlignment="1" applyProtection="1">
      <alignment horizontal="center" vertical="center" wrapText="1"/>
      <protection hidden="1"/>
    </xf>
    <xf numFmtId="0" fontId="39" fillId="0" borderId="0" xfId="0" applyFont="1" applyAlignment="1" applyProtection="1">
      <alignment horizontal="center" vertical="center"/>
      <protection hidden="1"/>
    </xf>
    <xf numFmtId="0" fontId="39" fillId="0" borderId="3" xfId="0" applyFont="1" applyBorder="1" applyAlignment="1" applyProtection="1">
      <alignment horizontal="right" vertical="center" wrapText="1"/>
      <protection hidden="1"/>
    </xf>
    <xf numFmtId="0" fontId="0" fillId="0" borderId="0" xfId="0" applyAlignment="1">
      <alignment horizontal="center" vertical="center"/>
    </xf>
    <xf numFmtId="0" fontId="0" fillId="0" borderId="0" xfId="0" applyAlignment="1">
      <alignment horizontal="center"/>
    </xf>
    <xf numFmtId="0" fontId="7" fillId="0" borderId="17" xfId="1" applyFont="1" applyBorder="1" applyAlignment="1">
      <alignment horizontal="center" vertical="center" textRotation="90" wrapText="1"/>
    </xf>
    <xf numFmtId="0" fontId="4" fillId="13" borderId="16" xfId="1" applyFont="1" applyFill="1" applyBorder="1" applyAlignment="1">
      <alignment horizontal="center" vertical="center" wrapText="1"/>
    </xf>
    <xf numFmtId="0" fontId="61" fillId="0" borderId="0" xfId="0" applyFont="1" applyAlignment="1">
      <alignment vertical="center"/>
    </xf>
    <xf numFmtId="166" fontId="7" fillId="0" borderId="16" xfId="1" applyNumberFormat="1" applyFont="1" applyBorder="1" applyAlignment="1">
      <alignment horizontal="right" vertical="center" wrapText="1"/>
    </xf>
    <xf numFmtId="14" fontId="4" fillId="0" borderId="27" xfId="1" applyNumberFormat="1" applyFont="1" applyBorder="1" applyAlignment="1">
      <alignment horizontal="left" vertical="center"/>
    </xf>
    <xf numFmtId="166" fontId="7" fillId="0" borderId="3" xfId="0" applyNumberFormat="1" applyFont="1" applyBorder="1" applyAlignment="1">
      <alignment horizontal="right" vertical="center" wrapText="1"/>
    </xf>
    <xf numFmtId="14" fontId="4" fillId="0" borderId="4" xfId="1" applyNumberFormat="1" applyFont="1" applyBorder="1" applyAlignment="1">
      <alignment horizontal="left" vertical="center"/>
    </xf>
    <xf numFmtId="166" fontId="7" fillId="5" borderId="16" xfId="1" applyNumberFormat="1" applyFont="1" applyFill="1" applyBorder="1" applyAlignment="1">
      <alignment horizontal="right" vertical="center" wrapText="1"/>
    </xf>
    <xf numFmtId="166" fontId="7" fillId="0" borderId="16" xfId="0" applyNumberFormat="1" applyFont="1" applyBorder="1" applyAlignment="1">
      <alignment horizontal="right" vertical="center"/>
    </xf>
    <xf numFmtId="166" fontId="7" fillId="0" borderId="16" xfId="0" applyNumberFormat="1" applyFont="1" applyBorder="1" applyAlignment="1">
      <alignment horizontal="right" vertical="center" wrapText="1"/>
    </xf>
    <xf numFmtId="166" fontId="7" fillId="5" borderId="3" xfId="1" applyNumberFormat="1" applyFont="1" applyFill="1" applyBorder="1" applyAlignment="1">
      <alignment horizontal="right" vertical="center" wrapText="1"/>
    </xf>
    <xf numFmtId="2" fontId="4" fillId="0" borderId="4" xfId="1" applyNumberFormat="1" applyFont="1" applyBorder="1" applyAlignment="1">
      <alignment horizontal="left" vertical="center"/>
    </xf>
    <xf numFmtId="0" fontId="4" fillId="0" borderId="21" xfId="0" applyFont="1" applyBorder="1" applyAlignment="1">
      <alignment horizontal="center" vertical="center"/>
    </xf>
    <xf numFmtId="0" fontId="7" fillId="0" borderId="22" xfId="0" applyFont="1" applyBorder="1" applyAlignment="1">
      <alignment horizontal="center" vertical="center"/>
    </xf>
    <xf numFmtId="0" fontId="7" fillId="0" borderId="24" xfId="0" applyFont="1" applyBorder="1" applyAlignment="1">
      <alignment horizontal="center" vertical="center"/>
    </xf>
    <xf numFmtId="0" fontId="4" fillId="0" borderId="16" xfId="0" applyFont="1" applyBorder="1" applyAlignment="1">
      <alignment horizontal="center" vertical="center"/>
    </xf>
    <xf numFmtId="0" fontId="7" fillId="0" borderId="33" xfId="0" applyFont="1" applyBorder="1" applyAlignment="1">
      <alignment horizontal="center" vertical="center"/>
    </xf>
    <xf numFmtId="0" fontId="7" fillId="0" borderId="27" xfId="0" applyFont="1" applyBorder="1" applyAlignment="1">
      <alignment horizontal="center" vertical="center"/>
    </xf>
    <xf numFmtId="0" fontId="4" fillId="0" borderId="3" xfId="0" applyFont="1" applyBorder="1" applyAlignment="1">
      <alignment horizontal="center" vertical="center"/>
    </xf>
    <xf numFmtId="0" fontId="7" fillId="0" borderId="0" xfId="0" applyFont="1" applyAlignment="1">
      <alignment horizontal="center" vertical="center"/>
    </xf>
    <xf numFmtId="0" fontId="7" fillId="0" borderId="4" xfId="0" applyFont="1" applyBorder="1" applyAlignment="1">
      <alignment horizontal="center" vertical="center"/>
    </xf>
    <xf numFmtId="0" fontId="7" fillId="0" borderId="3" xfId="0" applyFont="1" applyBorder="1"/>
    <xf numFmtId="0" fontId="7" fillId="0" borderId="4" xfId="0" applyFont="1" applyBorder="1"/>
    <xf numFmtId="0" fontId="7" fillId="0" borderId="6" xfId="0" applyFont="1" applyBorder="1" applyAlignment="1">
      <alignment vertical="center"/>
    </xf>
    <xf numFmtId="0" fontId="7" fillId="0" borderId="16" xfId="1" applyFont="1" applyBorder="1" applyAlignment="1">
      <alignment vertical="center"/>
    </xf>
    <xf numFmtId="0" fontId="7" fillId="0" borderId="16" xfId="0" applyFont="1" applyBorder="1" applyAlignment="1">
      <alignment vertical="center" textRotation="90"/>
    </xf>
    <xf numFmtId="1" fontId="7" fillId="0" borderId="22" xfId="0" applyNumberFormat="1" applyFont="1" applyBorder="1" applyAlignment="1">
      <alignment horizontal="left" vertical="center"/>
    </xf>
    <xf numFmtId="1" fontId="7" fillId="0" borderId="0" xfId="0" applyNumberFormat="1" applyFont="1" applyAlignment="1">
      <alignment horizontal="left" vertical="center"/>
    </xf>
    <xf numFmtId="2" fontId="7" fillId="0" borderId="21" xfId="0" applyNumberFormat="1" applyFont="1" applyBorder="1" applyAlignment="1">
      <alignment horizontal="right" vertical="center"/>
    </xf>
    <xf numFmtId="2" fontId="7" fillId="0" borderId="3" xfId="0" applyNumberFormat="1" applyFont="1" applyBorder="1" applyAlignment="1">
      <alignment horizontal="right" vertical="center"/>
    </xf>
    <xf numFmtId="14" fontId="4" fillId="0" borderId="0" xfId="0" applyNumberFormat="1" applyFont="1" applyAlignment="1">
      <alignment horizontal="left"/>
    </xf>
    <xf numFmtId="2" fontId="4" fillId="0" borderId="27" xfId="1" applyNumberFormat="1" applyFont="1" applyBorder="1" applyAlignment="1">
      <alignment horizontal="left" vertical="center"/>
    </xf>
    <xf numFmtId="0" fontId="40" fillId="0" borderId="0" xfId="8" applyFont="1" applyAlignment="1" applyProtection="1">
      <alignment horizontal="left" wrapText="1"/>
      <protection hidden="1"/>
    </xf>
    <xf numFmtId="2" fontId="40" fillId="0" borderId="0" xfId="8" applyNumberFormat="1" applyFont="1" applyAlignment="1" applyProtection="1">
      <alignment horizontal="left" wrapText="1"/>
      <protection hidden="1"/>
    </xf>
    <xf numFmtId="12" fontId="40" fillId="0" borderId="8" xfId="8" applyNumberFormat="1" applyFont="1" applyBorder="1" applyAlignment="1" applyProtection="1">
      <alignment horizontal="left" wrapText="1"/>
      <protection hidden="1"/>
    </xf>
    <xf numFmtId="12" fontId="40" fillId="0" borderId="9" xfId="8" applyNumberFormat="1" applyFont="1" applyBorder="1" applyAlignment="1" applyProtection="1">
      <alignment horizontal="left" wrapText="1"/>
      <protection hidden="1"/>
    </xf>
    <xf numFmtId="2" fontId="40" fillId="0" borderId="9" xfId="8" applyNumberFormat="1" applyFont="1" applyBorder="1" applyAlignment="1" applyProtection="1">
      <alignment horizontal="left" wrapText="1"/>
      <protection hidden="1"/>
    </xf>
    <xf numFmtId="0" fontId="40" fillId="0" borderId="9" xfId="8" applyFont="1" applyBorder="1" applyAlignment="1" applyProtection="1">
      <alignment horizontal="left" wrapText="1"/>
      <protection hidden="1"/>
    </xf>
    <xf numFmtId="12" fontId="40" fillId="0" borderId="10" xfId="8" applyNumberFormat="1" applyFont="1" applyBorder="1" applyAlignment="1" applyProtection="1">
      <alignment horizontal="left" wrapText="1"/>
      <protection hidden="1"/>
    </xf>
    <xf numFmtId="12" fontId="40" fillId="0" borderId="11" xfId="8" applyNumberFormat="1" applyFont="1" applyBorder="1" applyAlignment="1" applyProtection="1">
      <alignment horizontal="left" wrapText="1"/>
      <protection hidden="1"/>
    </xf>
    <xf numFmtId="12" fontId="40" fillId="0" borderId="12" xfId="8" applyNumberFormat="1" applyFont="1" applyBorder="1" applyAlignment="1" applyProtection="1">
      <alignment horizontal="left" wrapText="1"/>
      <protection hidden="1"/>
    </xf>
    <xf numFmtId="12" fontId="40" fillId="0" borderId="13" xfId="8" applyNumberFormat="1" applyFont="1" applyBorder="1" applyAlignment="1" applyProtection="1">
      <alignment horizontal="left" wrapText="1"/>
      <protection hidden="1"/>
    </xf>
    <xf numFmtId="12" fontId="40" fillId="0" borderId="14" xfId="8" applyNumberFormat="1" applyFont="1" applyBorder="1" applyAlignment="1" applyProtection="1">
      <alignment horizontal="left" wrapText="1"/>
      <protection hidden="1"/>
    </xf>
    <xf numFmtId="2" fontId="40" fillId="0" borderId="14" xfId="8" applyNumberFormat="1" applyFont="1" applyBorder="1" applyAlignment="1" applyProtection="1">
      <alignment horizontal="left" wrapText="1"/>
      <protection hidden="1"/>
    </xf>
    <xf numFmtId="0" fontId="40" fillId="0" borderId="14" xfId="8" applyFont="1" applyBorder="1" applyAlignment="1" applyProtection="1">
      <alignment horizontal="left" wrapText="1"/>
      <protection hidden="1"/>
    </xf>
    <xf numFmtId="12" fontId="40" fillId="0" borderId="15" xfId="8" applyNumberFormat="1" applyFont="1" applyBorder="1" applyAlignment="1" applyProtection="1">
      <alignment horizontal="left" wrapText="1"/>
      <protection hidden="1"/>
    </xf>
    <xf numFmtId="0" fontId="7" fillId="0" borderId="3" xfId="0" applyFont="1" applyBorder="1" applyAlignment="1">
      <alignment vertical="center" wrapText="1"/>
    </xf>
    <xf numFmtId="14" fontId="7" fillId="0" borderId="29" xfId="0" applyNumberFormat="1" applyFont="1" applyBorder="1" applyAlignment="1">
      <alignment vertical="center" textRotation="90"/>
    </xf>
    <xf numFmtId="166" fontId="0" fillId="0" borderId="0" xfId="0" applyNumberFormat="1" applyAlignment="1">
      <alignment horizontal="center"/>
    </xf>
    <xf numFmtId="0" fontId="4" fillId="0" borderId="33" xfId="0" applyFont="1" applyBorder="1" applyAlignment="1">
      <alignment horizontal="center" vertical="center"/>
    </xf>
    <xf numFmtId="0" fontId="4" fillId="0" borderId="27" xfId="0" applyFont="1" applyBorder="1" applyAlignment="1">
      <alignment horizontal="center" vertical="center"/>
    </xf>
    <xf numFmtId="0" fontId="42" fillId="0" borderId="56" xfId="0" applyFont="1" applyBorder="1" applyAlignment="1">
      <alignment horizontal="center" vertical="center"/>
    </xf>
    <xf numFmtId="0" fontId="52" fillId="0" borderId="15" xfId="0" applyFont="1" applyBorder="1" applyAlignment="1">
      <alignment horizontal="center" vertical="center"/>
    </xf>
    <xf numFmtId="0" fontId="23" fillId="0" borderId="85" xfId="0" applyFont="1" applyBorder="1" applyAlignment="1" applyProtection="1">
      <alignment horizontal="center" vertical="center" wrapText="1"/>
      <protection hidden="1"/>
    </xf>
    <xf numFmtId="0" fontId="23" fillId="0" borderId="86" xfId="0" applyFont="1" applyBorder="1" applyAlignment="1" applyProtection="1">
      <alignment horizontal="center" vertical="center" wrapText="1"/>
      <protection hidden="1"/>
    </xf>
    <xf numFmtId="12" fontId="18" fillId="9" borderId="34" xfId="8" applyNumberFormat="1" applyFont="1" applyFill="1" applyBorder="1" applyAlignment="1" applyProtection="1">
      <alignment horizontal="left" vertical="center"/>
      <protection locked="0"/>
    </xf>
    <xf numFmtId="12" fontId="18" fillId="9" borderId="27" xfId="8" applyNumberFormat="1" applyFont="1" applyFill="1" applyBorder="1" applyAlignment="1" applyProtection="1">
      <alignment horizontal="left" vertical="center"/>
      <protection locked="0"/>
    </xf>
    <xf numFmtId="0" fontId="8" fillId="0" borderId="46" xfId="0" applyFont="1" applyBorder="1" applyAlignment="1" applyProtection="1">
      <alignment horizontal="center" vertical="center" wrapText="1"/>
      <protection hidden="1"/>
    </xf>
    <xf numFmtId="0" fontId="8" fillId="0" borderId="34" xfId="0" applyFont="1" applyBorder="1" applyAlignment="1" applyProtection="1">
      <alignment horizontal="center" vertical="center" wrapText="1"/>
      <protection hidden="1"/>
    </xf>
    <xf numFmtId="2" fontId="18" fillId="4" borderId="40" xfId="6" applyNumberFormat="1" applyFont="1" applyFill="1" applyBorder="1" applyAlignment="1" applyProtection="1">
      <alignment horizontal="left" vertical="center"/>
      <protection hidden="1"/>
    </xf>
    <xf numFmtId="2" fontId="18" fillId="4" borderId="48" xfId="6" applyNumberFormat="1" applyFont="1" applyFill="1" applyBorder="1" applyAlignment="1" applyProtection="1">
      <alignment horizontal="left" vertical="center"/>
      <protection hidden="1"/>
    </xf>
    <xf numFmtId="0" fontId="9" fillId="17" borderId="37" xfId="0" applyFont="1" applyFill="1" applyBorder="1" applyAlignment="1" applyProtection="1">
      <alignment horizontal="center" vertical="center"/>
      <protection locked="0"/>
    </xf>
    <xf numFmtId="2" fontId="18" fillId="5" borderId="17" xfId="6" applyNumberFormat="1" applyFont="1" applyFill="1" applyBorder="1" applyAlignment="1" applyProtection="1">
      <alignment horizontal="center" vertical="center" wrapText="1"/>
      <protection locked="0"/>
    </xf>
    <xf numFmtId="20" fontId="18" fillId="5" borderId="17" xfId="6" applyNumberFormat="1" applyFont="1" applyFill="1" applyBorder="1" applyAlignment="1" applyProtection="1">
      <alignment horizontal="center" vertical="center" wrapText="1"/>
      <protection locked="0"/>
    </xf>
    <xf numFmtId="0" fontId="9" fillId="5" borderId="17" xfId="0" quotePrefix="1" applyFont="1" applyFill="1" applyBorder="1" applyAlignment="1" applyProtection="1">
      <alignment vertical="center" wrapText="1"/>
      <protection locked="0"/>
    </xf>
    <xf numFmtId="2" fontId="9" fillId="5" borderId="17" xfId="0" applyNumberFormat="1" applyFont="1" applyFill="1" applyBorder="1" applyAlignment="1" applyProtection="1">
      <alignment horizontal="center" vertical="center" wrapText="1"/>
      <protection locked="0"/>
    </xf>
    <xf numFmtId="0" fontId="9" fillId="18" borderId="17" xfId="0" applyFont="1" applyFill="1" applyBorder="1" applyAlignment="1" applyProtection="1">
      <alignment vertical="center" wrapText="1"/>
      <protection locked="0"/>
    </xf>
    <xf numFmtId="2" fontId="18" fillId="9" borderId="17" xfId="0" applyNumberFormat="1" applyFont="1" applyFill="1" applyBorder="1" applyAlignment="1" applyProtection="1">
      <alignment horizontal="left" vertical="center"/>
      <protection locked="0"/>
    </xf>
    <xf numFmtId="0" fontId="17" fillId="0" borderId="31" xfId="0" applyFont="1" applyBorder="1" applyAlignment="1" applyProtection="1">
      <alignment horizontal="center" vertical="center" wrapText="1"/>
      <protection hidden="1"/>
    </xf>
    <xf numFmtId="0" fontId="9" fillId="9" borderId="28" xfId="0" applyFont="1" applyFill="1" applyBorder="1" applyAlignment="1" applyProtection="1">
      <alignment vertical="center"/>
      <protection locked="0"/>
    </xf>
    <xf numFmtId="0" fontId="9" fillId="9" borderId="57" xfId="0" applyFont="1" applyFill="1" applyBorder="1" applyAlignment="1" applyProtection="1">
      <alignment vertical="center"/>
      <protection locked="0"/>
    </xf>
    <xf numFmtId="0" fontId="8" fillId="0" borderId="41" xfId="0" applyFont="1" applyBorder="1" applyAlignment="1" applyProtection="1">
      <alignment horizontal="center" vertical="center" wrapText="1"/>
      <protection hidden="1"/>
    </xf>
    <xf numFmtId="0" fontId="9" fillId="9" borderId="17" xfId="0" applyFont="1" applyFill="1" applyBorder="1" applyAlignment="1" applyProtection="1">
      <alignment horizontal="center" vertical="center" wrapText="1"/>
      <protection locked="0" hidden="1"/>
    </xf>
    <xf numFmtId="0" fontId="9" fillId="9" borderId="17" xfId="0" applyFont="1" applyFill="1" applyBorder="1" applyAlignment="1" applyProtection="1">
      <alignment horizontal="center" vertical="center"/>
      <protection locked="0" hidden="1"/>
    </xf>
    <xf numFmtId="0" fontId="9" fillId="18" borderId="17" xfId="0" applyFont="1" applyFill="1" applyBorder="1" applyAlignment="1" applyProtection="1">
      <alignment vertical="center"/>
      <protection locked="0"/>
    </xf>
    <xf numFmtId="49" fontId="8" fillId="0" borderId="17" xfId="0" applyNumberFormat="1" applyFont="1" applyBorder="1" applyAlignment="1" applyProtection="1">
      <alignment horizontal="center" vertical="center"/>
      <protection hidden="1"/>
    </xf>
    <xf numFmtId="49" fontId="8" fillId="0" borderId="17" xfId="0" applyNumberFormat="1" applyFont="1" applyBorder="1" applyAlignment="1" applyProtection="1">
      <alignment horizontal="center" vertical="center" wrapText="1"/>
      <protection hidden="1"/>
    </xf>
    <xf numFmtId="0" fontId="8" fillId="0" borderId="17" xfId="0" applyFont="1" applyBorder="1" applyAlignment="1" applyProtection="1">
      <alignment horizontal="center" vertical="center"/>
      <protection hidden="1"/>
    </xf>
    <xf numFmtId="0" fontId="8" fillId="0" borderId="17" xfId="0" applyFont="1" applyBorder="1" applyAlignment="1" applyProtection="1">
      <alignment horizontal="center" vertical="center"/>
      <protection locked="0" hidden="1"/>
    </xf>
    <xf numFmtId="0" fontId="18" fillId="9" borderId="36" xfId="8" applyFont="1" applyFill="1" applyBorder="1" applyAlignment="1" applyProtection="1">
      <alignment horizontal="center" vertical="center"/>
      <protection locked="0"/>
    </xf>
    <xf numFmtId="0" fontId="18" fillId="9" borderId="19" xfId="8" applyFont="1" applyFill="1" applyBorder="1" applyAlignment="1" applyProtection="1">
      <alignment horizontal="center" vertical="center"/>
      <protection locked="0"/>
    </xf>
    <xf numFmtId="2" fontId="9" fillId="9" borderId="19" xfId="0" applyNumberFormat="1" applyFont="1" applyFill="1" applyBorder="1" applyAlignment="1" applyProtection="1">
      <alignment horizontal="center" vertical="center"/>
      <protection locked="0"/>
    </xf>
    <xf numFmtId="2" fontId="18" fillId="9" borderId="19" xfId="8" applyNumberFormat="1" applyFont="1" applyFill="1" applyBorder="1" applyAlignment="1" applyProtection="1">
      <alignment horizontal="center" vertical="center"/>
      <protection locked="0"/>
    </xf>
    <xf numFmtId="49" fontId="18" fillId="9" borderId="19" xfId="8" applyNumberFormat="1" applyFont="1" applyFill="1" applyBorder="1" applyAlignment="1" applyProtection="1">
      <alignment horizontal="center" vertical="center"/>
      <protection locked="0"/>
    </xf>
    <xf numFmtId="0" fontId="18" fillId="9" borderId="20" xfId="8" applyFont="1" applyFill="1" applyBorder="1" applyAlignment="1" applyProtection="1">
      <alignment horizontal="center" vertical="center"/>
      <protection locked="0"/>
    </xf>
    <xf numFmtId="49" fontId="18" fillId="9" borderId="17" xfId="8" applyNumberFormat="1" applyFont="1" applyFill="1" applyBorder="1" applyAlignment="1" applyProtection="1">
      <alignment horizontal="center" vertical="center"/>
      <protection locked="0"/>
    </xf>
    <xf numFmtId="0" fontId="18" fillId="9" borderId="40" xfId="8" applyFont="1" applyFill="1" applyBorder="1" applyAlignment="1" applyProtection="1">
      <alignment horizontal="center" vertical="center"/>
      <protection locked="0"/>
    </xf>
    <xf numFmtId="49" fontId="18" fillId="9" borderId="17" xfId="8" applyNumberFormat="1" applyFont="1" applyFill="1" applyBorder="1" applyAlignment="1" applyProtection="1">
      <alignment horizontal="center" vertical="center" wrapText="1"/>
      <protection locked="0"/>
    </xf>
    <xf numFmtId="0" fontId="9" fillId="9" borderId="17" xfId="0" applyFont="1" applyFill="1" applyBorder="1" applyAlignment="1" applyProtection="1">
      <alignment horizontal="left" vertical="center" wrapText="1"/>
      <protection locked="0"/>
    </xf>
    <xf numFmtId="1" fontId="17" fillId="9" borderId="36" xfId="0" applyNumberFormat="1" applyFont="1" applyFill="1" applyBorder="1" applyAlignment="1" applyProtection="1">
      <alignment horizontal="center" vertical="center"/>
      <protection locked="0"/>
    </xf>
    <xf numFmtId="0" fontId="72" fillId="9" borderId="42" xfId="10" applyFont="1" applyFill="1" applyBorder="1" applyAlignment="1" applyProtection="1">
      <alignment vertical="center" wrapText="1"/>
      <protection locked="0"/>
    </xf>
    <xf numFmtId="164" fontId="18" fillId="0" borderId="17" xfId="6" applyNumberFormat="1" applyFont="1" applyBorder="1" applyAlignment="1" applyProtection="1">
      <alignment horizontal="center" vertical="center" wrapText="1"/>
      <protection hidden="1"/>
    </xf>
    <xf numFmtId="2" fontId="18" fillId="0" borderId="17" xfId="6" applyNumberFormat="1" applyFont="1" applyBorder="1" applyAlignment="1" applyProtection="1">
      <alignment horizontal="center" vertical="center" wrapText="1"/>
      <protection hidden="1"/>
    </xf>
    <xf numFmtId="2" fontId="18" fillId="0" borderId="17" xfId="6" applyNumberFormat="1" applyFont="1" applyBorder="1" applyAlignment="1" applyProtection="1">
      <alignment horizontal="left" vertical="center" wrapText="1"/>
      <protection hidden="1"/>
    </xf>
    <xf numFmtId="2" fontId="18" fillId="5" borderId="45" xfId="6" applyNumberFormat="1" applyFont="1" applyFill="1" applyBorder="1" applyAlignment="1" applyProtection="1">
      <alignment horizontal="center" vertical="center" wrapText="1"/>
      <protection locked="0"/>
    </xf>
    <xf numFmtId="0" fontId="9" fillId="18" borderId="40" xfId="0" applyFont="1" applyFill="1" applyBorder="1" applyAlignment="1" applyProtection="1">
      <alignment vertical="center" wrapText="1"/>
      <protection locked="0"/>
    </xf>
    <xf numFmtId="0" fontId="18" fillId="9" borderId="17" xfId="0" applyFont="1" applyFill="1" applyBorder="1" applyAlignment="1" applyProtection="1">
      <alignment horizontal="center" vertical="center" wrapText="1"/>
      <protection locked="0"/>
    </xf>
    <xf numFmtId="0" fontId="18" fillId="9" borderId="17" xfId="0" applyFont="1" applyFill="1" applyBorder="1" applyAlignment="1" applyProtection="1">
      <alignment horizontal="center" vertical="center"/>
      <protection locked="0"/>
    </xf>
    <xf numFmtId="0" fontId="18" fillId="9" borderId="17" xfId="0" applyFont="1" applyFill="1" applyBorder="1" applyAlignment="1" applyProtection="1">
      <alignment vertical="center"/>
      <protection locked="0"/>
    </xf>
    <xf numFmtId="0" fontId="18" fillId="0" borderId="43" xfId="0" applyFont="1" applyBorder="1" applyAlignment="1" applyProtection="1">
      <alignment vertical="center" wrapText="1"/>
      <protection hidden="1"/>
    </xf>
    <xf numFmtId="0" fontId="18" fillId="0" borderId="44" xfId="0" applyFont="1" applyBorder="1" applyAlignment="1" applyProtection="1">
      <alignment vertical="center" wrapText="1"/>
      <protection hidden="1"/>
    </xf>
    <xf numFmtId="0" fontId="18" fillId="9" borderId="17" xfId="0" applyFont="1" applyFill="1" applyBorder="1" applyAlignment="1" applyProtection="1">
      <alignment horizontal="left" vertical="center"/>
      <protection locked="0"/>
    </xf>
    <xf numFmtId="0" fontId="9" fillId="9" borderId="57" xfId="0" applyFont="1" applyFill="1" applyBorder="1" applyAlignment="1" applyProtection="1">
      <alignment horizontal="center" vertical="center"/>
      <protection locked="0"/>
    </xf>
    <xf numFmtId="0" fontId="8" fillId="0" borderId="87" xfId="0" applyFont="1" applyBorder="1" applyAlignment="1" applyProtection="1">
      <alignment horizontal="center" vertical="center" wrapText="1"/>
      <protection hidden="1"/>
    </xf>
    <xf numFmtId="0" fontId="18" fillId="9" borderId="26" xfId="0" applyFont="1" applyFill="1" applyBorder="1" applyAlignment="1" applyProtection="1">
      <alignment vertical="center"/>
      <protection locked="0"/>
    </xf>
    <xf numFmtId="0" fontId="9" fillId="9" borderId="26" xfId="0" applyFont="1" applyFill="1" applyBorder="1" applyAlignment="1" applyProtection="1">
      <alignment horizontal="center" vertical="center"/>
      <protection locked="0"/>
    </xf>
    <xf numFmtId="0" fontId="18" fillId="9" borderId="52" xfId="0" applyFont="1" applyFill="1" applyBorder="1" applyAlignment="1" applyProtection="1">
      <alignment vertical="center"/>
      <protection locked="0"/>
    </xf>
    <xf numFmtId="0" fontId="9" fillId="9" borderId="52" xfId="0" applyFont="1" applyFill="1" applyBorder="1" applyAlignment="1" applyProtection="1">
      <alignment horizontal="center" vertical="center"/>
      <protection locked="0"/>
    </xf>
    <xf numFmtId="49" fontId="18" fillId="9" borderId="17" xfId="0" applyNumberFormat="1" applyFont="1" applyFill="1" applyBorder="1" applyAlignment="1" applyProtection="1">
      <alignment horizontal="center" vertical="center"/>
      <protection locked="0"/>
    </xf>
    <xf numFmtId="2" fontId="18" fillId="9" borderId="17" xfId="0" applyNumberFormat="1" applyFont="1" applyFill="1" applyBorder="1" applyAlignment="1" applyProtection="1">
      <alignment horizontal="center" vertical="center"/>
      <protection locked="0"/>
    </xf>
    <xf numFmtId="0" fontId="18" fillId="9" borderId="52" xfId="0" applyFont="1" applyFill="1" applyBorder="1" applyAlignment="1" applyProtection="1">
      <alignment horizontal="center" vertical="center"/>
      <protection locked="0"/>
    </xf>
    <xf numFmtId="0" fontId="9" fillId="9" borderId="28" xfId="0" applyFont="1" applyFill="1" applyBorder="1" applyAlignment="1" applyProtection="1">
      <alignment vertical="center" wrapText="1"/>
      <protection locked="0"/>
    </xf>
    <xf numFmtId="49" fontId="18" fillId="17" borderId="42" xfId="0" applyNumberFormat="1" applyFont="1" applyFill="1" applyBorder="1" applyAlignment="1" applyProtection="1">
      <alignment horizontal="center" vertical="center"/>
      <protection locked="0"/>
    </xf>
    <xf numFmtId="0" fontId="41" fillId="8" borderId="49" xfId="0" quotePrefix="1" applyFont="1" applyFill="1" applyBorder="1" applyAlignment="1" applyProtection="1">
      <alignment vertical="center"/>
      <protection locked="0"/>
    </xf>
    <xf numFmtId="12" fontId="18" fillId="9" borderId="34" xfId="8" applyNumberFormat="1" applyFont="1" applyFill="1" applyBorder="1" applyAlignment="1" applyProtection="1">
      <alignment horizontal="left" vertical="center" wrapText="1"/>
      <protection locked="0"/>
    </xf>
    <xf numFmtId="12" fontId="18" fillId="9" borderId="27" xfId="8" applyNumberFormat="1" applyFont="1" applyFill="1" applyBorder="1" applyAlignment="1" applyProtection="1">
      <alignment horizontal="left" vertical="center" wrapText="1"/>
      <protection locked="0"/>
    </xf>
    <xf numFmtId="2" fontId="9" fillId="9" borderId="26" xfId="0" applyNumberFormat="1" applyFont="1" applyFill="1" applyBorder="1" applyAlignment="1" applyProtection="1">
      <alignment horizontal="center" vertical="center"/>
      <protection locked="0"/>
    </xf>
    <xf numFmtId="2" fontId="18" fillId="9" borderId="26" xfId="8" applyNumberFormat="1" applyFont="1" applyFill="1" applyBorder="1" applyAlignment="1" applyProtection="1">
      <alignment horizontal="center" vertical="center"/>
      <protection locked="0"/>
    </xf>
    <xf numFmtId="12" fontId="18" fillId="9" borderId="26" xfId="8" applyNumberFormat="1" applyFont="1" applyFill="1" applyBorder="1" applyAlignment="1" applyProtection="1">
      <alignment horizontal="center" vertical="center" wrapText="1"/>
      <protection locked="0"/>
    </xf>
    <xf numFmtId="0" fontId="18" fillId="9" borderId="88" xfId="8" applyFont="1" applyFill="1" applyBorder="1" applyAlignment="1" applyProtection="1">
      <alignment horizontal="center" vertical="center"/>
      <protection locked="0"/>
    </xf>
    <xf numFmtId="0" fontId="18" fillId="9" borderId="52" xfId="8" applyFont="1" applyFill="1" applyBorder="1" applyAlignment="1" applyProtection="1">
      <alignment horizontal="center" vertical="center"/>
      <protection locked="0"/>
    </xf>
    <xf numFmtId="2" fontId="18" fillId="9" borderId="52" xfId="8" applyNumberFormat="1" applyFont="1" applyFill="1" applyBorder="1" applyAlignment="1" applyProtection="1">
      <alignment horizontal="center" vertical="center"/>
      <protection locked="0"/>
    </xf>
    <xf numFmtId="0" fontId="18" fillId="9" borderId="48" xfId="8" applyFont="1" applyFill="1" applyBorder="1" applyAlignment="1" applyProtection="1">
      <alignment horizontal="center" vertical="center"/>
      <protection locked="0"/>
    </xf>
    <xf numFmtId="0" fontId="18" fillId="0" borderId="52" xfId="0" applyFont="1" applyBorder="1" applyAlignment="1" applyProtection="1">
      <alignment horizontal="center" vertical="center" wrapText="1"/>
      <protection hidden="1"/>
    </xf>
    <xf numFmtId="0" fontId="18" fillId="9" borderId="38" xfId="0" applyFont="1" applyFill="1" applyBorder="1" applyAlignment="1" applyProtection="1">
      <alignment horizontal="center" vertical="center"/>
      <protection locked="0"/>
    </xf>
    <xf numFmtId="0" fontId="18" fillId="9" borderId="39" xfId="0" applyFont="1" applyFill="1" applyBorder="1" applyAlignment="1" applyProtection="1">
      <alignment horizontal="center" vertical="center"/>
      <protection locked="0"/>
    </xf>
    <xf numFmtId="0" fontId="18" fillId="9" borderId="33" xfId="0" applyFont="1" applyFill="1" applyBorder="1" applyAlignment="1" applyProtection="1">
      <alignment horizontal="center" vertical="center"/>
      <protection locked="0"/>
    </xf>
    <xf numFmtId="0" fontId="18" fillId="9" borderId="35" xfId="0" applyFont="1" applyFill="1" applyBorder="1" applyAlignment="1" applyProtection="1">
      <alignment horizontal="center" vertical="center"/>
      <protection locked="0"/>
    </xf>
    <xf numFmtId="0" fontId="18" fillId="9" borderId="14" xfId="0" applyFont="1" applyFill="1" applyBorder="1" applyAlignment="1" applyProtection="1">
      <alignment vertical="center"/>
      <protection locked="0"/>
    </xf>
    <xf numFmtId="0" fontId="18" fillId="9" borderId="15" xfId="0" applyFont="1" applyFill="1" applyBorder="1" applyAlignment="1" applyProtection="1">
      <alignment vertical="center"/>
      <protection locked="0"/>
    </xf>
    <xf numFmtId="0" fontId="75" fillId="0" borderId="0" xfId="0" applyFont="1" applyAlignment="1" applyProtection="1">
      <alignment vertical="center"/>
      <protection hidden="1"/>
    </xf>
    <xf numFmtId="0" fontId="76" fillId="9" borderId="17" xfId="0" applyFont="1" applyFill="1" applyBorder="1" applyAlignment="1" applyProtection="1">
      <alignment horizontal="center" vertical="center" wrapText="1"/>
      <protection locked="0"/>
    </xf>
    <xf numFmtId="0" fontId="17" fillId="0" borderId="17" xfId="0" applyFont="1" applyBorder="1" applyAlignment="1" applyProtection="1">
      <alignment horizontal="center" vertical="center" wrapText="1"/>
      <protection hidden="1"/>
    </xf>
    <xf numFmtId="0" fontId="4" fillId="0" borderId="5" xfId="0" applyFont="1" applyBorder="1" applyAlignment="1">
      <alignment vertical="center" wrapText="1"/>
    </xf>
    <xf numFmtId="0" fontId="7" fillId="0" borderId="6" xfId="0" applyFont="1" applyBorder="1" applyAlignment="1">
      <alignment vertical="center" wrapText="1"/>
    </xf>
    <xf numFmtId="0" fontId="7" fillId="15" borderId="6" xfId="0" applyFont="1" applyFill="1" applyBorder="1" applyAlignment="1">
      <alignment horizontal="left" vertical="center" wrapText="1"/>
    </xf>
    <xf numFmtId="0" fontId="4" fillId="0" borderId="6" xfId="0" applyFont="1" applyBorder="1" applyAlignment="1">
      <alignment vertical="center" wrapText="1"/>
    </xf>
    <xf numFmtId="0" fontId="17" fillId="0" borderId="45" xfId="0" applyFont="1" applyBorder="1" applyAlignment="1" applyProtection="1">
      <alignment horizontal="center" vertical="center" wrapText="1"/>
      <protection hidden="1"/>
    </xf>
    <xf numFmtId="0" fontId="18" fillId="9" borderId="40" xfId="0" applyFont="1" applyFill="1" applyBorder="1" applyAlignment="1" applyProtection="1">
      <alignment horizontal="center" vertical="center" wrapText="1"/>
      <protection locked="0"/>
    </xf>
    <xf numFmtId="0" fontId="75" fillId="0" borderId="11" xfId="0" applyFont="1" applyBorder="1" applyAlignment="1" applyProtection="1">
      <alignment vertical="center"/>
      <protection hidden="1"/>
    </xf>
    <xf numFmtId="0" fontId="75" fillId="0" borderId="12" xfId="0" applyFont="1" applyBorder="1" applyAlignment="1" applyProtection="1">
      <alignment vertical="center"/>
      <protection hidden="1"/>
    </xf>
    <xf numFmtId="0" fontId="17" fillId="9" borderId="17" xfId="0" applyFont="1" applyFill="1" applyBorder="1" applyAlignment="1" applyProtection="1">
      <alignment horizontal="center" vertical="center" wrapText="1"/>
      <protection locked="0"/>
    </xf>
    <xf numFmtId="0" fontId="4" fillId="15" borderId="63" xfId="0" applyFont="1" applyFill="1" applyBorder="1" applyAlignment="1">
      <alignment vertical="top" wrapText="1"/>
    </xf>
    <xf numFmtId="0" fontId="4" fillId="15" borderId="22" xfId="0" applyFont="1" applyFill="1" applyBorder="1" applyAlignment="1">
      <alignment vertical="top" wrapText="1"/>
    </xf>
    <xf numFmtId="14" fontId="0" fillId="0" borderId="0" xfId="0" applyNumberFormat="1"/>
    <xf numFmtId="0" fontId="5" fillId="0" borderId="0" xfId="0" applyFont="1"/>
    <xf numFmtId="0" fontId="78" fillId="0" borderId="1" xfId="0" applyFont="1" applyBorder="1"/>
    <xf numFmtId="0" fontId="78" fillId="0" borderId="0" xfId="0" applyFont="1"/>
    <xf numFmtId="0" fontId="5" fillId="0" borderId="0" xfId="0" applyFont="1" applyAlignment="1">
      <alignment wrapText="1"/>
    </xf>
    <xf numFmtId="0" fontId="78" fillId="0" borderId="90" xfId="0" applyFont="1" applyBorder="1"/>
    <xf numFmtId="0" fontId="79" fillId="3" borderId="89" xfId="0" applyFont="1" applyFill="1" applyBorder="1"/>
    <xf numFmtId="0" fontId="5" fillId="2" borderId="2" xfId="0" applyFont="1" applyFill="1" applyBorder="1"/>
    <xf numFmtId="0" fontId="0" fillId="0" borderId="0" xfId="0" applyAlignment="1" applyProtection="1">
      <alignment wrapText="1"/>
      <protection locked="0"/>
    </xf>
    <xf numFmtId="0" fontId="7" fillId="0" borderId="0" xfId="0" applyFont="1" applyAlignment="1" applyProtection="1">
      <alignment wrapText="1"/>
      <protection locked="0"/>
    </xf>
    <xf numFmtId="0" fontId="4" fillId="6" borderId="33" xfId="0" applyFont="1" applyFill="1" applyBorder="1" applyAlignment="1">
      <alignment vertical="top" wrapText="1"/>
    </xf>
    <xf numFmtId="0" fontId="4" fillId="6" borderId="27" xfId="0" applyFont="1" applyFill="1" applyBorder="1" applyAlignment="1">
      <alignment vertical="top" wrapText="1"/>
    </xf>
    <xf numFmtId="0" fontId="4" fillId="0" borderId="0" xfId="0" applyFont="1" applyAlignment="1">
      <alignment horizontal="left"/>
    </xf>
    <xf numFmtId="16" fontId="4" fillId="0" borderId="0" xfId="0" applyNumberFormat="1" applyFont="1" applyAlignment="1">
      <alignment textRotation="90"/>
    </xf>
    <xf numFmtId="0" fontId="80" fillId="0" borderId="3" xfId="0" applyFont="1" applyBorder="1" applyAlignment="1">
      <alignment horizontal="left"/>
    </xf>
    <xf numFmtId="49" fontId="80" fillId="0" borderId="3" xfId="0" applyNumberFormat="1" applyFont="1" applyBorder="1" applyAlignment="1">
      <alignment horizontal="left"/>
    </xf>
    <xf numFmtId="0" fontId="80" fillId="0" borderId="0" xfId="0" applyFont="1" applyAlignment="1">
      <alignment horizontal="left"/>
    </xf>
    <xf numFmtId="49" fontId="80" fillId="0" borderId="0" xfId="0" applyNumberFormat="1" applyFont="1" applyAlignment="1">
      <alignment horizontal="left"/>
    </xf>
    <xf numFmtId="1" fontId="80" fillId="0" borderId="0" xfId="0" applyNumberFormat="1" applyFont="1" applyAlignment="1">
      <alignment horizontal="left"/>
    </xf>
    <xf numFmtId="0" fontId="81" fillId="0" borderId="0" xfId="0" applyFont="1" applyAlignment="1">
      <alignment horizontal="left" wrapText="1"/>
    </xf>
    <xf numFmtId="164" fontId="80" fillId="16" borderId="0" xfId="0" applyNumberFormat="1" applyFont="1" applyFill="1" applyAlignment="1">
      <alignment horizontal="left"/>
    </xf>
    <xf numFmtId="164" fontId="80" fillId="0" borderId="0" xfId="0" applyNumberFormat="1" applyFont="1" applyAlignment="1">
      <alignment horizontal="left"/>
    </xf>
    <xf numFmtId="2" fontId="80" fillId="0" borderId="0" xfId="0" applyNumberFormat="1" applyFont="1" applyAlignment="1">
      <alignment horizontal="left"/>
    </xf>
    <xf numFmtId="14" fontId="80" fillId="0" borderId="0" xfId="0" applyNumberFormat="1" applyFont="1" applyAlignment="1">
      <alignment horizontal="left"/>
    </xf>
    <xf numFmtId="165" fontId="80" fillId="0" borderId="0" xfId="0" applyNumberFormat="1" applyFont="1" applyAlignment="1">
      <alignment horizontal="left"/>
    </xf>
    <xf numFmtId="0" fontId="81" fillId="0" borderId="3" xfId="0" applyFont="1" applyBorder="1" applyAlignment="1">
      <alignment horizontal="left" wrapText="1"/>
    </xf>
    <xf numFmtId="0" fontId="80" fillId="0" borderId="3" xfId="0" applyFont="1" applyBorder="1" applyAlignment="1">
      <alignment horizontal="left" wrapText="1"/>
    </xf>
    <xf numFmtId="166" fontId="80" fillId="0" borderId="0" xfId="0" applyNumberFormat="1" applyFont="1" applyAlignment="1">
      <alignment horizontal="left"/>
    </xf>
    <xf numFmtId="0" fontId="53" fillId="0" borderId="0" xfId="0" applyFont="1"/>
    <xf numFmtId="0" fontId="77" fillId="0" borderId="0" xfId="0" applyFont="1" applyAlignment="1">
      <alignment vertical="center"/>
    </xf>
    <xf numFmtId="0" fontId="0" fillId="0" borderId="0" xfId="0" applyAlignment="1">
      <alignment horizontal="center" vertical="top"/>
    </xf>
    <xf numFmtId="14" fontId="50" fillId="0" borderId="0" xfId="0" applyNumberFormat="1" applyFont="1"/>
    <xf numFmtId="0" fontId="82" fillId="0" borderId="0" xfId="0" applyFont="1" applyAlignment="1">
      <alignment horizontal="left" vertical="center" wrapText="1" indent="1"/>
    </xf>
    <xf numFmtId="14" fontId="26" fillId="0" borderId="0" xfId="0" applyNumberFormat="1" applyFont="1" applyAlignment="1">
      <alignment horizontal="left" vertical="center" wrapText="1" indent="1"/>
    </xf>
    <xf numFmtId="0" fontId="26" fillId="0" borderId="0" xfId="0" applyFont="1" applyAlignment="1">
      <alignment horizontal="left" vertical="center" wrapText="1" indent="1"/>
    </xf>
    <xf numFmtId="0" fontId="50" fillId="0" borderId="0" xfId="0" applyFont="1" applyAlignment="1">
      <alignment horizontal="left" vertical="center" wrapText="1" indent="1"/>
    </xf>
    <xf numFmtId="14" fontId="0" fillId="0" borderId="0" xfId="0" applyNumberFormat="1" applyAlignment="1">
      <alignment horizontal="left"/>
    </xf>
    <xf numFmtId="0" fontId="83" fillId="0" borderId="9" xfId="0" applyFont="1" applyBorder="1" applyAlignment="1">
      <alignment horizontal="left" wrapText="1"/>
    </xf>
    <xf numFmtId="0" fontId="84" fillId="0" borderId="0" xfId="0" applyFont="1" applyAlignment="1">
      <alignment horizontal="left" vertical="top" wrapText="1"/>
    </xf>
    <xf numFmtId="0" fontId="85" fillId="0" borderId="0" xfId="0" applyFont="1" applyAlignment="1">
      <alignment horizontal="left"/>
    </xf>
    <xf numFmtId="49" fontId="80" fillId="19" borderId="3" xfId="0" applyNumberFormat="1" applyFont="1" applyFill="1" applyBorder="1" applyAlignment="1">
      <alignment horizontal="left"/>
    </xf>
    <xf numFmtId="49" fontId="80" fillId="19" borderId="0" xfId="0" applyNumberFormat="1" applyFont="1" applyFill="1" applyAlignment="1">
      <alignment horizontal="left"/>
    </xf>
    <xf numFmtId="0" fontId="80" fillId="19" borderId="0" xfId="0" applyFont="1" applyFill="1" applyAlignment="1">
      <alignment horizontal="left"/>
    </xf>
    <xf numFmtId="0" fontId="0" fillId="0" borderId="0" xfId="0" applyAlignment="1" applyProtection="1">
      <alignment horizontal="left"/>
      <protection locked="0"/>
    </xf>
    <xf numFmtId="0" fontId="4" fillId="6" borderId="21" xfId="0" applyFont="1" applyFill="1" applyBorder="1" applyAlignment="1">
      <alignment vertical="top" wrapText="1"/>
    </xf>
    <xf numFmtId="0" fontId="4" fillId="6" borderId="22" xfId="0" applyFont="1" applyFill="1" applyBorder="1" applyAlignment="1">
      <alignment vertical="top" wrapText="1"/>
    </xf>
    <xf numFmtId="2" fontId="7" fillId="15" borderId="6" xfId="0" applyNumberFormat="1" applyFont="1" applyFill="1" applyBorder="1" applyAlignment="1">
      <alignment horizontal="left" vertical="center" wrapText="1"/>
    </xf>
    <xf numFmtId="0" fontId="4" fillId="0" borderId="0" xfId="0" applyFont="1" applyAlignment="1" applyProtection="1">
      <alignment wrapText="1"/>
      <protection locked="0"/>
    </xf>
    <xf numFmtId="0" fontId="4" fillId="0" borderId="0" xfId="0" applyFont="1"/>
    <xf numFmtId="0" fontId="50" fillId="0" borderId="3" xfId="0" applyFont="1" applyBorder="1" applyAlignment="1">
      <alignment horizontal="left"/>
    </xf>
    <xf numFmtId="2" fontId="0" fillId="0" borderId="4" xfId="0" applyNumberFormat="1" applyBorder="1"/>
    <xf numFmtId="164" fontId="0" fillId="0" borderId="3" xfId="0" applyNumberFormat="1" applyBorder="1"/>
    <xf numFmtId="164" fontId="4" fillId="0" borderId="21" xfId="0" applyNumberFormat="1" applyFont="1" applyBorder="1"/>
    <xf numFmtId="164" fontId="4" fillId="0" borderId="22" xfId="0" applyNumberFormat="1" applyFont="1" applyBorder="1"/>
    <xf numFmtId="166" fontId="4" fillId="16" borderId="22" xfId="0" applyNumberFormat="1" applyFont="1" applyFill="1" applyBorder="1"/>
    <xf numFmtId="2" fontId="4" fillId="0" borderId="22" xfId="0" applyNumberFormat="1" applyFont="1" applyBorder="1"/>
    <xf numFmtId="166" fontId="4" fillId="0" borderId="22" xfId="0" applyNumberFormat="1" applyFont="1" applyBorder="1"/>
    <xf numFmtId="0" fontId="4" fillId="0" borderId="22" xfId="0" applyFont="1" applyBorder="1"/>
    <xf numFmtId="2" fontId="4" fillId="0" borderId="24" xfId="0" applyNumberFormat="1" applyFont="1" applyBorder="1"/>
    <xf numFmtId="164" fontId="4" fillId="0" borderId="3" xfId="0" applyNumberFormat="1" applyFont="1" applyBorder="1"/>
    <xf numFmtId="164" fontId="4" fillId="0" borderId="0" xfId="0" applyNumberFormat="1" applyFont="1"/>
    <xf numFmtId="166" fontId="4" fillId="0" borderId="0" xfId="0" applyNumberFormat="1" applyFont="1"/>
    <xf numFmtId="2" fontId="4" fillId="0" borderId="0" xfId="0" applyNumberFormat="1" applyFont="1"/>
    <xf numFmtId="0" fontId="4" fillId="0" borderId="4" xfId="0" applyFont="1" applyBorder="1"/>
    <xf numFmtId="0" fontId="4" fillId="0" borderId="22" xfId="0" applyFont="1" applyBorder="1" applyProtection="1">
      <protection locked="0"/>
    </xf>
    <xf numFmtId="166" fontId="4" fillId="0" borderId="28" xfId="0" applyNumberFormat="1" applyFont="1" applyBorder="1"/>
    <xf numFmtId="0" fontId="0" fillId="0" borderId="4" xfId="0" applyBorder="1"/>
    <xf numFmtId="2" fontId="4" fillId="0" borderId="0" xfId="0" applyNumberFormat="1" applyFont="1" applyProtection="1">
      <protection locked="0"/>
    </xf>
    <xf numFmtId="166" fontId="0" fillId="0" borderId="29" xfId="0" applyNumberFormat="1" applyBorder="1"/>
    <xf numFmtId="164" fontId="7" fillId="0" borderId="0" xfId="0" applyNumberFormat="1" applyFont="1"/>
    <xf numFmtId="166" fontId="7" fillId="0" borderId="0" xfId="0" applyNumberFormat="1" applyFont="1"/>
    <xf numFmtId="2" fontId="7" fillId="0" borderId="0" xfId="0" applyNumberFormat="1" applyFont="1"/>
    <xf numFmtId="2" fontId="7" fillId="0" borderId="4" xfId="0" applyNumberFormat="1" applyFont="1" applyBorder="1"/>
    <xf numFmtId="0" fontId="4" fillId="0" borderId="33" xfId="0" applyFont="1" applyBorder="1" applyAlignment="1">
      <alignment horizontal="left" vertical="top" wrapText="1"/>
    </xf>
    <xf numFmtId="0" fontId="51" fillId="0" borderId="0" xfId="0" applyFont="1" applyAlignment="1">
      <alignment horizontal="center"/>
    </xf>
    <xf numFmtId="0" fontId="4" fillId="0" borderId="33" xfId="0" applyFont="1" applyBorder="1" applyAlignment="1">
      <alignment horizontal="center" vertical="top" wrapText="1"/>
    </xf>
    <xf numFmtId="0" fontId="4" fillId="0" borderId="0" xfId="0" applyFont="1" applyAlignment="1" applyProtection="1">
      <alignment horizontal="center" wrapText="1"/>
      <protection locked="0"/>
    </xf>
    <xf numFmtId="0" fontId="0" fillId="0" borderId="0" xfId="0" applyAlignment="1" applyProtection="1">
      <alignment horizontal="center" wrapText="1"/>
      <protection locked="0"/>
    </xf>
    <xf numFmtId="0" fontId="7" fillId="0" borderId="0" xfId="0" applyFont="1" applyAlignment="1" applyProtection="1">
      <alignment horizontal="center" wrapText="1"/>
      <protection locked="0"/>
    </xf>
    <xf numFmtId="0" fontId="4" fillId="0" borderId="0" xfId="0" applyFont="1" applyAlignment="1" applyProtection="1">
      <alignment horizontal="left"/>
      <protection locked="0"/>
    </xf>
    <xf numFmtId="0" fontId="7" fillId="0" borderId="0" xfId="0" applyFont="1" applyAlignment="1" applyProtection="1">
      <alignment horizontal="left"/>
      <protection locked="0"/>
    </xf>
    <xf numFmtId="0" fontId="7" fillId="0" borderId="0" xfId="0" applyFont="1" applyAlignment="1">
      <alignment horizontal="left"/>
    </xf>
    <xf numFmtId="0" fontId="5" fillId="2" borderId="1" xfId="0" applyFont="1" applyFill="1" applyBorder="1" applyAlignment="1">
      <alignment wrapText="1"/>
    </xf>
    <xf numFmtId="0" fontId="5" fillId="0" borderId="1" xfId="0" applyFont="1" applyBorder="1" applyAlignment="1">
      <alignment wrapText="1"/>
    </xf>
    <xf numFmtId="0" fontId="5" fillId="2" borderId="94" xfId="0" applyFont="1" applyFill="1" applyBorder="1" applyAlignment="1">
      <alignment wrapText="1"/>
    </xf>
    <xf numFmtId="0" fontId="0" fillId="0" borderId="0" xfId="0" applyAlignment="1" applyProtection="1">
      <alignment horizontal="left" wrapText="1"/>
      <protection locked="0"/>
    </xf>
    <xf numFmtId="164" fontId="7" fillId="0" borderId="3" xfId="0" applyNumberFormat="1" applyFont="1" applyBorder="1"/>
    <xf numFmtId="167" fontId="7" fillId="0" borderId="0" xfId="0" applyNumberFormat="1" applyFont="1"/>
    <xf numFmtId="0" fontId="86" fillId="0" borderId="0" xfId="0" applyFont="1"/>
    <xf numFmtId="0" fontId="88" fillId="0" borderId="0" xfId="0" applyFont="1"/>
    <xf numFmtId="0" fontId="89" fillId="0" borderId="0" xfId="0" applyFont="1"/>
    <xf numFmtId="0" fontId="90" fillId="0" borderId="0" xfId="0" applyFont="1"/>
    <xf numFmtId="0" fontId="87" fillId="0" borderId="0" xfId="0" applyFont="1"/>
    <xf numFmtId="0" fontId="91" fillId="0" borderId="0" xfId="0" applyFont="1"/>
    <xf numFmtId="0" fontId="92" fillId="0" borderId="0" xfId="0" applyFont="1"/>
    <xf numFmtId="0" fontId="93" fillId="0" borderId="0" xfId="0" applyFont="1"/>
    <xf numFmtId="0" fontId="94" fillId="0" borderId="0" xfId="0" applyFont="1"/>
    <xf numFmtId="0" fontId="95" fillId="0" borderId="0" xfId="0" applyFont="1"/>
    <xf numFmtId="2" fontId="0" fillId="0" borderId="0" xfId="0" applyNumberFormat="1" applyAlignment="1">
      <alignment horizontal="left"/>
    </xf>
    <xf numFmtId="0" fontId="96" fillId="0" borderId="0" xfId="0" applyFont="1"/>
    <xf numFmtId="0" fontId="97" fillId="0" borderId="0" xfId="0" applyFont="1"/>
    <xf numFmtId="2" fontId="97" fillId="0" borderId="0" xfId="0" applyNumberFormat="1" applyFont="1" applyAlignment="1">
      <alignment horizontal="left"/>
    </xf>
    <xf numFmtId="168" fontId="0" fillId="0" borderId="0" xfId="0" applyNumberFormat="1" applyAlignment="1">
      <alignment horizontal="left" indent="1"/>
    </xf>
    <xf numFmtId="168" fontId="0" fillId="0" borderId="0" xfId="0" applyNumberFormat="1" applyAlignment="1">
      <alignment horizontal="left"/>
    </xf>
    <xf numFmtId="0" fontId="84" fillId="20" borderId="0" xfId="0" applyFont="1" applyFill="1" applyAlignment="1">
      <alignment horizontal="left" vertical="top"/>
    </xf>
    <xf numFmtId="0" fontId="84" fillId="20" borderId="3" xfId="0" applyFont="1" applyFill="1" applyBorder="1" applyAlignment="1">
      <alignment horizontal="left" vertical="top"/>
    </xf>
    <xf numFmtId="0" fontId="84" fillId="0" borderId="0" xfId="0" applyFont="1" applyAlignment="1">
      <alignment horizontal="left" vertical="top"/>
    </xf>
    <xf numFmtId="0" fontId="84" fillId="0" borderId="3" xfId="0" applyFont="1" applyBorder="1" applyAlignment="1">
      <alignment horizontal="left" vertical="top"/>
    </xf>
    <xf numFmtId="0" fontId="81" fillId="0" borderId="3" xfId="0" applyFont="1" applyBorder="1" applyAlignment="1">
      <alignment horizontal="left"/>
    </xf>
    <xf numFmtId="0" fontId="81" fillId="0" borderId="0" xfId="0" applyFont="1" applyAlignment="1">
      <alignment horizontal="left"/>
    </xf>
    <xf numFmtId="0" fontId="50" fillId="0" borderId="3" xfId="0" applyFont="1" applyBorder="1"/>
    <xf numFmtId="2" fontId="50" fillId="0" borderId="0" xfId="0" applyNumberFormat="1" applyFont="1"/>
    <xf numFmtId="49" fontId="37" fillId="0" borderId="22" xfId="6" applyNumberFormat="1" applyFont="1" applyBorder="1" applyAlignment="1" applyProtection="1">
      <alignment horizontal="left" wrapText="1"/>
      <protection hidden="1"/>
    </xf>
    <xf numFmtId="0" fontId="0" fillId="0" borderId="0" xfId="0" applyProtection="1">
      <protection hidden="1"/>
    </xf>
    <xf numFmtId="0" fontId="25" fillId="0" borderId="3" xfId="0" applyFont="1" applyBorder="1" applyAlignment="1" applyProtection="1">
      <alignment horizontal="left" wrapText="1"/>
      <protection hidden="1"/>
    </xf>
    <xf numFmtId="2" fontId="40" fillId="0" borderId="0" xfId="6" applyNumberFormat="1" applyFont="1" applyAlignment="1" applyProtection="1">
      <alignment horizontal="center" vertical="top" wrapText="1"/>
      <protection hidden="1"/>
    </xf>
    <xf numFmtId="1" fontId="40" fillId="0" borderId="0" xfId="6" applyNumberFormat="1" applyFont="1" applyAlignment="1" applyProtection="1">
      <alignment horizontal="center" vertical="top" wrapText="1"/>
      <protection hidden="1"/>
    </xf>
    <xf numFmtId="0" fontId="33" fillId="7" borderId="3" xfId="0" applyFont="1" applyFill="1" applyBorder="1" applyAlignment="1" applyProtection="1">
      <alignment horizontal="right"/>
      <protection hidden="1"/>
    </xf>
    <xf numFmtId="0" fontId="39" fillId="0" borderId="3" xfId="0" applyFont="1" applyBorder="1" applyAlignment="1" applyProtection="1">
      <alignment horizontal="right"/>
      <protection hidden="1"/>
    </xf>
    <xf numFmtId="2" fontId="40" fillId="0" borderId="4" xfId="7" quotePrefix="1" applyNumberFormat="1" applyFont="1" applyBorder="1" applyAlignment="1" applyProtection="1">
      <alignment vertical="top" wrapText="1"/>
      <protection hidden="1"/>
    </xf>
    <xf numFmtId="0" fontId="0" fillId="0" borderId="4" xfId="0" applyBorder="1" applyProtection="1">
      <protection hidden="1"/>
    </xf>
    <xf numFmtId="0" fontId="34" fillId="0" borderId="22" xfId="0" applyFont="1" applyBorder="1" applyAlignment="1" applyProtection="1">
      <alignment horizontal="left"/>
      <protection hidden="1"/>
    </xf>
    <xf numFmtId="0" fontId="0" fillId="0" borderId="22" xfId="0" applyBorder="1" applyProtection="1">
      <protection hidden="1"/>
    </xf>
    <xf numFmtId="0" fontId="39" fillId="0" borderId="4" xfId="0" applyFont="1" applyBorder="1" applyAlignment="1" applyProtection="1">
      <alignment horizontal="left" wrapText="1"/>
      <protection hidden="1"/>
    </xf>
    <xf numFmtId="0" fontId="27" fillId="0" borderId="5" xfId="0" applyFont="1" applyBorder="1" applyAlignment="1" applyProtection="1">
      <alignment horizontal="right" wrapText="1"/>
      <protection hidden="1"/>
    </xf>
    <xf numFmtId="0" fontId="0" fillId="0" borderId="6" xfId="0" applyBorder="1" applyProtection="1">
      <protection hidden="1"/>
    </xf>
    <xf numFmtId="164" fontId="40" fillId="0" borderId="0" xfId="6" applyNumberFormat="1" applyFont="1" applyAlignment="1" applyProtection="1">
      <alignment horizontal="center" vertical="top" wrapText="1"/>
      <protection hidden="1"/>
    </xf>
    <xf numFmtId="0" fontId="39" fillId="0" borderId="3" xfId="0" applyFont="1" applyBorder="1" applyAlignment="1" applyProtection="1">
      <alignment horizontal="left" wrapText="1"/>
      <protection hidden="1"/>
    </xf>
    <xf numFmtId="0" fontId="25" fillId="0" borderId="0" xfId="0" applyFont="1" applyAlignment="1" applyProtection="1">
      <alignment horizontal="left" wrapText="1"/>
      <protection hidden="1"/>
    </xf>
    <xf numFmtId="0" fontId="39" fillId="0" borderId="6" xfId="0" applyFont="1" applyBorder="1" applyAlignment="1" applyProtection="1">
      <alignment horizontal="left"/>
      <protection hidden="1"/>
    </xf>
    <xf numFmtId="0" fontId="39" fillId="0" borderId="7" xfId="0" applyFont="1" applyBorder="1" applyAlignment="1" applyProtection="1">
      <alignment horizontal="left" wrapText="1"/>
      <protection hidden="1"/>
    </xf>
    <xf numFmtId="0" fontId="0" fillId="0" borderId="7" xfId="0" applyBorder="1" applyProtection="1">
      <protection hidden="1"/>
    </xf>
    <xf numFmtId="0" fontId="39" fillId="0" borderId="3" xfId="0" applyFont="1" applyBorder="1" applyAlignment="1" applyProtection="1">
      <alignment horizontal="right" wrapText="1"/>
      <protection hidden="1"/>
    </xf>
    <xf numFmtId="0" fontId="32" fillId="11" borderId="0" xfId="0" applyFont="1" applyFill="1" applyAlignment="1" applyProtection="1">
      <alignment horizontal="center"/>
      <protection hidden="1"/>
    </xf>
    <xf numFmtId="0" fontId="39" fillId="0" borderId="0" xfId="0" applyFont="1" applyAlignment="1" applyProtection="1">
      <alignment horizontal="left"/>
      <protection hidden="1"/>
    </xf>
    <xf numFmtId="0" fontId="39" fillId="0" borderId="28" xfId="0" applyFont="1" applyBorder="1" applyAlignment="1" applyProtection="1">
      <alignment horizontal="center"/>
      <protection hidden="1"/>
    </xf>
    <xf numFmtId="0" fontId="0" fillId="0" borderId="24" xfId="0" applyBorder="1" applyProtection="1">
      <protection hidden="1"/>
    </xf>
    <xf numFmtId="0" fontId="28" fillId="0" borderId="21" xfId="0" applyFont="1" applyBorder="1" applyAlignment="1" applyProtection="1">
      <alignment horizontal="right" vertical="center" wrapText="1"/>
      <protection hidden="1"/>
    </xf>
    <xf numFmtId="0" fontId="0" fillId="0" borderId="3" xfId="0" applyBorder="1" applyProtection="1">
      <protection hidden="1"/>
    </xf>
    <xf numFmtId="0" fontId="39" fillId="0" borderId="22" xfId="0" applyFont="1" applyBorder="1" applyAlignment="1" applyProtection="1">
      <alignment horizontal="left" wrapText="1"/>
      <protection hidden="1"/>
    </xf>
    <xf numFmtId="49" fontId="38" fillId="0" borderId="5" xfId="6" applyNumberFormat="1" applyFont="1" applyBorder="1" applyAlignment="1" applyProtection="1">
      <alignment horizontal="right" wrapText="1"/>
      <protection hidden="1"/>
    </xf>
    <xf numFmtId="0" fontId="40" fillId="0" borderId="3" xfId="6" applyFont="1" applyBorder="1" applyAlignment="1" applyProtection="1">
      <alignment horizontal="center" vertical="top" wrapText="1"/>
      <protection hidden="1"/>
    </xf>
    <xf numFmtId="0" fontId="25" fillId="0" borderId="22" xfId="0" applyFont="1" applyBorder="1" applyAlignment="1" applyProtection="1">
      <alignment horizontal="left" wrapText="1"/>
      <protection hidden="1"/>
    </xf>
    <xf numFmtId="0" fontId="34" fillId="0" borderId="0" xfId="0" applyFont="1" applyAlignment="1" applyProtection="1">
      <alignment horizontal="right" wrapText="1"/>
      <protection hidden="1"/>
    </xf>
    <xf numFmtId="49" fontId="38" fillId="0" borderId="6" xfId="6" applyNumberFormat="1" applyFont="1" applyBorder="1" applyAlignment="1" applyProtection="1">
      <alignment horizontal="left"/>
      <protection hidden="1"/>
    </xf>
    <xf numFmtId="0" fontId="32" fillId="11" borderId="6" xfId="0" applyFont="1" applyFill="1" applyBorder="1" applyAlignment="1" applyProtection="1">
      <alignment horizontal="center"/>
      <protection hidden="1"/>
    </xf>
    <xf numFmtId="0" fontId="39" fillId="0" borderId="0" xfId="0" applyFont="1" applyAlignment="1" applyProtection="1">
      <alignment horizontal="right"/>
      <protection hidden="1"/>
    </xf>
    <xf numFmtId="0" fontId="37" fillId="0" borderId="24" xfId="0" applyFont="1" applyBorder="1" applyAlignment="1" applyProtection="1">
      <alignment horizontal="left" wrapText="1"/>
      <protection hidden="1"/>
    </xf>
    <xf numFmtId="0" fontId="25" fillId="0" borderId="4" xfId="0" applyFont="1" applyBorder="1" applyAlignment="1" applyProtection="1">
      <alignment horizontal="center" wrapText="1"/>
      <protection hidden="1"/>
    </xf>
    <xf numFmtId="49" fontId="37" fillId="0" borderId="24" xfId="6" applyNumberFormat="1" applyFont="1" applyBorder="1" applyAlignment="1" applyProtection="1">
      <alignment horizontal="left" wrapText="1"/>
      <protection hidden="1"/>
    </xf>
    <xf numFmtId="0" fontId="25" fillId="0" borderId="0" xfId="0" applyFont="1" applyAlignment="1" applyProtection="1">
      <alignment horizontal="right" wrapText="1"/>
      <protection hidden="1"/>
    </xf>
    <xf numFmtId="0" fontId="25" fillId="0" borderId="3" xfId="0" applyFont="1" applyBorder="1" applyAlignment="1" applyProtection="1">
      <alignment horizontal="right" wrapText="1"/>
      <protection hidden="1"/>
    </xf>
    <xf numFmtId="0" fontId="25" fillId="0" borderId="4" xfId="0" applyFont="1" applyBorder="1" applyAlignment="1" applyProtection="1">
      <alignment horizontal="left" wrapText="1"/>
      <protection hidden="1"/>
    </xf>
    <xf numFmtId="0" fontId="35" fillId="0" borderId="7" xfId="0" applyFont="1" applyBorder="1" applyAlignment="1" applyProtection="1">
      <alignment horizontal="left" wrapText="1"/>
      <protection hidden="1"/>
    </xf>
    <xf numFmtId="0" fontId="39" fillId="0" borderId="21" xfId="0" applyFont="1" applyBorder="1" applyAlignment="1" applyProtection="1">
      <alignment horizontal="right"/>
      <protection hidden="1"/>
    </xf>
    <xf numFmtId="0" fontId="39" fillId="0" borderId="7" xfId="0" applyFont="1" applyBorder="1" applyAlignment="1" applyProtection="1">
      <alignment horizontal="center"/>
      <protection hidden="1"/>
    </xf>
    <xf numFmtId="0" fontId="40" fillId="0" borderId="4" xfId="7" quotePrefix="1" applyFont="1" applyBorder="1" applyAlignment="1" applyProtection="1">
      <alignment horizontal="left" wrapText="1"/>
      <protection hidden="1"/>
    </xf>
    <xf numFmtId="0" fontId="25" fillId="0" borderId="21" xfId="0" applyFont="1" applyBorder="1" applyAlignment="1" applyProtection="1">
      <alignment horizontal="right"/>
      <protection hidden="1"/>
    </xf>
    <xf numFmtId="0" fontId="25" fillId="0" borderId="24" xfId="0" applyFont="1" applyBorder="1" applyAlignment="1" applyProtection="1">
      <alignment horizontal="left"/>
      <protection hidden="1"/>
    </xf>
    <xf numFmtId="0" fontId="39" fillId="0" borderId="6" xfId="0" applyFont="1" applyBorder="1" applyAlignment="1" applyProtection="1">
      <alignment horizontal="right"/>
      <protection hidden="1"/>
    </xf>
    <xf numFmtId="0" fontId="24" fillId="0" borderId="0" xfId="0" applyFont="1" applyAlignment="1" applyProtection="1">
      <alignment horizontal="right"/>
      <protection hidden="1"/>
    </xf>
    <xf numFmtId="0" fontId="25" fillId="0" borderId="22" xfId="0" applyFont="1" applyBorder="1" applyAlignment="1" applyProtection="1">
      <alignment horizontal="left"/>
      <protection hidden="1"/>
    </xf>
    <xf numFmtId="0" fontId="39" fillId="0" borderId="21" xfId="0" applyFont="1" applyBorder="1" applyAlignment="1" applyProtection="1">
      <alignment horizontal="left" wrapText="1"/>
      <protection hidden="1"/>
    </xf>
    <xf numFmtId="0" fontId="25" fillId="0" borderId="21" xfId="0" applyFont="1" applyBorder="1" applyAlignment="1" applyProtection="1">
      <alignment horizontal="left" wrapText="1"/>
      <protection hidden="1"/>
    </xf>
    <xf numFmtId="49" fontId="38" fillId="0" borderId="3" xfId="6" applyNumberFormat="1" applyFont="1" applyBorder="1" applyAlignment="1" applyProtection="1">
      <alignment horizontal="right" wrapText="1"/>
      <protection hidden="1"/>
    </xf>
    <xf numFmtId="49" fontId="38" fillId="0" borderId="24" xfId="6" applyNumberFormat="1" applyFont="1" applyBorder="1" applyAlignment="1" applyProtection="1">
      <alignment horizontal="left"/>
      <protection hidden="1"/>
    </xf>
    <xf numFmtId="0" fontId="25" fillId="0" borderId="28" xfId="0" applyFont="1" applyBorder="1" applyAlignment="1" applyProtection="1">
      <alignment horizontal="center" wrapText="1"/>
      <protection hidden="1"/>
    </xf>
    <xf numFmtId="49" fontId="38" fillId="0" borderId="4" xfId="6" applyNumberFormat="1" applyFont="1" applyBorder="1" applyAlignment="1" applyProtection="1">
      <alignment horizontal="left"/>
      <protection hidden="1"/>
    </xf>
    <xf numFmtId="0" fontId="39" fillId="0" borderId="0" xfId="0" applyFont="1" applyAlignment="1" applyProtection="1">
      <alignment horizontal="left" vertical="center" wrapText="1"/>
      <protection hidden="1"/>
    </xf>
    <xf numFmtId="0" fontId="39" fillId="0" borderId="5" xfId="0" applyFont="1" applyBorder="1" applyAlignment="1" applyProtection="1">
      <alignment horizontal="right" wrapText="1"/>
      <protection hidden="1"/>
    </xf>
    <xf numFmtId="0" fontId="39" fillId="0" borderId="6" xfId="0" applyFont="1" applyBorder="1" applyAlignment="1" applyProtection="1">
      <alignment horizontal="left" wrapText="1"/>
      <protection hidden="1"/>
    </xf>
    <xf numFmtId="0" fontId="39" fillId="0" borderId="0" xfId="0" applyFont="1" applyAlignment="1" applyProtection="1">
      <alignment horizontal="left" wrapText="1"/>
      <protection hidden="1"/>
    </xf>
    <xf numFmtId="0" fontId="37" fillId="0" borderId="22" xfId="0" applyFont="1" applyBorder="1" applyAlignment="1" applyProtection="1">
      <alignment horizontal="left" wrapText="1"/>
      <protection hidden="1"/>
    </xf>
    <xf numFmtId="0" fontId="39" fillId="0" borderId="0" xfId="0" applyFont="1" applyAlignment="1" applyProtection="1">
      <alignment horizontal="right" wrapText="1"/>
      <protection hidden="1"/>
    </xf>
    <xf numFmtId="0" fontId="40" fillId="0" borderId="7" xfId="7" quotePrefix="1" applyFont="1" applyBorder="1" applyAlignment="1" applyProtection="1">
      <alignment horizontal="left" wrapText="1"/>
      <protection hidden="1"/>
    </xf>
    <xf numFmtId="0" fontId="39" fillId="0" borderId="0" xfId="0" applyFont="1" applyAlignment="1" applyProtection="1">
      <alignment horizontal="center" vertical="center" wrapText="1"/>
      <protection hidden="1"/>
    </xf>
    <xf numFmtId="0" fontId="39" fillId="0" borderId="4" xfId="0" applyFont="1" applyBorder="1" applyAlignment="1" applyProtection="1">
      <alignment horizontal="left" vertical="center" wrapText="1"/>
      <protection hidden="1"/>
    </xf>
    <xf numFmtId="0" fontId="34" fillId="0" borderId="24" xfId="0" applyFont="1" applyBorder="1" applyAlignment="1" applyProtection="1">
      <alignment horizontal="left"/>
      <protection hidden="1"/>
    </xf>
    <xf numFmtId="1" fontId="34" fillId="0" borderId="0" xfId="0" applyNumberFormat="1" applyFont="1" applyAlignment="1" applyProtection="1">
      <alignment horizontal="left"/>
      <protection hidden="1"/>
    </xf>
    <xf numFmtId="49" fontId="38" fillId="0" borderId="21" xfId="6" applyNumberFormat="1" applyFont="1" applyBorder="1" applyAlignment="1" applyProtection="1">
      <alignment horizontal="right"/>
      <protection hidden="1"/>
    </xf>
    <xf numFmtId="49" fontId="38" fillId="0" borderId="22" xfId="6" applyNumberFormat="1" applyFont="1" applyBorder="1" applyAlignment="1" applyProtection="1">
      <alignment horizontal="left"/>
      <protection hidden="1"/>
    </xf>
    <xf numFmtId="49" fontId="38" fillId="0" borderId="21" xfId="6" applyNumberFormat="1" applyFont="1" applyBorder="1" applyAlignment="1" applyProtection="1">
      <alignment horizontal="right" wrapText="1"/>
      <protection hidden="1"/>
    </xf>
    <xf numFmtId="0" fontId="39" fillId="0" borderId="24" xfId="0" applyFont="1" applyBorder="1" applyAlignment="1" applyProtection="1">
      <alignment horizontal="left" wrapText="1"/>
      <protection hidden="1"/>
    </xf>
    <xf numFmtId="49" fontId="38" fillId="0" borderId="7" xfId="6" applyNumberFormat="1" applyFont="1" applyBorder="1" applyAlignment="1" applyProtection="1">
      <alignment horizontal="left"/>
      <protection hidden="1"/>
    </xf>
    <xf numFmtId="49" fontId="37" fillId="0" borderId="21" xfId="6" applyNumberFormat="1" applyFont="1" applyBorder="1" applyAlignment="1" applyProtection="1">
      <alignment horizontal="left" wrapText="1"/>
      <protection hidden="1"/>
    </xf>
    <xf numFmtId="49" fontId="38" fillId="0" borderId="0" xfId="6" applyNumberFormat="1" applyFont="1" applyAlignment="1" applyProtection="1">
      <alignment horizontal="left"/>
      <protection hidden="1"/>
    </xf>
    <xf numFmtId="0" fontId="33" fillId="7" borderId="21" xfId="0" applyFont="1" applyFill="1" applyBorder="1" applyAlignment="1" applyProtection="1">
      <alignment horizontal="right"/>
      <protection hidden="1"/>
    </xf>
    <xf numFmtId="49" fontId="38" fillId="0" borderId="3" xfId="6" applyNumberFormat="1" applyFont="1" applyBorder="1" applyAlignment="1" applyProtection="1">
      <alignment horizontal="right"/>
      <protection hidden="1"/>
    </xf>
    <xf numFmtId="0" fontId="39" fillId="0" borderId="3" xfId="0" applyFont="1" applyBorder="1" applyAlignment="1" applyProtection="1">
      <alignment horizontal="right" vertical="center"/>
      <protection hidden="1"/>
    </xf>
    <xf numFmtId="0" fontId="25" fillId="0" borderId="21" xfId="0" applyFont="1" applyBorder="1" applyAlignment="1" applyProtection="1">
      <alignment horizontal="right" wrapText="1"/>
      <protection hidden="1"/>
    </xf>
    <xf numFmtId="0" fontId="24" fillId="0" borderId="0" xfId="0" applyFont="1" applyAlignment="1" applyProtection="1">
      <alignment horizontal="left"/>
      <protection hidden="1"/>
    </xf>
    <xf numFmtId="0" fontId="25" fillId="0" borderId="3" xfId="0" applyFont="1" applyBorder="1" applyAlignment="1" applyProtection="1">
      <alignment horizontal="center" wrapText="1"/>
      <protection hidden="1"/>
    </xf>
    <xf numFmtId="0" fontId="25" fillId="0" borderId="5" xfId="0" applyFont="1" applyBorder="1" applyAlignment="1" applyProtection="1">
      <alignment horizontal="right" wrapText="1"/>
      <protection hidden="1"/>
    </xf>
    <xf numFmtId="0" fontId="40" fillId="0" borderId="7" xfId="0" applyFont="1" applyBorder="1" applyAlignment="1" applyProtection="1">
      <alignment horizontal="left" vertical="top" wrapText="1"/>
      <protection hidden="1"/>
    </xf>
    <xf numFmtId="0" fontId="39" fillId="0" borderId="0" xfId="0" applyFont="1" applyAlignment="1" applyProtection="1">
      <alignment horizontal="center" wrapText="1"/>
      <protection hidden="1"/>
    </xf>
    <xf numFmtId="12" fontId="18" fillId="9" borderId="45" xfId="8" applyNumberFormat="1" applyFont="1" applyFill="1" applyBorder="1" applyAlignment="1" applyProtection="1">
      <alignment horizontal="left" vertical="center" wrapText="1"/>
      <protection locked="0"/>
    </xf>
    <xf numFmtId="0" fontId="0" fillId="0" borderId="108" xfId="0" applyBorder="1" applyProtection="1">
      <protection locked="0"/>
    </xf>
    <xf numFmtId="0" fontId="16" fillId="12" borderId="110" xfId="0" applyFont="1" applyFill="1" applyBorder="1" applyAlignment="1" applyProtection="1">
      <alignment horizontal="center" vertical="center"/>
      <protection hidden="1"/>
    </xf>
    <xf numFmtId="0" fontId="0" fillId="0" borderId="9" xfId="0" applyBorder="1" applyProtection="1">
      <protection hidden="1"/>
    </xf>
    <xf numFmtId="0" fontId="0" fillId="0" borderId="10" xfId="0" applyBorder="1" applyProtection="1">
      <protection hidden="1"/>
    </xf>
    <xf numFmtId="0" fontId="9" fillId="0" borderId="34" xfId="0" applyFont="1" applyBorder="1" applyAlignment="1" applyProtection="1">
      <alignment horizontal="center" vertical="center" wrapText="1"/>
      <protection hidden="1"/>
    </xf>
    <xf numFmtId="0" fontId="0" fillId="0" borderId="33" xfId="0" applyBorder="1" applyProtection="1">
      <protection hidden="1"/>
    </xf>
    <xf numFmtId="0" fontId="9" fillId="0" borderId="96" xfId="0" applyFont="1" applyBorder="1" applyAlignment="1" applyProtection="1">
      <alignment horizontal="center" vertical="center"/>
      <protection hidden="1"/>
    </xf>
    <xf numFmtId="0" fontId="0" fillId="0" borderId="27" xfId="0" applyBorder="1" applyProtection="1">
      <protection hidden="1"/>
    </xf>
    <xf numFmtId="0" fontId="9" fillId="0" borderId="41" xfId="0" applyFont="1" applyBorder="1" applyAlignment="1" applyProtection="1">
      <alignment horizontal="right" vertical="center"/>
      <protection hidden="1"/>
    </xf>
    <xf numFmtId="0" fontId="0" fillId="0" borderId="47" xfId="0" applyBorder="1" applyProtection="1">
      <protection hidden="1"/>
    </xf>
    <xf numFmtId="12" fontId="18" fillId="9" borderId="45" xfId="8" applyNumberFormat="1" applyFont="1" applyFill="1" applyBorder="1" applyAlignment="1" applyProtection="1">
      <alignment horizontal="center" vertical="center" wrapText="1"/>
      <protection locked="0"/>
    </xf>
    <xf numFmtId="49" fontId="18" fillId="0" borderId="41" xfId="6" applyNumberFormat="1" applyFont="1" applyBorder="1" applyAlignment="1" applyProtection="1">
      <alignment horizontal="right" vertical="center" wrapText="1"/>
      <protection hidden="1"/>
    </xf>
    <xf numFmtId="0" fontId="9" fillId="0" borderId="96" xfId="0" applyFont="1" applyBorder="1" applyAlignment="1" applyProtection="1">
      <alignment horizontal="right" vertical="center"/>
      <protection hidden="1"/>
    </xf>
    <xf numFmtId="0" fontId="20" fillId="0" borderId="118" xfId="0" applyFont="1" applyBorder="1" applyAlignment="1" applyProtection="1">
      <alignment horizontal="center" vertical="center"/>
      <protection hidden="1"/>
    </xf>
    <xf numFmtId="0" fontId="0" fillId="0" borderId="55" xfId="0" applyBorder="1" applyProtection="1">
      <protection hidden="1"/>
    </xf>
    <xf numFmtId="0" fontId="0" fillId="0" borderId="76" xfId="0" applyBorder="1" applyProtection="1">
      <protection hidden="1"/>
    </xf>
    <xf numFmtId="12" fontId="18" fillId="9" borderId="96" xfId="8" applyNumberFormat="1" applyFont="1" applyFill="1" applyBorder="1" applyAlignment="1" applyProtection="1">
      <alignment horizontal="left" vertical="center" wrapText="1"/>
      <protection locked="0"/>
    </xf>
    <xf numFmtId="0" fontId="0" fillId="0" borderId="27" xfId="0" applyBorder="1" applyProtection="1">
      <protection locked="0"/>
    </xf>
    <xf numFmtId="12" fontId="18" fillId="9" borderId="45" xfId="8" applyNumberFormat="1" applyFont="1" applyFill="1" applyBorder="1" applyAlignment="1" applyProtection="1">
      <alignment horizontal="left" vertical="center"/>
      <protection locked="0"/>
    </xf>
    <xf numFmtId="0" fontId="8" fillId="0" borderId="105" xfId="0" applyFont="1" applyBorder="1" applyAlignment="1" applyProtection="1">
      <alignment horizontal="center" vertical="center" wrapText="1"/>
      <protection hidden="1"/>
    </xf>
    <xf numFmtId="0" fontId="0" fillId="0" borderId="38" xfId="0" applyBorder="1" applyProtection="1">
      <protection hidden="1"/>
    </xf>
    <xf numFmtId="0" fontId="0" fillId="0" borderId="39" xfId="0" applyBorder="1" applyProtection="1">
      <protection hidden="1"/>
    </xf>
    <xf numFmtId="0" fontId="8" fillId="0" borderId="18" xfId="0" applyFont="1" applyBorder="1" applyAlignment="1" applyProtection="1">
      <alignment horizontal="center" vertical="center" wrapText="1"/>
      <protection hidden="1"/>
    </xf>
    <xf numFmtId="0" fontId="0" fillId="0" borderId="100" xfId="0" applyBorder="1" applyProtection="1">
      <protection hidden="1"/>
    </xf>
    <xf numFmtId="0" fontId="0" fillId="0" borderId="101" xfId="0" applyBorder="1" applyProtection="1">
      <protection hidden="1"/>
    </xf>
    <xf numFmtId="0" fontId="16" fillId="12" borderId="0" xfId="0" applyFont="1" applyFill="1" applyAlignment="1" applyProtection="1">
      <alignment horizontal="center" vertical="center"/>
      <protection hidden="1"/>
    </xf>
    <xf numFmtId="0" fontId="9" fillId="0" borderId="121" xfId="0" applyFont="1" applyBorder="1" applyAlignment="1" applyProtection="1">
      <alignment horizontal="center" vertical="center"/>
      <protection hidden="1"/>
    </xf>
    <xf numFmtId="0" fontId="0" fillId="0" borderId="50" xfId="0" applyBorder="1" applyProtection="1">
      <protection hidden="1"/>
    </xf>
    <xf numFmtId="0" fontId="0" fillId="0" borderId="104" xfId="0" applyBorder="1" applyProtection="1">
      <protection hidden="1"/>
    </xf>
    <xf numFmtId="0" fontId="16" fillId="12" borderId="106" xfId="0" applyFont="1" applyFill="1" applyBorder="1" applyAlignment="1" applyProtection="1">
      <alignment horizontal="center" vertical="center"/>
      <protection hidden="1"/>
    </xf>
    <xf numFmtId="0" fontId="0" fillId="0" borderId="12" xfId="0" applyBorder="1" applyProtection="1">
      <protection hidden="1"/>
    </xf>
    <xf numFmtId="0" fontId="9" fillId="0" borderId="45" xfId="0" applyFont="1" applyBorder="1" applyAlignment="1" applyProtection="1">
      <alignment horizontal="center" vertical="center"/>
      <protection hidden="1"/>
    </xf>
    <xf numFmtId="0" fontId="0" fillId="0" borderId="108" xfId="0" applyBorder="1" applyProtection="1">
      <protection hidden="1"/>
    </xf>
    <xf numFmtId="49" fontId="18" fillId="0" borderId="111" xfId="6" applyNumberFormat="1" applyFont="1" applyBorder="1" applyAlignment="1" applyProtection="1">
      <alignment horizontal="right" vertical="center"/>
      <protection hidden="1"/>
    </xf>
    <xf numFmtId="0" fontId="0" fillId="0" borderId="112" xfId="0" applyBorder="1" applyProtection="1">
      <protection hidden="1"/>
    </xf>
    <xf numFmtId="0" fontId="8" fillId="0" borderId="96" xfId="0" applyFont="1" applyBorder="1" applyAlignment="1" applyProtection="1">
      <alignment horizontal="center" vertical="center" wrapText="1"/>
      <protection hidden="1"/>
    </xf>
    <xf numFmtId="0" fontId="17" fillId="0" borderId="31" xfId="0" applyFont="1" applyBorder="1" applyAlignment="1" applyProtection="1">
      <alignment horizontal="center" vertical="center"/>
      <protection hidden="1"/>
    </xf>
    <xf numFmtId="0" fontId="0" fillId="0" borderId="99" xfId="0" applyBorder="1" applyProtection="1">
      <protection hidden="1"/>
    </xf>
    <xf numFmtId="0" fontId="8" fillId="0" borderId="17" xfId="0" applyFont="1" applyBorder="1" applyAlignment="1" applyProtection="1">
      <alignment horizontal="center" vertical="center" wrapText="1"/>
      <protection hidden="1"/>
    </xf>
    <xf numFmtId="0" fontId="0" fillId="0" borderId="26" xfId="0" applyBorder="1" applyProtection="1">
      <protection hidden="1"/>
    </xf>
    <xf numFmtId="49" fontId="18" fillId="0" borderId="96" xfId="6" applyNumberFormat="1" applyFont="1" applyBorder="1" applyAlignment="1" applyProtection="1">
      <alignment horizontal="right" vertical="center" wrapText="1"/>
      <protection hidden="1"/>
    </xf>
    <xf numFmtId="0" fontId="9" fillId="0" borderId="45" xfId="0" applyFont="1" applyBorder="1" applyAlignment="1" applyProtection="1">
      <alignment horizontal="left" vertical="center"/>
      <protection hidden="1"/>
    </xf>
    <xf numFmtId="0" fontId="0" fillId="0" borderId="109" xfId="0" applyBorder="1" applyProtection="1">
      <protection hidden="1"/>
    </xf>
    <xf numFmtId="0" fontId="0" fillId="0" borderId="87" xfId="0" applyBorder="1" applyProtection="1">
      <protection hidden="1"/>
    </xf>
    <xf numFmtId="0" fontId="8" fillId="0" borderId="28" xfId="0" applyFont="1" applyBorder="1" applyAlignment="1" applyProtection="1">
      <alignment horizontal="center" vertical="center" wrapText="1"/>
      <protection hidden="1"/>
    </xf>
    <xf numFmtId="0" fontId="9" fillId="0" borderId="96" xfId="0" applyFont="1" applyBorder="1" applyAlignment="1" applyProtection="1">
      <alignment horizontal="center" vertical="center" wrapText="1"/>
      <protection hidden="1"/>
    </xf>
    <xf numFmtId="49" fontId="18" fillId="0" borderId="96" xfId="6" applyNumberFormat="1" applyFont="1" applyBorder="1" applyAlignment="1" applyProtection="1">
      <alignment horizontal="right" vertical="center"/>
      <protection hidden="1"/>
    </xf>
    <xf numFmtId="0" fontId="9" fillId="0" borderId="18" xfId="0" applyFont="1" applyBorder="1" applyAlignment="1" applyProtection="1">
      <alignment horizontal="center" vertical="center"/>
      <protection hidden="1"/>
    </xf>
    <xf numFmtId="0" fontId="16" fillId="12" borderId="0" xfId="0" applyFont="1" applyFill="1" applyAlignment="1" applyProtection="1">
      <alignment horizontal="center"/>
      <protection hidden="1"/>
    </xf>
    <xf numFmtId="0" fontId="9" fillId="0" borderId="41" xfId="0" applyFont="1" applyBorder="1" applyAlignment="1" applyProtection="1">
      <alignment horizontal="center" vertical="center"/>
      <protection hidden="1"/>
    </xf>
    <xf numFmtId="0" fontId="8" fillId="0" borderId="40" xfId="0" applyFont="1" applyBorder="1" applyAlignment="1" applyProtection="1">
      <alignment horizontal="center" vertical="center" wrapText="1"/>
      <protection hidden="1"/>
    </xf>
    <xf numFmtId="0" fontId="0" fillId="0" borderId="97" xfId="0" applyBorder="1" applyProtection="1">
      <protection hidden="1"/>
    </xf>
    <xf numFmtId="0" fontId="0" fillId="0" borderId="98" xfId="0" applyBorder="1" applyProtection="1">
      <protection hidden="1"/>
    </xf>
    <xf numFmtId="0" fontId="8" fillId="0" borderId="46" xfId="0" applyFont="1" applyBorder="1" applyAlignment="1" applyProtection="1">
      <alignment horizontal="center" vertical="center" wrapText="1"/>
      <protection hidden="1"/>
    </xf>
    <xf numFmtId="0" fontId="0" fillId="0" borderId="43" xfId="0" applyBorder="1" applyProtection="1">
      <protection hidden="1"/>
    </xf>
    <xf numFmtId="0" fontId="17" fillId="0" borderId="96" xfId="0" applyFont="1" applyBorder="1" applyAlignment="1" applyProtection="1">
      <alignment horizontal="center" vertical="center" wrapText="1"/>
      <protection hidden="1"/>
    </xf>
    <xf numFmtId="0" fontId="9" fillId="0" borderId="18" xfId="0" applyFont="1" applyBorder="1" applyAlignment="1" applyProtection="1">
      <alignment horizontal="left" vertical="center" wrapText="1"/>
      <protection hidden="1"/>
    </xf>
    <xf numFmtId="0" fontId="0" fillId="0" borderId="113" xfId="0" applyBorder="1" applyProtection="1">
      <protection hidden="1"/>
    </xf>
    <xf numFmtId="0" fontId="16" fillId="0" borderId="0" xfId="0" applyFont="1" applyAlignment="1" applyProtection="1">
      <alignment horizontal="right" vertical="center"/>
      <protection hidden="1"/>
    </xf>
    <xf numFmtId="12" fontId="18" fillId="9" borderId="111" xfId="8" applyNumberFormat="1" applyFont="1" applyFill="1" applyBorder="1" applyAlignment="1" applyProtection="1">
      <alignment horizontal="left" vertical="center" wrapText="1"/>
      <protection locked="0"/>
    </xf>
    <xf numFmtId="0" fontId="0" fillId="0" borderId="112" xfId="0" applyBorder="1" applyProtection="1">
      <protection locked="0"/>
    </xf>
    <xf numFmtId="0" fontId="14" fillId="0" borderId="31" xfId="0" applyFont="1" applyBorder="1" applyAlignment="1" applyProtection="1">
      <alignment horizontal="center" vertical="center"/>
      <protection hidden="1"/>
    </xf>
    <xf numFmtId="0" fontId="8" fillId="0" borderId="102" xfId="0" applyFont="1" applyBorder="1" applyAlignment="1" applyProtection="1">
      <alignment horizontal="center" vertical="center" wrapText="1"/>
      <protection hidden="1"/>
    </xf>
    <xf numFmtId="0" fontId="0" fillId="0" borderId="23" xfId="0" applyBorder="1" applyProtection="1">
      <protection hidden="1"/>
    </xf>
    <xf numFmtId="12" fontId="18" fillId="9" borderId="41" xfId="8" applyNumberFormat="1" applyFont="1" applyFill="1" applyBorder="1" applyAlignment="1" applyProtection="1">
      <alignment horizontal="left" vertical="center" wrapText="1"/>
      <protection locked="0"/>
    </xf>
    <xf numFmtId="0" fontId="0" fillId="0" borderId="47" xfId="0" applyBorder="1" applyProtection="1">
      <protection locked="0"/>
    </xf>
    <xf numFmtId="12" fontId="18" fillId="9" borderId="87" xfId="8" applyNumberFormat="1" applyFont="1" applyFill="1" applyBorder="1" applyAlignment="1" applyProtection="1">
      <alignment horizontal="left" vertical="center"/>
      <protection locked="0"/>
    </xf>
    <xf numFmtId="0" fontId="0" fillId="0" borderId="120" xfId="0" applyBorder="1" applyProtection="1">
      <protection locked="0"/>
    </xf>
    <xf numFmtId="0" fontId="9" fillId="0" borderId="52" xfId="0" applyFont="1" applyBorder="1" applyAlignment="1" applyProtection="1">
      <alignment horizontal="right" vertical="center" wrapText="1"/>
      <protection hidden="1"/>
    </xf>
    <xf numFmtId="0" fontId="0" fillId="0" borderId="29" xfId="0" applyBorder="1" applyProtection="1">
      <protection hidden="1"/>
    </xf>
    <xf numFmtId="0" fontId="0" fillId="0" borderId="58" xfId="0" applyBorder="1" applyProtection="1">
      <protection hidden="1"/>
    </xf>
    <xf numFmtId="0" fontId="9" fillId="0" borderId="111" xfId="0" applyFont="1" applyBorder="1" applyAlignment="1" applyProtection="1">
      <alignment horizontal="right" vertical="center"/>
      <protection hidden="1"/>
    </xf>
    <xf numFmtId="0" fontId="9" fillId="0" borderId="19" xfId="0" applyFont="1" applyBorder="1" applyAlignment="1" applyProtection="1">
      <alignment horizontal="right" vertical="center" wrapText="1"/>
      <protection hidden="1"/>
    </xf>
    <xf numFmtId="0" fontId="9" fillId="0" borderId="46" xfId="0" applyFont="1" applyBorder="1" applyAlignment="1" applyProtection="1">
      <alignment horizontal="center" vertical="center" wrapText="1"/>
      <protection hidden="1"/>
    </xf>
    <xf numFmtId="0" fontId="17" fillId="0" borderId="95" xfId="0" applyFont="1" applyBorder="1" applyAlignment="1" applyProtection="1">
      <alignment horizontal="center" vertical="center" wrapText="1"/>
      <protection hidden="1"/>
    </xf>
    <xf numFmtId="0" fontId="0" fillId="0" borderId="35" xfId="0" applyBorder="1" applyProtection="1">
      <protection hidden="1"/>
    </xf>
    <xf numFmtId="0" fontId="8" fillId="0" borderId="95" xfId="0" applyFont="1" applyBorder="1" applyAlignment="1" applyProtection="1">
      <alignment horizontal="center" vertical="center" wrapText="1"/>
      <protection hidden="1"/>
    </xf>
    <xf numFmtId="49" fontId="19" fillId="0" borderId="84" xfId="6" applyNumberFormat="1" applyFont="1" applyBorder="1" applyAlignment="1" applyProtection="1">
      <alignment horizontal="center" vertical="center" wrapText="1"/>
      <protection hidden="1"/>
    </xf>
    <xf numFmtId="0" fontId="0" fillId="0" borderId="119" xfId="0" applyBorder="1" applyProtection="1">
      <protection hidden="1"/>
    </xf>
    <xf numFmtId="0" fontId="8" fillId="0" borderId="111" xfId="0" applyFont="1" applyBorder="1" applyAlignment="1" applyProtection="1">
      <alignment horizontal="center" vertical="center"/>
      <protection hidden="1"/>
    </xf>
    <xf numFmtId="0" fontId="9" fillId="0" borderId="103" xfId="0" applyFont="1" applyBorder="1" applyAlignment="1" applyProtection="1">
      <alignment horizontal="center" vertical="center"/>
      <protection hidden="1"/>
    </xf>
    <xf numFmtId="0" fontId="8" fillId="0" borderId="107" xfId="0" applyFont="1" applyBorder="1" applyAlignment="1" applyProtection="1">
      <alignment horizontal="center" vertical="center" wrapText="1"/>
      <protection hidden="1"/>
    </xf>
    <xf numFmtId="0" fontId="9" fillId="10" borderId="114" xfId="0" applyFont="1" applyFill="1" applyBorder="1" applyAlignment="1" applyProtection="1">
      <alignment horizontal="left" vertical="top" wrapText="1"/>
      <protection hidden="1"/>
    </xf>
    <xf numFmtId="0" fontId="0" fillId="0" borderId="115" xfId="0" applyBorder="1" applyProtection="1">
      <protection hidden="1"/>
    </xf>
    <xf numFmtId="0" fontId="0" fillId="0" borderId="116" xfId="0" applyBorder="1" applyProtection="1">
      <protection hidden="1"/>
    </xf>
    <xf numFmtId="0" fontId="0" fillId="0" borderId="117" xfId="0" applyBorder="1" applyProtection="1">
      <protection hidden="1"/>
    </xf>
    <xf numFmtId="0" fontId="0" fillId="0" borderId="73" xfId="0" applyBorder="1" applyProtection="1">
      <protection hidden="1"/>
    </xf>
    <xf numFmtId="0" fontId="20" fillId="0" borderId="110" xfId="0" applyFont="1" applyBorder="1" applyAlignment="1" applyProtection="1">
      <alignment horizontal="center" vertical="center"/>
      <protection hidden="1"/>
    </xf>
    <xf numFmtId="0" fontId="17" fillId="0" borderId="40" xfId="0" applyFont="1" applyBorder="1" applyAlignment="1" applyProtection="1">
      <alignment horizontal="center" vertical="center" wrapText="1"/>
      <protection hidden="1"/>
    </xf>
    <xf numFmtId="1" fontId="7" fillId="0" borderId="28" xfId="0" applyNumberFormat="1" applyFont="1" applyBorder="1" applyAlignment="1">
      <alignment horizontal="center" vertical="center" textRotation="90"/>
    </xf>
    <xf numFmtId="0" fontId="0" fillId="0" borderId="29" xfId="0" applyBorder="1"/>
    <xf numFmtId="0" fontId="7" fillId="0" borderId="17" xfId="1" applyFont="1" applyBorder="1" applyAlignment="1">
      <alignment horizontal="center" vertical="center" textRotation="90" wrapText="1"/>
    </xf>
    <xf numFmtId="0" fontId="0" fillId="0" borderId="27" xfId="0" applyBorder="1"/>
    <xf numFmtId="14" fontId="7" fillId="0" borderId="17" xfId="0" applyNumberFormat="1" applyFont="1" applyBorder="1" applyAlignment="1">
      <alignment horizontal="center" vertical="center" textRotation="90"/>
    </xf>
    <xf numFmtId="0" fontId="0" fillId="0" borderId="26" xfId="0" applyBorder="1"/>
    <xf numFmtId="0" fontId="7" fillId="16" borderId="27" xfId="0" applyFont="1" applyFill="1" applyBorder="1" applyAlignment="1">
      <alignment horizontal="left" vertical="center" wrapText="1"/>
    </xf>
    <xf numFmtId="0" fontId="0" fillId="0" borderId="33" xfId="0" applyBorder="1"/>
    <xf numFmtId="0" fontId="0" fillId="15" borderId="0" xfId="0" applyFill="1" applyAlignment="1">
      <alignment horizontal="center" vertical="center"/>
    </xf>
    <xf numFmtId="0" fontId="0" fillId="0" borderId="0" xfId="0"/>
    <xf numFmtId="1" fontId="7" fillId="0" borderId="26" xfId="0" applyNumberFormat="1" applyFont="1" applyBorder="1" applyAlignment="1">
      <alignment horizontal="center" vertical="center" textRotation="90"/>
    </xf>
    <xf numFmtId="0" fontId="7" fillId="0" borderId="28" xfId="1" applyFont="1" applyBorder="1" applyAlignment="1">
      <alignment horizontal="center" vertical="center"/>
    </xf>
    <xf numFmtId="0" fontId="0" fillId="0" borderId="22" xfId="0" applyBorder="1"/>
    <xf numFmtId="0" fontId="0" fillId="0" borderId="24" xfId="0" applyBorder="1"/>
    <xf numFmtId="0" fontId="7" fillId="0" borderId="17" xfId="0" applyFont="1" applyBorder="1" applyAlignment="1">
      <alignment horizontal="center" vertical="center" textRotation="90"/>
    </xf>
    <xf numFmtId="0" fontId="7" fillId="0" borderId="17" xfId="0" quotePrefix="1" applyFont="1" applyBorder="1" applyAlignment="1">
      <alignment horizontal="left" vertical="top" wrapText="1"/>
    </xf>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0" xfId="0" applyAlignment="1">
      <alignment horizontal="right"/>
    </xf>
    <xf numFmtId="0" fontId="0" fillId="0" borderId="0" xfId="0" applyAlignment="1">
      <alignment horizontal="center" vertical="center"/>
    </xf>
    <xf numFmtId="166" fontId="7" fillId="5" borderId="122" xfId="1" applyNumberFormat="1" applyFont="1" applyFill="1" applyBorder="1" applyAlignment="1">
      <alignment horizontal="center" vertical="center" wrapText="1"/>
    </xf>
    <xf numFmtId="0" fontId="0" fillId="0" borderId="123" xfId="0" applyBorder="1"/>
    <xf numFmtId="0" fontId="7" fillId="0" borderId="122" xfId="0" applyFont="1" applyBorder="1" applyAlignment="1">
      <alignment horizontal="center" vertical="center"/>
    </xf>
    <xf numFmtId="0" fontId="0" fillId="0" borderId="97" xfId="0" applyBorder="1"/>
    <xf numFmtId="0" fontId="4" fillId="0" borderId="27" xfId="0" applyFont="1" applyBorder="1" applyAlignment="1">
      <alignment horizontal="center" vertical="center"/>
    </xf>
    <xf numFmtId="0" fontId="0" fillId="0" borderId="0" xfId="0" applyAlignment="1">
      <alignment horizontal="center"/>
    </xf>
    <xf numFmtId="0" fontId="7" fillId="15" borderId="17" xfId="0" applyFont="1" applyFill="1" applyBorder="1" applyAlignment="1">
      <alignment horizontal="left" vertical="top" wrapText="1"/>
    </xf>
    <xf numFmtId="0" fontId="69" fillId="16" borderId="0" xfId="0" applyFont="1" applyFill="1" applyAlignment="1">
      <alignment horizontal="left" vertical="top" wrapText="1"/>
    </xf>
    <xf numFmtId="0" fontId="7" fillId="0" borderId="124" xfId="0" applyFont="1" applyBorder="1" applyAlignment="1">
      <alignment horizontal="center" vertical="center" textRotation="90"/>
    </xf>
    <xf numFmtId="0" fontId="7" fillId="0" borderId="16" xfId="1" applyFont="1" applyBorder="1" applyAlignment="1">
      <alignment horizontal="center" vertical="center" wrapText="1"/>
    </xf>
    <xf numFmtId="0" fontId="4" fillId="0" borderId="122" xfId="1" applyFont="1" applyBorder="1" applyAlignment="1">
      <alignment horizontal="center" vertical="center" wrapText="1"/>
    </xf>
    <xf numFmtId="0" fontId="0" fillId="0" borderId="11" xfId="0" applyBorder="1" applyAlignment="1">
      <alignment horizontal="left" wrapText="1"/>
    </xf>
    <xf numFmtId="0" fontId="0" fillId="0" borderId="13" xfId="0" applyBorder="1" applyAlignment="1">
      <alignment horizontal="left" wrapText="1"/>
    </xf>
    <xf numFmtId="0" fontId="0" fillId="0" borderId="14" xfId="0" applyBorder="1"/>
    <xf numFmtId="0" fontId="0" fillId="0" borderId="8" xfId="0" applyBorder="1" applyAlignment="1">
      <alignment horizontal="left" wrapText="1"/>
    </xf>
    <xf numFmtId="0" fontId="0" fillId="0" borderId="9" xfId="0" applyBorder="1"/>
    <xf numFmtId="14" fontId="0" fillId="0" borderId="10" xfId="0" applyNumberFormat="1" applyBorder="1" applyAlignment="1">
      <alignment horizontal="center"/>
    </xf>
    <xf numFmtId="0" fontId="0" fillId="0" borderId="10" xfId="0" applyBorder="1"/>
    <xf numFmtId="0" fontId="6" fillId="15" borderId="125" xfId="0" applyFont="1" applyFill="1" applyBorder="1" applyAlignment="1">
      <alignment horizontal="center"/>
    </xf>
    <xf numFmtId="0" fontId="0" fillId="0" borderId="91" xfId="0" applyBorder="1"/>
    <xf numFmtId="0" fontId="0" fillId="0" borderId="92" xfId="0" applyBorder="1"/>
    <xf numFmtId="0" fontId="6" fillId="6" borderId="126" xfId="0" applyFont="1" applyFill="1" applyBorder="1" applyAlignment="1">
      <alignment horizontal="center"/>
    </xf>
    <xf numFmtId="0" fontId="0" fillId="0" borderId="93" xfId="0" applyBorder="1"/>
    <xf numFmtId="0" fontId="6" fillId="0" borderId="122" xfId="0" applyFont="1" applyBorder="1" applyAlignment="1">
      <alignment horizontal="center"/>
    </xf>
    <xf numFmtId="0" fontId="77" fillId="0" borderId="0" xfId="0" applyFont="1" applyAlignment="1">
      <alignment horizontal="center" vertical="center"/>
    </xf>
    <xf numFmtId="0" fontId="43" fillId="0" borderId="110" xfId="0" applyFont="1" applyBorder="1" applyAlignment="1">
      <alignment horizontal="center" vertical="center" wrapText="1"/>
    </xf>
    <xf numFmtId="0" fontId="54" fillId="0" borderId="134" xfId="0" applyFont="1" applyBorder="1" applyAlignment="1">
      <alignment horizontal="center" vertical="center"/>
    </xf>
    <xf numFmtId="0" fontId="0" fillId="0" borderId="55" xfId="0" applyBorder="1"/>
    <xf numFmtId="0" fontId="0" fillId="0" borderId="56" xfId="0" applyBorder="1"/>
    <xf numFmtId="0" fontId="43" fillId="0" borderId="127" xfId="0" applyFont="1" applyBorder="1" applyAlignment="1">
      <alignment horizontal="center" vertical="center"/>
    </xf>
    <xf numFmtId="0" fontId="0" fillId="0" borderId="129" xfId="0" applyBorder="1"/>
    <xf numFmtId="0" fontId="54" fillId="0" borderId="134" xfId="0" applyFont="1" applyBorder="1" applyAlignment="1">
      <alignment horizontal="center" vertical="center" wrapText="1"/>
    </xf>
    <xf numFmtId="0" fontId="42" fillId="0" borderId="106" xfId="0" applyFont="1" applyBorder="1" applyAlignment="1">
      <alignment horizontal="justify" vertical="center"/>
    </xf>
    <xf numFmtId="0" fontId="43" fillId="0" borderId="0" xfId="0" applyFont="1"/>
    <xf numFmtId="0" fontId="0" fillId="0" borderId="12" xfId="0" applyBorder="1"/>
    <xf numFmtId="0" fontId="0" fillId="0" borderId="134" xfId="0" applyBorder="1" applyAlignment="1">
      <alignment vertical="top" wrapText="1"/>
    </xf>
    <xf numFmtId="0" fontId="42" fillId="0" borderId="134" xfId="0" applyFont="1" applyBorder="1" applyAlignment="1">
      <alignment horizontal="center" vertical="center"/>
    </xf>
    <xf numFmtId="0" fontId="43" fillId="0" borderId="110" xfId="0" applyFont="1" applyBorder="1" applyAlignment="1">
      <alignment horizontal="center" vertical="center"/>
    </xf>
    <xf numFmtId="0" fontId="74" fillId="12" borderId="134" xfId="0" applyFont="1" applyFill="1" applyBorder="1" applyAlignment="1" applyProtection="1">
      <alignment horizontal="center" vertical="center" wrapText="1"/>
      <protection locked="0"/>
    </xf>
    <xf numFmtId="0" fontId="0" fillId="0" borderId="56" xfId="0" applyBorder="1" applyProtection="1">
      <protection locked="0"/>
    </xf>
    <xf numFmtId="49" fontId="54" fillId="0" borderId="134" xfId="0" applyNumberFormat="1" applyFont="1" applyBorder="1" applyAlignment="1" applyProtection="1">
      <alignment horizontal="center" vertical="center" wrapText="1"/>
      <protection locked="0"/>
    </xf>
    <xf numFmtId="0" fontId="0" fillId="0" borderId="55" xfId="0" applyBorder="1" applyProtection="1">
      <protection locked="0"/>
    </xf>
    <xf numFmtId="0" fontId="54" fillId="0" borderId="127" xfId="0" applyFont="1" applyBorder="1" applyAlignment="1">
      <alignment horizontal="center" vertical="center"/>
    </xf>
    <xf numFmtId="0" fontId="43" fillId="0" borderId="59" xfId="0" applyFont="1" applyBorder="1" applyAlignment="1">
      <alignment horizontal="center" vertical="center"/>
    </xf>
    <xf numFmtId="0" fontId="0" fillId="0" borderId="130" xfId="0" applyBorder="1"/>
    <xf numFmtId="0" fontId="0" fillId="0" borderId="117" xfId="0" applyBorder="1"/>
    <xf numFmtId="0" fontId="0" fillId="0" borderId="15" xfId="0" applyBorder="1"/>
    <xf numFmtId="0" fontId="73" fillId="0" borderId="59" xfId="0" applyFont="1" applyBorder="1" applyAlignment="1">
      <alignment horizontal="center" vertical="center"/>
    </xf>
    <xf numFmtId="0" fontId="54" fillId="0" borderId="134" xfId="0" applyFont="1" applyBorder="1" applyAlignment="1" applyProtection="1">
      <alignment horizontal="center" vertical="center" wrapText="1"/>
      <protection locked="0"/>
    </xf>
    <xf numFmtId="0" fontId="52" fillId="0" borderId="134" xfId="0" applyFont="1" applyBorder="1" applyAlignment="1">
      <alignment horizontal="center" vertical="center"/>
    </xf>
    <xf numFmtId="0" fontId="54" fillId="12" borderId="8" xfId="0" applyFont="1" applyFill="1" applyBorder="1" applyAlignment="1" applyProtection="1">
      <alignment horizontal="left" vertical="top" wrapText="1"/>
      <protection locked="0"/>
    </xf>
    <xf numFmtId="0" fontId="0" fillId="0" borderId="9" xfId="0" applyBorder="1" applyProtection="1">
      <protection locked="0"/>
    </xf>
    <xf numFmtId="0" fontId="73" fillId="0" borderId="59" xfId="0" applyFont="1" applyBorder="1" applyAlignment="1" applyProtection="1">
      <alignment horizontal="center" vertical="center"/>
      <protection locked="0"/>
    </xf>
    <xf numFmtId="0" fontId="0" fillId="0" borderId="10" xfId="0" applyBorder="1" applyProtection="1">
      <protection locked="0"/>
    </xf>
    <xf numFmtId="0" fontId="0" fillId="0" borderId="130" xfId="0" applyBorder="1" applyProtection="1">
      <protection locked="0"/>
    </xf>
    <xf numFmtId="0" fontId="0" fillId="0" borderId="117" xfId="0" applyBorder="1" applyProtection="1">
      <protection locked="0"/>
    </xf>
    <xf numFmtId="0" fontId="0" fillId="0" borderId="15" xfId="0" applyBorder="1" applyProtection="1">
      <protection locked="0"/>
    </xf>
    <xf numFmtId="0" fontId="0" fillId="0" borderId="59" xfId="0" applyBorder="1" applyAlignment="1">
      <alignment vertical="top"/>
    </xf>
    <xf numFmtId="0" fontId="43" fillId="12" borderId="106" xfId="0" applyFont="1" applyFill="1" applyBorder="1" applyAlignment="1" applyProtection="1">
      <alignment horizontal="left" vertical="center" wrapText="1" indent="4"/>
      <protection locked="0"/>
    </xf>
    <xf numFmtId="0" fontId="0" fillId="0" borderId="0" xfId="0" applyProtection="1">
      <protection locked="0"/>
    </xf>
    <xf numFmtId="0" fontId="0" fillId="0" borderId="12" xfId="0" applyBorder="1" applyProtection="1">
      <protection locked="0"/>
    </xf>
    <xf numFmtId="0" fontId="58" fillId="0" borderId="59" xfId="0" applyFont="1" applyBorder="1" applyAlignment="1">
      <alignment vertical="center"/>
    </xf>
    <xf numFmtId="0" fontId="57" fillId="12" borderId="106" xfId="0" applyFont="1" applyFill="1" applyBorder="1" applyAlignment="1" applyProtection="1">
      <alignment horizontal="left" vertical="center" wrapText="1" indent="4"/>
      <protection locked="0"/>
    </xf>
    <xf numFmtId="0" fontId="43" fillId="0" borderId="132" xfId="0" applyFont="1" applyBorder="1" applyAlignment="1">
      <alignment horizontal="center" vertical="center" wrapText="1"/>
    </xf>
    <xf numFmtId="0" fontId="0" fillId="0" borderId="133" xfId="0" applyBorder="1"/>
    <xf numFmtId="0" fontId="0" fillId="0" borderId="61" xfId="0" applyBorder="1"/>
    <xf numFmtId="0" fontId="44" fillId="0" borderId="106" xfId="0" applyFont="1" applyBorder="1" applyAlignment="1">
      <alignment horizontal="center" vertical="center"/>
    </xf>
    <xf numFmtId="0" fontId="43" fillId="0" borderId="110" xfId="0" applyFont="1" applyBorder="1" applyAlignment="1">
      <alignment horizontal="justify" vertical="center" wrapText="1"/>
    </xf>
    <xf numFmtId="0" fontId="47" fillId="0" borderId="137" xfId="0" applyFont="1" applyBorder="1" applyAlignment="1">
      <alignment horizontal="left" vertical="center" wrapText="1"/>
    </xf>
    <xf numFmtId="0" fontId="0" fillId="0" borderId="136" xfId="0" applyBorder="1"/>
    <xf numFmtId="0" fontId="0" fillId="0" borderId="138" xfId="0" applyBorder="1"/>
    <xf numFmtId="0" fontId="0" fillId="0" borderId="25" xfId="0" applyBorder="1"/>
    <xf numFmtId="0" fontId="43" fillId="5" borderId="131" xfId="0" applyFont="1" applyFill="1" applyBorder="1" applyAlignment="1">
      <alignment horizontal="center" vertical="center"/>
    </xf>
    <xf numFmtId="0" fontId="0" fillId="0" borderId="80" xfId="0" applyBorder="1"/>
    <xf numFmtId="0" fontId="0" fillId="0" borderId="81" xfId="0" applyBorder="1"/>
    <xf numFmtId="0" fontId="71" fillId="0" borderId="110" xfId="0" applyFont="1" applyBorder="1" applyAlignment="1">
      <alignment horizontal="center" vertical="center"/>
    </xf>
    <xf numFmtId="0" fontId="54" fillId="12" borderId="54" xfId="0" quotePrefix="1" applyFont="1" applyFill="1" applyBorder="1" applyAlignment="1" applyProtection="1">
      <alignment horizontal="left" vertical="center" wrapText="1"/>
      <protection locked="0"/>
    </xf>
    <xf numFmtId="0" fontId="54" fillId="0" borderId="59" xfId="0" applyFont="1" applyBorder="1" applyAlignment="1">
      <alignment horizontal="center" vertical="center" wrapText="1"/>
    </xf>
    <xf numFmtId="0" fontId="0" fillId="0" borderId="11" xfId="0" applyBorder="1"/>
    <xf numFmtId="0" fontId="0" fillId="0" borderId="128" xfId="0" applyBorder="1"/>
    <xf numFmtId="0" fontId="43" fillId="0" borderId="134" xfId="0" applyFont="1" applyBorder="1" applyAlignment="1">
      <alignment horizontal="center" vertical="center" wrapText="1"/>
    </xf>
    <xf numFmtId="0" fontId="55" fillId="0" borderId="110" xfId="0" applyFont="1" applyBorder="1" applyAlignment="1">
      <alignment horizontal="center" vertical="center" wrapText="1"/>
    </xf>
    <xf numFmtId="0" fontId="43" fillId="0" borderId="127" xfId="0" applyFont="1" applyBorder="1" applyAlignment="1">
      <alignment horizontal="center" vertical="center" wrapText="1"/>
    </xf>
    <xf numFmtId="0" fontId="60" fillId="0" borderId="14" xfId="0" applyFont="1" applyBorder="1" applyAlignment="1">
      <alignment horizontal="center" vertical="center"/>
    </xf>
    <xf numFmtId="0" fontId="43" fillId="0" borderId="106" xfId="0" applyFont="1" applyBorder="1" applyAlignment="1">
      <alignment horizontal="justify" vertical="center"/>
    </xf>
    <xf numFmtId="0" fontId="57" fillId="12" borderId="0" xfId="0" applyFont="1" applyFill="1" applyAlignment="1" applyProtection="1">
      <alignment horizontal="left" vertical="center" wrapText="1" indent="4"/>
      <protection locked="0"/>
    </xf>
    <xf numFmtId="0" fontId="56" fillId="0" borderId="59" xfId="0" applyFont="1" applyBorder="1" applyAlignment="1">
      <alignment horizontal="center" vertical="center" wrapText="1"/>
    </xf>
    <xf numFmtId="0" fontId="54" fillId="0" borderId="110" xfId="0" applyFont="1" applyBorder="1" applyAlignment="1">
      <alignment horizontal="center" vertical="center"/>
    </xf>
    <xf numFmtId="0" fontId="54" fillId="0" borderId="110" xfId="0" applyFont="1" applyBorder="1" applyAlignment="1" applyProtection="1">
      <alignment horizontal="center" vertical="center" wrapText="1"/>
      <protection locked="0"/>
    </xf>
    <xf numFmtId="0" fontId="43" fillId="0" borderId="134" xfId="0" applyFont="1" applyBorder="1" applyAlignment="1">
      <alignment horizontal="center" vertical="center"/>
    </xf>
    <xf numFmtId="0" fontId="54" fillId="0" borderId="127" xfId="0" applyFont="1" applyBorder="1" applyAlignment="1">
      <alignment horizontal="center" vertical="center" wrapText="1"/>
    </xf>
    <xf numFmtId="0" fontId="43" fillId="5" borderId="127" xfId="0" applyFont="1" applyFill="1" applyBorder="1" applyAlignment="1">
      <alignment horizontal="center" vertical="center"/>
    </xf>
    <xf numFmtId="0" fontId="43" fillId="0" borderId="139" xfId="0" applyFont="1" applyBorder="1" applyAlignment="1">
      <alignment horizontal="center" vertical="center" wrapText="1"/>
    </xf>
    <xf numFmtId="0" fontId="0" fillId="0" borderId="82" xfId="0" applyBorder="1"/>
    <xf numFmtId="0" fontId="0" fillId="0" borderId="83" xfId="0" applyBorder="1"/>
    <xf numFmtId="0" fontId="52" fillId="0" borderId="134" xfId="0" applyFont="1" applyBorder="1" applyAlignment="1">
      <alignment vertical="center"/>
    </xf>
    <xf numFmtId="0" fontId="43" fillId="12" borderId="106" xfId="0" applyFont="1" applyFill="1" applyBorder="1" applyAlignment="1" applyProtection="1">
      <alignment horizontal="justify" vertical="center" wrapText="1"/>
      <protection locked="0"/>
    </xf>
    <xf numFmtId="0" fontId="62" fillId="12" borderId="0" xfId="0" applyFont="1" applyFill="1" applyAlignment="1" applyProtection="1">
      <alignment horizontal="left" vertical="center" wrapText="1" indent="4"/>
      <protection locked="0"/>
    </xf>
    <xf numFmtId="0" fontId="43" fillId="0" borderId="135" xfId="0" quotePrefix="1" applyFont="1" applyBorder="1" applyAlignment="1">
      <alignment horizontal="left" vertical="center" wrapText="1"/>
    </xf>
    <xf numFmtId="0" fontId="73" fillId="0" borderId="59" xfId="0" applyFont="1" applyBorder="1" applyAlignment="1" applyProtection="1">
      <alignment horizontal="center" vertical="center" wrapText="1"/>
      <protection locked="0"/>
    </xf>
    <xf numFmtId="0" fontId="0" fillId="0" borderId="0" xfId="0" applyNumberFormat="1"/>
    <xf numFmtId="0" fontId="7" fillId="5" borderId="0" xfId="0" applyFont="1" applyFill="1" applyAlignment="1">
      <alignment wrapText="1"/>
    </xf>
    <xf numFmtId="0" fontId="7" fillId="5" borderId="0" xfId="0" applyFont="1" applyFill="1" applyAlignment="1">
      <alignment horizontal="center" wrapText="1"/>
    </xf>
    <xf numFmtId="0" fontId="7" fillId="5" borderId="0" xfId="0" applyFont="1" applyFill="1" applyAlignment="1">
      <alignment horizontal="left"/>
    </xf>
    <xf numFmtId="164" fontId="7" fillId="5" borderId="3" xfId="0" applyNumberFormat="1" applyFont="1" applyFill="1" applyBorder="1"/>
    <xf numFmtId="164" fontId="7" fillId="5" borderId="22" xfId="0" applyNumberFormat="1" applyFont="1" applyFill="1" applyBorder="1"/>
    <xf numFmtId="166" fontId="7" fillId="5" borderId="22" xfId="0" applyNumberFormat="1" applyFont="1" applyFill="1" applyBorder="1"/>
    <xf numFmtId="0" fontId="7" fillId="5" borderId="0" xfId="0" applyFont="1" applyFill="1"/>
    <xf numFmtId="2" fontId="7" fillId="5" borderId="22" xfId="0" applyNumberFormat="1" applyFont="1" applyFill="1" applyBorder="1"/>
    <xf numFmtId="164" fontId="7" fillId="5" borderId="21" xfId="0" applyNumberFormat="1" applyFont="1" applyFill="1" applyBorder="1"/>
    <xf numFmtId="0" fontId="7" fillId="5" borderId="22" xfId="0" applyFont="1" applyFill="1" applyBorder="1"/>
    <xf numFmtId="2" fontId="7" fillId="5" borderId="24" xfId="0" applyNumberFormat="1" applyFont="1" applyFill="1" applyBorder="1"/>
    <xf numFmtId="164" fontId="7" fillId="5" borderId="0" xfId="0" applyNumberFormat="1" applyFont="1" applyFill="1"/>
    <xf numFmtId="166" fontId="7" fillId="5" borderId="0" xfId="0" applyNumberFormat="1" applyFont="1" applyFill="1"/>
    <xf numFmtId="2" fontId="7" fillId="5" borderId="0" xfId="0" applyNumberFormat="1" applyFont="1" applyFill="1"/>
    <xf numFmtId="0" fontId="7" fillId="5" borderId="4" xfId="0" applyFont="1" applyFill="1" applyBorder="1"/>
    <xf numFmtId="166" fontId="7" fillId="5" borderId="28" xfId="0" applyNumberFormat="1" applyFont="1" applyFill="1" applyBorder="1"/>
  </cellXfs>
  <cellStyles count="14">
    <cellStyle name="Гиперссылка" xfId="10" builtinId="8"/>
    <cellStyle name="Обычный" xfId="0" builtinId="0"/>
    <cellStyle name="Обычный 10 2" xfId="12" xr:uid="{00000000-0005-0000-0000-00000C000000}"/>
    <cellStyle name="Обычный 112" xfId="3" xr:uid="{00000000-0005-0000-0000-000003000000}"/>
    <cellStyle name="Обычный 114" xfId="2" xr:uid="{00000000-0005-0000-0000-000002000000}"/>
    <cellStyle name="Обычный 2 2" xfId="1" xr:uid="{00000000-0005-0000-0000-000001000000}"/>
    <cellStyle name="Обычный 2 4" xfId="9" xr:uid="{00000000-0005-0000-0000-000009000000}"/>
    <cellStyle name="Обычный 3" xfId="4" xr:uid="{00000000-0005-0000-0000-000004000000}"/>
    <cellStyle name="Обычный 3 2" xfId="13" xr:uid="{00000000-0005-0000-0000-00000D000000}"/>
    <cellStyle name="Обычный 3 6" xfId="11" xr:uid="{00000000-0005-0000-0000-00000B000000}"/>
    <cellStyle name="Обычный 8 2_7. КНБК_КНБК" xfId="8" xr:uid="{00000000-0005-0000-0000-000008000000}"/>
    <cellStyle name="Обычный_2-Новый суточный рапорт 2" xfId="6" xr:uid="{00000000-0005-0000-0000-000006000000}"/>
    <cellStyle name="Обычный_Рапорт 23.03.08 2" xfId="7" xr:uid="{00000000-0005-0000-0000-000007000000}"/>
    <cellStyle name="Процентный" xfId="5" builtinId="5"/>
  </cellStyles>
  <dxfs count="313">
    <dxf>
      <numFmt numFmtId="1" formatCode="0"/>
    </dxf>
    <dxf>
      <numFmt numFmtId="1" formatCode="0"/>
    </dxf>
    <dxf>
      <numFmt numFmtId="1" formatCode="0"/>
    </dxf>
    <dxf>
      <numFmt numFmtId="13" formatCode="0%"/>
    </dxf>
    <dxf>
      <numFmt numFmtId="13" formatCode="0%"/>
    </dxf>
    <dxf>
      <numFmt numFmtId="13" formatCode="0%"/>
    </dxf>
    <dxf>
      <numFmt numFmtId="13" formatCode="0%"/>
    </dxf>
    <dxf>
      <numFmt numFmtId="13" formatCode="0%"/>
    </dxf>
    <dxf>
      <numFmt numFmtId="19" formatCode="dd/mm/yyyy"/>
    </dxf>
    <dxf>
      <numFmt numFmtId="166" formatCode="0.0"/>
    </dxf>
    <dxf>
      <numFmt numFmtId="1" formatCode="0"/>
    </dxf>
    <dxf>
      <numFmt numFmtId="1" formatCode="0"/>
    </dxf>
    <dxf>
      <numFmt numFmtId="1" formatCode="0"/>
    </dxf>
    <dxf>
      <numFmt numFmtId="13" formatCode="0%"/>
    </dxf>
    <dxf>
      <numFmt numFmtId="13" formatCode="0%"/>
    </dxf>
    <dxf>
      <numFmt numFmtId="13" formatCode="0%"/>
    </dxf>
    <dxf>
      <numFmt numFmtId="13" formatCode="0%"/>
    </dxf>
    <dxf>
      <numFmt numFmtId="13" formatCode="0%"/>
    </dxf>
    <dxf>
      <numFmt numFmtId="2" formatCode="0.00"/>
    </dxf>
    <dxf>
      <numFmt numFmtId="2" formatCode="0.00"/>
    </dxf>
    <dxf>
      <numFmt numFmtId="2" formatCode="0.00"/>
    </dxf>
    <dxf>
      <numFmt numFmtId="164" formatCode="dd/mm/yy\ h:mm;@"/>
    </dxf>
    <dxf>
      <numFmt numFmtId="19" formatCode="dd/mm/yyyy"/>
    </dxf>
    <dxf>
      <numFmt numFmtId="166" formatCode="0.0"/>
    </dxf>
    <dxf>
      <font>
        <strike val="0"/>
        <condense val="0"/>
        <extend val="0"/>
        <outline val="0"/>
        <shadow val="0"/>
        <vertAlign val="baseline"/>
        <sz val="10"/>
        <color theme="1"/>
        <name val="Century Gothic"/>
        <family val="1"/>
      </font>
      <fill>
        <patternFill>
          <fgColor indexed="64"/>
          <bgColor indexed="65"/>
        </patternFill>
      </fill>
      <alignment horizontal="general" vertical="bottom" wrapText="1"/>
    </dxf>
    <dxf>
      <font>
        <strike val="0"/>
        <condense val="0"/>
        <extend val="0"/>
        <outline val="0"/>
        <shadow val="0"/>
        <vertAlign val="baseline"/>
        <sz val="10"/>
        <color theme="1"/>
        <name val="Century Gothic"/>
        <family val="1"/>
      </font>
      <fill>
        <patternFill>
          <fgColor indexed="64"/>
          <bgColor indexed="65"/>
        </patternFill>
      </fill>
      <alignment horizontal="general" vertical="bottom" wrapText="1"/>
    </dxf>
    <dxf>
      <font>
        <strike val="0"/>
        <condense val="0"/>
        <extend val="0"/>
        <outline val="0"/>
        <shadow val="0"/>
        <vertAlign val="baseline"/>
        <sz val="10"/>
        <color theme="1"/>
        <name val="Century Gothic"/>
        <family val="1"/>
      </font>
      <fill>
        <patternFill>
          <fgColor indexed="64"/>
          <bgColor indexed="65"/>
        </patternFill>
      </fill>
      <alignment horizontal="general" vertical="bottom" wrapText="1"/>
    </dxf>
    <dxf>
      <font>
        <strike val="0"/>
        <condense val="0"/>
        <extend val="0"/>
        <outline val="0"/>
        <shadow val="0"/>
        <vertAlign val="baseline"/>
        <sz val="10"/>
        <color theme="1"/>
        <name val="Century Gothic"/>
        <family val="1"/>
      </font>
    </dxf>
    <dxf>
      <font>
        <strike val="0"/>
        <condense val="0"/>
        <extend val="0"/>
        <outline val="0"/>
        <shadow val="0"/>
        <vertAlign val="baseline"/>
        <sz val="10"/>
        <color theme="1"/>
        <name val="Century Gothic"/>
        <family val="1"/>
      </font>
    </dxf>
    <dxf>
      <font>
        <strike val="0"/>
        <condense val="0"/>
        <extend val="0"/>
        <outline val="0"/>
        <shadow val="0"/>
        <vertAlign val="baseline"/>
        <sz val="10"/>
        <color theme="1"/>
        <name val="Century Gothic"/>
        <family val="1"/>
      </font>
    </dxf>
    <dxf>
      <font>
        <strike val="0"/>
        <condense val="0"/>
        <extend val="0"/>
        <outline val="0"/>
        <shadow val="0"/>
        <vertAlign val="baseline"/>
        <sz val="10"/>
        <color theme="1"/>
        <name val="Century Gothic"/>
        <family val="1"/>
      </font>
    </dxf>
    <dxf>
      <font>
        <strike val="0"/>
        <condense val="0"/>
        <extend val="0"/>
        <outline val="0"/>
        <shadow val="0"/>
        <vertAlign val="baseline"/>
        <sz val="10"/>
        <color theme="1"/>
        <name val="Century Gothic"/>
        <family val="1"/>
      </font>
    </dxf>
    <dxf>
      <font>
        <strike val="0"/>
        <condense val="0"/>
        <extend val="0"/>
        <outline val="0"/>
        <shadow val="0"/>
        <vertAlign val="baseline"/>
        <sz val="10"/>
        <color theme="1"/>
        <name val="Century Gothic"/>
        <family val="1"/>
      </font>
    </dxf>
    <dxf>
      <font>
        <strike val="0"/>
        <condense val="0"/>
        <extend val="0"/>
        <outline val="0"/>
        <shadow val="0"/>
        <vertAlign val="baseline"/>
        <sz val="10"/>
        <color theme="1"/>
        <name val="Century Gothic"/>
        <family val="1"/>
      </font>
    </dxf>
    <dxf>
      <font>
        <strike val="0"/>
        <condense val="0"/>
        <extend val="0"/>
        <outline val="0"/>
        <shadow val="0"/>
        <vertAlign val="baseline"/>
        <sz val="10"/>
        <color theme="1"/>
        <name val="Century Gothic"/>
        <family val="1"/>
      </font>
    </dxf>
    <dxf>
      <font>
        <strike val="0"/>
        <condense val="0"/>
        <extend val="0"/>
        <outline val="0"/>
        <shadow val="0"/>
        <vertAlign val="baseline"/>
        <sz val="10"/>
        <color theme="1"/>
        <name val="Century Gothic"/>
        <family val="1"/>
      </font>
    </dxf>
    <dxf>
      <font>
        <strike val="0"/>
        <condense val="0"/>
        <extend val="0"/>
        <outline val="0"/>
        <shadow val="0"/>
        <vertAlign val="baseline"/>
        <sz val="10"/>
        <color theme="1"/>
        <name val="Century Gothic"/>
        <family val="1"/>
      </font>
    </dxf>
    <dxf>
      <font>
        <strike val="0"/>
        <condense val="0"/>
        <extend val="0"/>
        <outline val="0"/>
        <shadow val="0"/>
        <vertAlign val="baseline"/>
        <sz val="10"/>
        <color theme="1"/>
        <name val="Century Gothic"/>
        <family val="1"/>
      </font>
    </dxf>
    <dxf>
      <font>
        <strike val="0"/>
        <condense val="0"/>
        <extend val="0"/>
        <outline val="0"/>
        <shadow val="0"/>
        <vertAlign val="baseline"/>
        <sz val="10"/>
        <color theme="1"/>
        <name val="Century Gothic"/>
        <family val="1"/>
      </font>
    </dxf>
    <dxf>
      <font>
        <strike val="0"/>
        <condense val="0"/>
        <extend val="0"/>
        <outline val="0"/>
        <shadow val="0"/>
        <vertAlign val="baseline"/>
        <sz val="10"/>
        <color theme="1"/>
        <name val="Century Gothic"/>
        <family val="1"/>
      </font>
    </dxf>
    <dxf>
      <font>
        <strike val="0"/>
        <condense val="0"/>
        <extend val="0"/>
        <outline val="0"/>
        <shadow val="0"/>
        <vertAlign val="baseline"/>
        <sz val="10"/>
        <color theme="1"/>
        <name val="Century Gothic"/>
        <family val="1"/>
      </font>
    </dxf>
    <dxf>
      <font>
        <strike val="0"/>
        <condense val="0"/>
        <extend val="0"/>
        <outline val="0"/>
        <shadow val="0"/>
        <vertAlign val="baseline"/>
        <sz val="10"/>
        <color theme="1"/>
        <name val="Century Gothic"/>
        <family val="1"/>
      </font>
    </dxf>
    <dxf>
      <font>
        <strike val="0"/>
        <condense val="0"/>
        <extend val="0"/>
        <outline val="0"/>
        <shadow val="0"/>
        <vertAlign val="baseline"/>
        <sz val="10"/>
        <color theme="1"/>
        <name val="Century Gothic"/>
        <family val="1"/>
      </font>
      <fill>
        <patternFill patternType="solid">
          <fgColor theme="4" tint="0.79998168889431442"/>
          <bgColor theme="4" tint="0.79998168889431442"/>
        </patternFill>
      </fill>
      <alignment horizontal="general" vertical="bottom"/>
      <border>
        <left/>
        <right/>
        <top style="thin">
          <color theme="4" tint="0.39997558519241921"/>
        </top>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strike val="0"/>
        <condense val="0"/>
        <extend val="0"/>
        <outline val="0"/>
        <shadow val="0"/>
        <vertAlign val="baseline"/>
        <sz val="10"/>
        <color theme="1"/>
        <name val="Century Gothic"/>
        <family val="1"/>
      </font>
      <fill>
        <patternFill patternType="solid">
          <fgColor theme="4" tint="0.79998168889431442"/>
          <bgColor theme="4" tint="0.79998168889431442"/>
        </patternFill>
      </fill>
      <alignment horizontal="general" vertical="bottom"/>
    </dxf>
    <dxf>
      <border outline="0">
        <bottom style="thin">
          <color theme="4" tint="0.39997558519241921"/>
        </bottom>
      </border>
    </dxf>
    <dxf>
      <font>
        <b/>
        <strike val="0"/>
        <condense val="0"/>
        <extend val="0"/>
        <outline val="0"/>
        <shadow val="0"/>
        <vertAlign val="baseline"/>
        <sz val="10"/>
        <color theme="0"/>
        <name val="Century Gothic"/>
        <family val="1"/>
      </font>
      <fill>
        <patternFill patternType="solid">
          <fgColor theme="4"/>
          <bgColor theme="4"/>
        </patternFill>
      </fill>
      <alignment horizontal="general" vertical="bottom"/>
    </dxf>
    <dxf>
      <font>
        <strike val="0"/>
        <condense val="0"/>
        <extend val="0"/>
        <outline val="0"/>
        <shadow val="0"/>
        <vertAlign val="baseline"/>
        <sz val="11"/>
        <color theme="1"/>
        <name val="Century Gothic"/>
        <family val="1"/>
      </font>
      <fill>
        <patternFill patternType="solid">
          <fgColor theme="4" tint="0.79998168889431442"/>
          <bgColor theme="4" tint="0.79998168889431442"/>
        </patternFill>
      </fill>
      <border>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strike val="0"/>
        <condense val="0"/>
        <extend val="0"/>
        <outline val="0"/>
        <shadow val="0"/>
        <vertAlign val="baseline"/>
        <sz val="11"/>
        <color theme="1"/>
        <name val="Century Gothic"/>
        <family val="1"/>
      </font>
      <fill>
        <patternFill patternType="solid">
          <fgColor theme="4" tint="0.79998168889431442"/>
          <bgColor theme="4" tint="0.79998168889431442"/>
        </patternFill>
      </fill>
    </dxf>
    <dxf>
      <font>
        <b/>
        <strike val="0"/>
        <condense val="0"/>
        <extend val="0"/>
        <outline val="0"/>
        <shadow val="0"/>
        <vertAlign val="baseline"/>
        <sz val="11"/>
        <color theme="0"/>
        <name val="Century Gothic"/>
        <family val="1"/>
      </font>
      <fill>
        <patternFill patternType="solid">
          <fgColor theme="4"/>
          <bgColor theme="4"/>
        </patternFill>
      </fill>
    </dxf>
    <dxf>
      <font>
        <strike val="0"/>
        <condense val="0"/>
        <extend val="0"/>
        <outline val="0"/>
        <shadow val="0"/>
        <vertAlign val="baseline"/>
        <sz val="10"/>
        <color theme="1"/>
        <name val="Century Gothic"/>
        <family val="1"/>
      </font>
      <fill>
        <patternFill>
          <fgColor indexed="64"/>
          <bgColor indexed="65"/>
        </patternFill>
      </fill>
      <alignment horizontal="general" vertical="bottom" wrapText="1"/>
    </dxf>
    <dxf>
      <font>
        <strike val="0"/>
        <condense val="0"/>
        <extend val="0"/>
        <outline val="0"/>
        <shadow val="0"/>
        <vertAlign val="baseline"/>
        <sz val="10"/>
        <color theme="1"/>
        <name val="Century Gothic"/>
        <family val="1"/>
      </font>
      <fill>
        <patternFill>
          <fgColor indexed="64"/>
          <bgColor indexed="65"/>
        </patternFill>
      </fill>
      <alignment horizontal="general" vertical="bottom" wrapText="1"/>
    </dxf>
    <dxf>
      <font>
        <strike val="0"/>
        <condense val="0"/>
        <extend val="0"/>
        <outline val="0"/>
        <shadow val="0"/>
        <vertAlign val="baseline"/>
        <sz val="10"/>
        <color theme="1"/>
        <name val="Century Gothic"/>
        <family val="1"/>
      </font>
      <fill>
        <patternFill>
          <fgColor indexed="64"/>
          <bgColor indexed="65"/>
        </patternFill>
      </fill>
      <alignment horizontal="general" vertical="bottom"/>
    </dxf>
    <dxf>
      <font>
        <strike val="0"/>
        <condense val="0"/>
        <extend val="0"/>
        <outline val="0"/>
        <shadow val="0"/>
        <vertAlign val="baseline"/>
        <sz val="10"/>
        <color theme="1"/>
        <name val="Century Gothic"/>
        <family val="1"/>
      </font>
      <fill>
        <patternFill>
          <fgColor indexed="64"/>
          <bgColor indexed="65"/>
        </patternFill>
      </fill>
      <alignment horizontal="general" vertical="bottom" wrapText="1"/>
    </dxf>
    <dxf>
      <font>
        <strike val="0"/>
        <condense val="0"/>
        <extend val="0"/>
        <outline val="0"/>
        <shadow val="0"/>
        <vertAlign val="baseline"/>
        <sz val="10"/>
        <color theme="1"/>
        <name val="Century Gothic"/>
        <family val="1"/>
      </font>
      <fill>
        <patternFill>
          <fgColor indexed="64"/>
          <bgColor indexed="65"/>
        </patternFill>
      </fill>
      <alignment horizontal="general" vertical="bottom" wrapText="1"/>
    </dxf>
    <dxf>
      <font>
        <strike val="0"/>
        <condense val="0"/>
        <extend val="0"/>
        <outline val="0"/>
        <shadow val="0"/>
        <vertAlign val="baseline"/>
        <sz val="10"/>
        <color theme="1"/>
        <name val="Century Gothic"/>
        <family val="1"/>
      </font>
      <fill>
        <patternFill>
          <fgColor indexed="64"/>
          <bgColor indexed="65"/>
        </patternFill>
      </fill>
      <alignment horizontal="general" vertical="bottom"/>
    </dxf>
    <dxf>
      <font>
        <strike val="0"/>
        <condense val="0"/>
        <extend val="0"/>
        <outline val="0"/>
        <shadow val="0"/>
        <vertAlign val="baseline"/>
        <sz val="10"/>
        <color theme="1"/>
        <name val="Century Gothic"/>
        <family val="1"/>
      </font>
      <fill>
        <patternFill>
          <fgColor indexed="64"/>
          <bgColor indexed="65"/>
        </patternFill>
      </fill>
      <alignment horizontal="general" vertical="bottom" wrapText="1"/>
    </dxf>
    <dxf>
      <font>
        <strike val="0"/>
        <condense val="0"/>
        <extend val="0"/>
        <outline val="0"/>
        <shadow val="0"/>
        <vertAlign val="baseline"/>
        <sz val="10"/>
        <color theme="1"/>
        <name val="Century Gothic"/>
        <family val="1"/>
      </font>
      <fill>
        <patternFill>
          <fgColor indexed="64"/>
          <bgColor indexed="65"/>
        </patternFill>
      </fill>
      <alignment horizontal="general" vertical="bottom" wrapText="1"/>
    </dxf>
    <dxf>
      <font>
        <strike val="0"/>
        <condense val="0"/>
        <extend val="0"/>
        <outline val="0"/>
        <shadow val="0"/>
        <vertAlign val="baseline"/>
        <sz val="10"/>
        <color theme="1"/>
        <name val="Century Gothic"/>
        <family val="1"/>
      </font>
      <fill>
        <patternFill>
          <fgColor indexed="64"/>
          <bgColor indexed="65"/>
        </patternFill>
      </fill>
      <alignment horizontal="general" vertical="bottom"/>
    </dxf>
    <dxf>
      <font>
        <strike val="0"/>
        <condense val="0"/>
        <extend val="0"/>
        <outline val="0"/>
        <shadow val="0"/>
        <vertAlign val="baseline"/>
        <sz val="10"/>
        <color theme="1"/>
        <name val="Century Gothic"/>
        <family val="1"/>
      </font>
      <fill>
        <patternFill>
          <fgColor indexed="64"/>
          <bgColor indexed="65"/>
        </patternFill>
      </fill>
      <alignment horizontal="general" vertical="bottom" wrapText="1"/>
    </dxf>
    <dxf>
      <font>
        <strike val="0"/>
        <condense val="0"/>
        <extend val="0"/>
        <outline val="0"/>
        <shadow val="0"/>
        <vertAlign val="baseline"/>
        <sz val="10"/>
        <color theme="1"/>
        <name val="Century Gothic"/>
        <family val="1"/>
      </font>
      <fill>
        <patternFill>
          <fgColor indexed="64"/>
          <bgColor indexed="65"/>
        </patternFill>
      </fill>
      <alignment horizontal="general" vertical="bottom" wrapText="1"/>
    </dxf>
    <dxf>
      <font>
        <strike val="0"/>
        <condense val="0"/>
        <extend val="0"/>
        <outline val="0"/>
        <shadow val="0"/>
        <vertAlign val="baseline"/>
        <sz val="10"/>
        <color theme="1"/>
        <name val="Century Gothic"/>
        <family val="1"/>
      </font>
      <fill>
        <patternFill>
          <fgColor indexed="64"/>
          <bgColor indexed="65"/>
        </patternFill>
      </fill>
      <alignment horizontal="general" vertical="bottom"/>
    </dxf>
    <dxf>
      <font>
        <strike val="0"/>
        <condense val="0"/>
        <extend val="0"/>
        <outline val="0"/>
        <shadow val="0"/>
        <vertAlign val="baseline"/>
        <sz val="10"/>
        <color theme="1"/>
        <name val="Century Gothic"/>
        <family val="1"/>
      </font>
      <fill>
        <patternFill>
          <fgColor indexed="64"/>
          <bgColor indexed="65"/>
        </patternFill>
      </fill>
      <alignment horizontal="general" vertical="bottom" wrapText="1"/>
    </dxf>
    <dxf>
      <font>
        <strike val="0"/>
        <condense val="0"/>
        <extend val="0"/>
        <outline val="0"/>
        <shadow val="0"/>
        <vertAlign val="baseline"/>
        <sz val="10"/>
        <color theme="1"/>
        <name val="Century Gothic"/>
        <family val="1"/>
      </font>
      <fill>
        <patternFill>
          <fgColor indexed="64"/>
          <bgColor indexed="65"/>
        </patternFill>
      </fill>
      <alignment horizontal="general" vertical="bottom" wrapText="1"/>
    </dxf>
    <dxf>
      <font>
        <strike val="0"/>
        <condense val="0"/>
        <extend val="0"/>
        <outline val="0"/>
        <shadow val="0"/>
        <vertAlign val="baseline"/>
        <sz val="10"/>
        <color theme="1"/>
        <name val="Century Gothic"/>
        <family val="1"/>
      </font>
      <fill>
        <patternFill>
          <fgColor indexed="64"/>
          <bgColor indexed="65"/>
        </patternFill>
      </fill>
      <alignment horizontal="general" vertical="bottom"/>
    </dxf>
    <dxf>
      <font>
        <strike val="0"/>
        <condense val="0"/>
        <extend val="0"/>
        <outline val="0"/>
        <shadow val="0"/>
        <vertAlign val="baseline"/>
        <sz val="10"/>
        <color theme="1"/>
        <name val="Century Gothic"/>
        <family val="1"/>
      </font>
      <fill>
        <patternFill>
          <fgColor indexed="64"/>
          <bgColor indexed="65"/>
        </patternFill>
      </fill>
      <alignment horizontal="general" vertical="bottom" wrapText="1"/>
    </dxf>
    <dxf>
      <font>
        <strike val="0"/>
        <condense val="0"/>
        <extend val="0"/>
        <outline val="0"/>
        <shadow val="0"/>
        <vertAlign val="baseline"/>
        <sz val="10"/>
        <color theme="1"/>
        <name val="Century Gothic"/>
        <family val="1"/>
      </font>
      <fill>
        <patternFill>
          <fgColor indexed="64"/>
          <bgColor indexed="65"/>
        </patternFill>
      </fill>
      <alignment horizontal="general" vertical="bottom" wrapText="1"/>
    </dxf>
    <dxf>
      <font>
        <strike val="0"/>
        <condense val="0"/>
        <extend val="0"/>
        <outline val="0"/>
        <shadow val="0"/>
        <vertAlign val="baseline"/>
        <sz val="10"/>
        <color theme="1"/>
        <name val="Century Gothic"/>
        <family val="1"/>
      </font>
      <fill>
        <patternFill>
          <fgColor indexed="64"/>
          <bgColor indexed="65"/>
        </patternFill>
      </fill>
      <alignment horizontal="general" vertical="bottom"/>
    </dxf>
    <dxf>
      <font>
        <strike val="0"/>
        <condense val="0"/>
        <extend val="0"/>
        <outline val="0"/>
        <shadow val="0"/>
        <vertAlign val="baseline"/>
        <sz val="10"/>
        <color theme="1"/>
        <name val="Century Gothic"/>
        <family val="1"/>
      </font>
      <fill>
        <patternFill>
          <fgColor indexed="64"/>
          <bgColor indexed="65"/>
        </patternFill>
      </fill>
      <alignment horizontal="general" vertical="bottom" wrapText="1"/>
    </dxf>
    <dxf>
      <font>
        <strike val="0"/>
        <condense val="0"/>
        <extend val="0"/>
        <outline val="0"/>
        <shadow val="0"/>
        <vertAlign val="baseline"/>
        <sz val="10"/>
        <color theme="1"/>
        <name val="Century Gothic"/>
        <family val="1"/>
      </font>
      <fill>
        <patternFill>
          <fgColor indexed="64"/>
          <bgColor indexed="65"/>
        </patternFill>
      </fill>
      <alignment horizontal="general" vertical="bottom" wrapText="1"/>
    </dxf>
    <dxf>
      <font>
        <strike val="0"/>
        <condense val="0"/>
        <extend val="0"/>
        <outline val="0"/>
        <shadow val="0"/>
        <vertAlign val="baseline"/>
        <sz val="10"/>
        <color theme="1"/>
        <name val="Century Gothic"/>
        <family val="1"/>
      </font>
      <fill>
        <patternFill>
          <fgColor indexed="64"/>
          <bgColor indexed="65"/>
        </patternFill>
      </fill>
      <alignment horizontal="general" vertical="bottom"/>
    </dxf>
    <dxf>
      <font>
        <strike val="0"/>
        <condense val="0"/>
        <extend val="0"/>
        <outline val="0"/>
        <shadow val="0"/>
        <vertAlign val="baseline"/>
        <sz val="10"/>
        <color theme="1"/>
        <name val="Century Gothic"/>
        <family val="1"/>
      </font>
      <fill>
        <patternFill>
          <fgColor indexed="64"/>
          <bgColor indexed="65"/>
        </patternFill>
      </fill>
      <alignment horizontal="general" vertical="bottom" wrapText="1"/>
    </dxf>
    <dxf>
      <font>
        <strike val="0"/>
        <condense val="0"/>
        <extend val="0"/>
        <outline val="0"/>
        <shadow val="0"/>
        <vertAlign val="baseline"/>
        <sz val="10"/>
        <color theme="1"/>
        <name val="Century Gothic"/>
        <family val="1"/>
      </font>
      <fill>
        <patternFill>
          <fgColor indexed="64"/>
          <bgColor indexed="65"/>
        </patternFill>
      </fill>
      <alignment horizontal="general" vertical="bottom" wrapText="1"/>
    </dxf>
    <dxf>
      <font>
        <strike val="0"/>
        <condense val="0"/>
        <extend val="0"/>
        <outline val="0"/>
        <shadow val="0"/>
        <vertAlign val="baseline"/>
        <sz val="10"/>
        <color theme="1"/>
        <name val="Century Gothic"/>
        <family val="1"/>
      </font>
      <fill>
        <patternFill>
          <fgColor indexed="64"/>
          <bgColor indexed="65"/>
        </patternFill>
      </fill>
      <alignment horizontal="general" vertical="bottom"/>
    </dxf>
    <dxf>
      <font>
        <strike val="0"/>
        <condense val="0"/>
        <extend val="0"/>
        <outline val="0"/>
        <shadow val="0"/>
        <vertAlign val="baseline"/>
        <sz val="10"/>
        <color theme="1"/>
        <name val="Century Gothic"/>
        <family val="1"/>
      </font>
      <fill>
        <patternFill>
          <fgColor indexed="64"/>
          <bgColor indexed="65"/>
        </patternFill>
      </fill>
      <alignment horizontal="general" vertical="bottom" wrapText="1"/>
    </dxf>
    <dxf>
      <font>
        <strike val="0"/>
        <condense val="0"/>
        <extend val="0"/>
        <outline val="0"/>
        <shadow val="0"/>
        <vertAlign val="baseline"/>
        <sz val="10"/>
        <color theme="1"/>
        <name val="Century Gothic"/>
        <family val="1"/>
      </font>
      <fill>
        <patternFill>
          <fgColor indexed="64"/>
          <bgColor indexed="65"/>
        </patternFill>
      </fill>
      <alignment horizontal="general" vertical="bottom" wrapText="1"/>
    </dxf>
    <dxf>
      <font>
        <strike val="0"/>
        <condense val="0"/>
        <extend val="0"/>
        <outline val="0"/>
        <shadow val="0"/>
        <vertAlign val="baseline"/>
        <sz val="10"/>
        <color theme="1"/>
        <name val="Century Gothic"/>
        <family val="1"/>
      </font>
      <fill>
        <patternFill>
          <fgColor indexed="64"/>
          <bgColor indexed="65"/>
        </patternFill>
      </fill>
      <alignment horizontal="general" vertical="bottom"/>
    </dxf>
    <dxf>
      <font>
        <strike val="0"/>
        <condense val="0"/>
        <extend val="0"/>
        <outline val="0"/>
        <shadow val="0"/>
        <vertAlign val="baseline"/>
        <sz val="10"/>
        <color theme="1"/>
        <name val="Century Gothic"/>
        <family val="1"/>
      </font>
      <fill>
        <patternFill>
          <fgColor indexed="64"/>
          <bgColor indexed="65"/>
        </patternFill>
      </fill>
      <alignment horizontal="general" vertical="bottom" wrapText="1"/>
    </dxf>
    <dxf>
      <font>
        <strike val="0"/>
        <condense val="0"/>
        <extend val="0"/>
        <outline val="0"/>
        <shadow val="0"/>
        <vertAlign val="baseline"/>
        <sz val="10"/>
        <color theme="1"/>
        <name val="Century Gothic"/>
        <family val="1"/>
      </font>
      <fill>
        <patternFill>
          <fgColor indexed="64"/>
          <bgColor indexed="65"/>
        </patternFill>
      </fill>
      <alignment horizontal="general" vertical="bottom" wrapText="1"/>
    </dxf>
    <dxf>
      <font>
        <strike val="0"/>
        <condense val="0"/>
        <extend val="0"/>
        <outline val="0"/>
        <shadow val="0"/>
        <vertAlign val="baseline"/>
        <sz val="10"/>
        <color theme="1"/>
        <name val="Century Gothic"/>
        <family val="1"/>
      </font>
      <fill>
        <patternFill>
          <fgColor indexed="64"/>
          <bgColor indexed="65"/>
        </patternFill>
      </fill>
      <alignment horizontal="general" vertical="bottom"/>
    </dxf>
    <dxf>
      <font>
        <strike val="0"/>
        <condense val="0"/>
        <extend val="0"/>
        <outline val="0"/>
        <shadow val="0"/>
        <vertAlign val="baseline"/>
        <sz val="10"/>
        <color theme="1"/>
        <name val="Century Gothic"/>
        <family val="1"/>
      </font>
      <fill>
        <patternFill>
          <fgColor indexed="64"/>
          <bgColor indexed="65"/>
        </patternFill>
      </fill>
      <alignment horizontal="general" vertical="bottom" wrapText="1"/>
    </dxf>
    <dxf>
      <font>
        <strike val="0"/>
        <condense val="0"/>
        <extend val="0"/>
        <outline val="0"/>
        <shadow val="0"/>
        <vertAlign val="baseline"/>
        <sz val="10"/>
        <color theme="1"/>
        <name val="Century Gothic"/>
        <family val="1"/>
      </font>
      <fill>
        <patternFill>
          <fgColor indexed="64"/>
          <bgColor indexed="65"/>
        </patternFill>
      </fill>
      <alignment horizontal="general" vertical="bottom" wrapText="1"/>
    </dxf>
    <dxf>
      <font>
        <strike val="0"/>
        <condense val="0"/>
        <extend val="0"/>
        <outline val="0"/>
        <shadow val="0"/>
        <vertAlign val="baseline"/>
        <sz val="10"/>
        <color theme="1"/>
        <name val="Century Gothic"/>
        <family val="1"/>
      </font>
      <fill>
        <patternFill>
          <fgColor indexed="64"/>
          <bgColor indexed="65"/>
        </patternFill>
      </fill>
      <alignment horizontal="general" vertical="bottom"/>
    </dxf>
    <dxf>
      <font>
        <b/>
        <strike val="0"/>
        <condense val="0"/>
        <extend val="0"/>
        <outline val="0"/>
        <shadow val="0"/>
        <vertAlign val="baseline"/>
        <sz val="10"/>
        <color theme="1"/>
        <name val="Century Gothic"/>
        <family val="1"/>
      </font>
      <fill>
        <patternFill>
          <fgColor indexed="64"/>
          <bgColor indexed="65"/>
        </patternFill>
      </fill>
      <alignment horizontal="general" vertical="bottom"/>
    </dxf>
    <dxf>
      <font>
        <b/>
        <strike val="0"/>
        <condense val="0"/>
        <extend val="0"/>
        <outline val="0"/>
        <shadow val="0"/>
        <vertAlign val="baseline"/>
        <sz val="10"/>
        <color theme="1"/>
        <name val="Century Gothic"/>
        <family val="1"/>
      </font>
      <fill>
        <patternFill>
          <fgColor indexed="64"/>
          <bgColor indexed="65"/>
        </patternFill>
      </fill>
      <alignment horizontal="general" vertical="bottom"/>
    </dxf>
    <dxf>
      <font>
        <b/>
        <strike val="0"/>
        <condense val="0"/>
        <extend val="0"/>
        <outline val="0"/>
        <shadow val="0"/>
        <vertAlign val="baseline"/>
        <sz val="10"/>
        <color theme="1"/>
        <name val="Century Gothic"/>
        <family val="1"/>
      </font>
      <fill>
        <patternFill>
          <fgColor indexed="64"/>
          <bgColor indexed="65"/>
        </patternFill>
      </fill>
      <alignment horizontal="general" vertical="bottom"/>
    </dxf>
    <dxf>
      <font>
        <strike val="0"/>
        <condense val="0"/>
        <extend val="0"/>
        <outline val="0"/>
        <shadow val="0"/>
        <vertAlign val="baseline"/>
        <sz val="10"/>
        <color theme="1"/>
        <name val="Century Gothic"/>
        <family val="1"/>
      </font>
      <fill>
        <patternFill patternType="solid">
          <fgColor theme="4" tint="0.79998168889431442"/>
          <bgColor theme="4" tint="0.79998168889431442"/>
        </patternFill>
      </fill>
      <alignment horizontal="general" vertical="bottom" wrapText="1"/>
      <border>
        <left style="thin">
          <color theme="4" tint="0.39997558519241921"/>
        </left>
        <right style="thin">
          <color theme="4" tint="0.39997558519241921"/>
        </right>
        <top style="thin">
          <color theme="4" tint="0.39997558519241921"/>
        </top>
        <bottom style="thin">
          <color theme="4" tint="0.39997558519241921"/>
        </bottom>
        <vertical/>
        <horizontal/>
      </border>
    </dxf>
    <dxf>
      <font>
        <strike val="0"/>
        <condense val="0"/>
        <extend val="0"/>
        <outline val="0"/>
        <shadow val="0"/>
        <vertAlign val="baseline"/>
        <sz val="10"/>
        <color theme="1"/>
        <name val="Century Gothic"/>
        <family val="1"/>
      </font>
      <fill>
        <patternFill patternType="solid">
          <fgColor theme="4" tint="0.79998168889431442"/>
          <bgColor theme="4" tint="0.79998168889431442"/>
        </patternFill>
      </fill>
      <alignment horizontal="general" vertical="bottom" wrapText="1"/>
    </dxf>
    <dxf>
      <font>
        <b/>
        <strike val="0"/>
        <condense val="0"/>
        <extend val="0"/>
        <outline val="0"/>
        <shadow val="0"/>
        <vertAlign val="baseline"/>
        <sz val="10"/>
        <color theme="1"/>
        <name val="Century Gothic"/>
        <family val="1"/>
      </font>
      <fill>
        <patternFill>
          <fgColor indexed="64"/>
          <bgColor indexed="65"/>
        </patternFill>
      </fill>
      <alignment horizontal="general" vertical="bottom"/>
    </dxf>
    <dxf>
      <font>
        <strike val="0"/>
        <condense val="0"/>
        <extend val="0"/>
        <outline val="0"/>
        <shadow val="0"/>
        <vertAlign val="baseline"/>
        <sz val="10"/>
        <color theme="1"/>
        <name val="Century Gothic"/>
        <family val="1"/>
      </font>
      <fill>
        <patternFill>
          <fgColor indexed="64"/>
          <bgColor indexed="65"/>
        </patternFill>
      </fill>
      <alignment horizontal="general" vertical="bottom" wrapText="1"/>
    </dxf>
    <dxf>
      <font>
        <strike val="0"/>
        <condense val="0"/>
        <extend val="0"/>
        <outline val="0"/>
        <shadow val="0"/>
        <vertAlign val="baseline"/>
        <sz val="10"/>
        <color theme="1"/>
        <name val="Century Gothic"/>
        <family val="1"/>
      </font>
      <fill>
        <patternFill>
          <fgColor indexed="64"/>
          <bgColor indexed="65"/>
        </patternFill>
      </fill>
      <alignment horizontal="general" vertical="bottom" wrapText="1"/>
    </dxf>
    <dxf>
      <font>
        <b/>
        <strike val="0"/>
        <condense val="0"/>
        <extend val="0"/>
        <outline val="0"/>
        <shadow val="0"/>
        <vertAlign val="baseline"/>
        <sz val="10"/>
        <color theme="1"/>
        <name val="Century Gothic"/>
        <family val="1"/>
      </font>
      <fill>
        <patternFill>
          <fgColor indexed="64"/>
          <bgColor indexed="65"/>
        </patternFill>
      </fill>
      <alignment horizontal="general" vertical="bottom"/>
    </dxf>
    <dxf>
      <font>
        <strike val="0"/>
        <condense val="0"/>
        <extend val="0"/>
        <outline val="0"/>
        <shadow val="0"/>
        <vertAlign val="baseline"/>
        <sz val="10"/>
        <color theme="1"/>
        <name val="Century Gothic"/>
        <family val="1"/>
      </font>
      <fill>
        <patternFill>
          <fgColor indexed="64"/>
          <bgColor indexed="65"/>
        </patternFill>
      </fill>
      <alignment horizontal="general" vertical="bottom" wrapText="1"/>
    </dxf>
    <dxf>
      <font>
        <strike val="0"/>
        <condense val="0"/>
        <extend val="0"/>
        <outline val="0"/>
        <shadow val="0"/>
        <vertAlign val="baseline"/>
        <sz val="10"/>
        <color theme="1"/>
        <name val="Century Gothic"/>
        <family val="1"/>
      </font>
      <fill>
        <patternFill>
          <fgColor indexed="64"/>
          <bgColor indexed="65"/>
        </patternFill>
      </fill>
      <alignment horizontal="general" vertical="bottom" wrapText="1"/>
    </dxf>
    <dxf>
      <font>
        <strike val="0"/>
        <condense val="0"/>
        <extend val="0"/>
        <outline val="0"/>
        <shadow val="0"/>
        <vertAlign val="baseline"/>
        <sz val="10"/>
        <color theme="1"/>
        <name val="Century Gothic"/>
        <family val="1"/>
      </font>
      <fill>
        <patternFill>
          <fgColor indexed="64"/>
          <bgColor indexed="65"/>
        </patternFill>
      </fill>
      <alignment horizontal="general" vertical="bottom"/>
    </dxf>
    <dxf>
      <font>
        <strike val="0"/>
        <condense val="0"/>
        <extend val="0"/>
        <outline val="0"/>
        <shadow val="0"/>
        <vertAlign val="baseline"/>
        <sz val="10"/>
        <color theme="1"/>
        <name val="Century Gothic"/>
        <family val="1"/>
      </font>
      <fill>
        <patternFill>
          <fgColor indexed="64"/>
          <bgColor indexed="65"/>
        </patternFill>
      </fill>
      <alignment horizontal="general" vertical="bottom" wrapText="1"/>
    </dxf>
    <dxf>
      <font>
        <strike val="0"/>
        <condense val="0"/>
        <extend val="0"/>
        <outline val="0"/>
        <shadow val="0"/>
        <vertAlign val="baseline"/>
        <sz val="10"/>
        <color theme="1"/>
        <name val="Century Gothic"/>
        <family val="1"/>
      </font>
      <fill>
        <patternFill>
          <fgColor indexed="64"/>
          <bgColor indexed="65"/>
        </patternFill>
      </fill>
      <alignment horizontal="general" vertical="bottom" wrapText="1"/>
    </dxf>
    <dxf>
      <font>
        <strike val="0"/>
        <condense val="0"/>
        <extend val="0"/>
        <outline val="0"/>
        <shadow val="0"/>
        <vertAlign val="baseline"/>
        <sz val="10"/>
        <color theme="1"/>
        <name val="Century Gothic"/>
        <family val="1"/>
      </font>
      <fill>
        <patternFill>
          <fgColor indexed="64"/>
          <bgColor indexed="65"/>
        </patternFill>
      </fill>
      <alignment horizontal="general" vertical="bottom"/>
    </dxf>
    <dxf>
      <font>
        <strike val="0"/>
        <condense val="0"/>
        <extend val="0"/>
        <outline val="0"/>
        <shadow val="0"/>
        <vertAlign val="baseline"/>
        <sz val="10"/>
        <color theme="1"/>
        <name val="Century Gothic"/>
        <family val="1"/>
      </font>
      <fill>
        <patternFill>
          <fgColor indexed="64"/>
          <bgColor indexed="65"/>
        </patternFill>
      </fill>
      <alignment horizontal="general" vertical="bottom" wrapText="1"/>
    </dxf>
    <dxf>
      <font>
        <strike val="0"/>
        <condense val="0"/>
        <extend val="0"/>
        <outline val="0"/>
        <shadow val="0"/>
        <vertAlign val="baseline"/>
        <sz val="10"/>
        <color theme="1"/>
        <name val="Century Gothic"/>
        <family val="1"/>
      </font>
      <fill>
        <patternFill>
          <fgColor indexed="64"/>
          <bgColor indexed="65"/>
        </patternFill>
      </fill>
      <alignment horizontal="general" vertical="bottom" wrapText="1"/>
    </dxf>
    <dxf>
      <font>
        <strike val="0"/>
        <condense val="0"/>
        <extend val="0"/>
        <outline val="0"/>
        <shadow val="0"/>
        <vertAlign val="baseline"/>
        <sz val="10"/>
        <color theme="1"/>
        <name val="Century Gothic"/>
        <family val="1"/>
      </font>
      <fill>
        <patternFill>
          <fgColor indexed="64"/>
          <bgColor indexed="65"/>
        </patternFill>
      </fill>
      <alignment horizontal="general" vertical="bottom"/>
    </dxf>
    <dxf>
      <font>
        <strike val="0"/>
        <condense val="0"/>
        <extend val="0"/>
        <outline val="0"/>
        <shadow val="0"/>
        <vertAlign val="baseline"/>
        <sz val="10"/>
        <color theme="1"/>
        <name val="Century Gothic"/>
        <family val="1"/>
      </font>
      <fill>
        <patternFill>
          <fgColor indexed="64"/>
          <bgColor indexed="65"/>
        </patternFill>
      </fill>
      <alignment horizontal="general" vertical="bottom" wrapText="1"/>
    </dxf>
    <dxf>
      <font>
        <strike val="0"/>
        <condense val="0"/>
        <extend val="0"/>
        <outline val="0"/>
        <shadow val="0"/>
        <vertAlign val="baseline"/>
        <sz val="10"/>
        <color theme="1"/>
        <name val="Century Gothic"/>
        <family val="1"/>
      </font>
      <fill>
        <patternFill>
          <fgColor indexed="64"/>
          <bgColor indexed="65"/>
        </patternFill>
      </fill>
      <alignment horizontal="general" vertical="bottom" wrapText="1"/>
    </dxf>
    <dxf>
      <font>
        <b/>
        <strike val="0"/>
        <condense val="0"/>
        <extend val="0"/>
        <outline val="0"/>
        <shadow val="0"/>
        <vertAlign val="baseline"/>
        <sz val="10"/>
        <color theme="1"/>
        <name val="Century Gothic"/>
        <family val="1"/>
      </font>
      <fill>
        <patternFill>
          <fgColor indexed="64"/>
          <bgColor indexed="65"/>
        </patternFill>
      </fill>
      <alignment horizontal="general" vertical="bottom"/>
    </dxf>
    <dxf>
      <font>
        <strike val="0"/>
        <condense val="0"/>
        <extend val="0"/>
        <outline val="0"/>
        <shadow val="0"/>
        <vertAlign val="baseline"/>
        <sz val="10"/>
        <color theme="1"/>
        <name val="Century Gothic"/>
        <family val="1"/>
      </font>
      <fill>
        <patternFill>
          <fgColor indexed="64"/>
          <bgColor indexed="65"/>
        </patternFill>
      </fill>
      <alignment horizontal="general" vertical="bottom" wrapText="1"/>
    </dxf>
    <dxf>
      <font>
        <strike val="0"/>
        <condense val="0"/>
        <extend val="0"/>
        <outline val="0"/>
        <shadow val="0"/>
        <vertAlign val="baseline"/>
        <sz val="10"/>
        <color theme="1"/>
        <name val="Century Gothic"/>
        <family val="1"/>
      </font>
      <fill>
        <patternFill>
          <fgColor indexed="64"/>
          <bgColor indexed="65"/>
        </patternFill>
      </fill>
      <alignment horizontal="general" vertical="bottom" wrapText="1"/>
    </dxf>
    <dxf>
      <font>
        <b/>
        <strike val="0"/>
        <condense val="0"/>
        <extend val="0"/>
        <outline val="0"/>
        <shadow val="0"/>
        <vertAlign val="baseline"/>
        <sz val="10"/>
        <color theme="1"/>
        <name val="Century Gothic"/>
        <family val="1"/>
      </font>
      <fill>
        <patternFill>
          <fgColor indexed="64"/>
          <bgColor indexed="65"/>
        </patternFill>
      </fill>
      <alignment horizontal="general" vertical="bottom"/>
    </dxf>
    <dxf>
      <font>
        <strike val="0"/>
        <condense val="0"/>
        <extend val="0"/>
        <outline val="0"/>
        <shadow val="0"/>
        <vertAlign val="baseline"/>
        <sz val="10"/>
        <color theme="1"/>
        <name val="Century Gothic"/>
        <family val="1"/>
      </font>
      <fill>
        <patternFill>
          <fgColor indexed="64"/>
          <bgColor indexed="65"/>
        </patternFill>
      </fill>
      <alignment horizontal="general" vertical="bottom" wrapText="1"/>
    </dxf>
    <dxf>
      <font>
        <strike val="0"/>
        <condense val="0"/>
        <extend val="0"/>
        <outline val="0"/>
        <shadow val="0"/>
        <vertAlign val="baseline"/>
        <sz val="10"/>
        <color theme="1"/>
        <name val="Century Gothic"/>
        <family val="1"/>
      </font>
      <fill>
        <patternFill>
          <fgColor indexed="64"/>
          <bgColor indexed="65"/>
        </patternFill>
      </fill>
      <alignment horizontal="general" vertical="bottom" wrapText="1"/>
    </dxf>
    <dxf>
      <font>
        <b/>
        <strike val="0"/>
        <condense val="0"/>
        <extend val="0"/>
        <outline val="0"/>
        <shadow val="0"/>
        <vertAlign val="baseline"/>
        <sz val="10"/>
        <color theme="1"/>
        <name val="Century Gothic"/>
        <family val="1"/>
      </font>
      <fill>
        <patternFill>
          <fgColor indexed="64"/>
          <bgColor indexed="65"/>
        </patternFill>
      </fill>
      <alignment horizontal="general" vertical="bottom"/>
    </dxf>
    <dxf>
      <font>
        <strike val="0"/>
        <condense val="0"/>
        <extend val="0"/>
        <outline val="0"/>
        <shadow val="0"/>
        <vertAlign val="baseline"/>
        <sz val="10"/>
        <color theme="1"/>
        <name val="Century Gothic"/>
        <family val="1"/>
      </font>
      <fill>
        <patternFill>
          <fgColor indexed="64"/>
          <bgColor indexed="65"/>
        </patternFill>
      </fill>
      <alignment horizontal="general" vertical="bottom" wrapText="1"/>
    </dxf>
    <dxf>
      <font>
        <strike val="0"/>
        <condense val="0"/>
        <extend val="0"/>
        <outline val="0"/>
        <shadow val="0"/>
        <vertAlign val="baseline"/>
        <sz val="10"/>
        <color theme="1"/>
        <name val="Century Gothic"/>
        <family val="1"/>
      </font>
      <fill>
        <patternFill>
          <fgColor indexed="64"/>
          <bgColor indexed="65"/>
        </patternFill>
      </fill>
      <alignment horizontal="general" vertical="bottom" wrapText="1"/>
    </dxf>
    <dxf>
      <font>
        <b/>
        <strike val="0"/>
        <condense val="0"/>
        <extend val="0"/>
        <outline val="0"/>
        <shadow val="0"/>
        <vertAlign val="baseline"/>
        <sz val="10"/>
        <color theme="1"/>
        <name val="Century Gothic"/>
        <family val="1"/>
      </font>
      <fill>
        <patternFill>
          <fgColor indexed="64"/>
          <bgColor indexed="65"/>
        </patternFill>
      </fill>
      <alignment horizontal="general" vertical="bottom"/>
    </dxf>
    <dxf>
      <font>
        <strike val="0"/>
        <condense val="0"/>
        <extend val="0"/>
        <outline val="0"/>
        <shadow val="0"/>
        <vertAlign val="baseline"/>
        <sz val="10"/>
        <color theme="1"/>
        <name val="Century Gothic"/>
        <family val="1"/>
      </font>
      <fill>
        <patternFill>
          <fgColor indexed="64"/>
          <bgColor indexed="65"/>
        </patternFill>
      </fill>
      <alignment horizontal="general" vertical="bottom" wrapText="1"/>
    </dxf>
    <dxf>
      <font>
        <strike val="0"/>
        <condense val="0"/>
        <extend val="0"/>
        <outline val="0"/>
        <shadow val="0"/>
        <vertAlign val="baseline"/>
        <sz val="10"/>
        <color theme="1"/>
        <name val="Century Gothic"/>
        <family val="1"/>
      </font>
      <fill>
        <patternFill>
          <fgColor indexed="64"/>
          <bgColor indexed="65"/>
        </patternFill>
      </fill>
      <alignment horizontal="general" vertical="bottom" wrapText="1"/>
    </dxf>
    <dxf>
      <font>
        <b/>
        <strike val="0"/>
        <condense val="0"/>
        <extend val="0"/>
        <outline val="0"/>
        <shadow val="0"/>
        <vertAlign val="baseline"/>
        <sz val="10"/>
        <color theme="1"/>
        <name val="Century Gothic"/>
        <family val="1"/>
      </font>
      <fill>
        <patternFill>
          <fgColor indexed="64"/>
          <bgColor indexed="65"/>
        </patternFill>
      </fill>
      <alignment horizontal="general" vertical="bottom"/>
    </dxf>
    <dxf>
      <font>
        <strike val="0"/>
        <condense val="0"/>
        <extend val="0"/>
        <outline val="0"/>
        <shadow val="0"/>
        <vertAlign val="baseline"/>
        <sz val="10"/>
        <color theme="1"/>
        <name val="Century Gothic"/>
        <family val="1"/>
      </font>
      <fill>
        <patternFill>
          <fgColor indexed="64"/>
          <bgColor indexed="65"/>
        </patternFill>
      </fill>
      <alignment horizontal="general" vertical="bottom" wrapText="1"/>
    </dxf>
    <dxf>
      <border outline="0">
        <top style="thin">
          <color theme="4" tint="0.39997558519241921"/>
        </top>
      </border>
    </dxf>
    <dxf>
      <font>
        <strike val="0"/>
        <condense val="0"/>
        <extend val="0"/>
        <outline val="0"/>
        <shadow val="0"/>
        <vertAlign val="baseline"/>
        <sz val="10"/>
        <color theme="1"/>
        <name val="Century Gothic"/>
        <family val="1"/>
      </font>
      <fill>
        <patternFill>
          <fgColor indexed="64"/>
          <bgColor indexed="65"/>
        </patternFill>
      </fill>
      <alignment horizontal="general" vertical="bottom" wrapText="1"/>
    </dxf>
    <dxf>
      <border outline="0">
        <bottom style="thin">
          <color theme="4" tint="0.39997558519241921"/>
        </bottom>
      </border>
    </dxf>
    <dxf>
      <font>
        <b/>
        <strike val="0"/>
        <condense val="0"/>
        <extend val="0"/>
        <outline val="0"/>
        <shadow val="0"/>
        <vertAlign val="baseline"/>
        <sz val="10"/>
        <color theme="1"/>
        <name val="Century Gothic"/>
        <family val="1"/>
      </font>
      <fill>
        <patternFill>
          <fgColor indexed="64"/>
          <bgColor indexed="65"/>
        </patternFill>
      </fill>
      <alignment horizontal="general" vertical="bottom"/>
    </dxf>
    <dxf>
      <font>
        <strike val="0"/>
        <condense val="0"/>
        <extend val="0"/>
        <outline val="0"/>
        <shadow val="0"/>
        <vertAlign val="baseline"/>
        <sz val="10"/>
        <color theme="1"/>
        <name val="Century Gothic"/>
        <family val="1"/>
      </font>
      <fill>
        <patternFill>
          <fgColor indexed="64"/>
          <bgColor indexed="65"/>
        </patternFill>
      </fill>
      <alignment horizontal="general" vertical="bottom" wrapText="1"/>
    </dxf>
    <dxf>
      <border outline="0">
        <top style="thin">
          <color theme="4" tint="0.39997558519241921"/>
        </top>
      </border>
    </dxf>
    <dxf>
      <font>
        <strike val="0"/>
        <condense val="0"/>
        <extend val="0"/>
        <outline val="0"/>
        <shadow val="0"/>
        <vertAlign val="baseline"/>
        <sz val="10"/>
        <color theme="1"/>
        <name val="Century Gothic"/>
        <family val="1"/>
      </font>
      <fill>
        <patternFill>
          <fgColor indexed="64"/>
          <bgColor indexed="65"/>
        </patternFill>
      </fill>
      <alignment horizontal="general" vertical="bottom" wrapText="1"/>
    </dxf>
    <dxf>
      <border outline="0">
        <bottom style="thin">
          <color theme="4" tint="0.39997558519241921"/>
        </bottom>
      </border>
    </dxf>
    <dxf>
      <font>
        <b/>
        <strike val="0"/>
        <condense val="0"/>
        <extend val="0"/>
        <outline val="0"/>
        <shadow val="0"/>
        <vertAlign val="baseline"/>
        <sz val="10"/>
        <color theme="1"/>
        <name val="Century Gothic"/>
        <family val="1"/>
      </font>
      <fill>
        <patternFill>
          <fgColor indexed="64"/>
          <bgColor indexed="65"/>
        </patternFill>
      </fill>
      <alignment horizontal="general" vertical="bottom"/>
    </dxf>
    <dxf>
      <font>
        <strike val="0"/>
        <condense val="0"/>
        <extend val="0"/>
        <outline val="0"/>
        <shadow val="0"/>
        <vertAlign val="baseline"/>
        <sz val="10"/>
        <color theme="1"/>
        <name val="Century Gothic"/>
        <family val="1"/>
      </font>
      <fill>
        <patternFill>
          <fgColor indexed="64"/>
          <bgColor indexed="65"/>
        </patternFill>
      </fill>
      <alignment horizontal="general" vertical="bottom" wrapText="1"/>
    </dxf>
    <dxf>
      <border outline="0">
        <top style="thin">
          <color theme="4" tint="0.39997558519241921"/>
        </top>
      </border>
    </dxf>
    <dxf>
      <font>
        <strike val="0"/>
        <condense val="0"/>
        <extend val="0"/>
        <outline val="0"/>
        <shadow val="0"/>
        <vertAlign val="baseline"/>
        <sz val="10"/>
        <color theme="1"/>
        <name val="Century Gothic"/>
        <family val="1"/>
      </font>
      <fill>
        <patternFill>
          <fgColor indexed="64"/>
          <bgColor indexed="65"/>
        </patternFill>
      </fill>
      <alignment horizontal="general" vertical="bottom" wrapText="1"/>
    </dxf>
    <dxf>
      <border outline="0">
        <bottom style="thin">
          <color theme="4" tint="0.39997558519241921"/>
        </bottom>
      </border>
    </dxf>
    <dxf>
      <font>
        <b/>
        <strike val="0"/>
        <condense val="0"/>
        <extend val="0"/>
        <outline val="0"/>
        <shadow val="0"/>
        <vertAlign val="baseline"/>
        <sz val="10"/>
        <color theme="1"/>
        <name val="Century Gothic"/>
        <family val="1"/>
      </font>
      <fill>
        <patternFill>
          <fgColor indexed="64"/>
          <bgColor indexed="65"/>
        </patternFill>
      </fill>
      <alignment horizontal="general" vertical="bottom"/>
    </dxf>
    <dxf>
      <font>
        <strike val="0"/>
        <condense val="0"/>
        <extend val="0"/>
        <outline val="0"/>
        <shadow val="0"/>
        <vertAlign val="baseline"/>
        <sz val="10"/>
        <color theme="1"/>
        <name val="Century Gothic"/>
        <family val="1"/>
      </font>
      <fill>
        <patternFill>
          <fgColor indexed="64"/>
          <bgColor indexed="65"/>
        </patternFill>
      </fill>
      <alignment horizontal="general" vertical="bottom" wrapText="1"/>
    </dxf>
    <dxf>
      <border outline="0">
        <top style="thin">
          <color theme="4" tint="0.39997558519241921"/>
        </top>
      </border>
    </dxf>
    <dxf>
      <font>
        <strike val="0"/>
        <condense val="0"/>
        <extend val="0"/>
        <outline val="0"/>
        <shadow val="0"/>
        <vertAlign val="baseline"/>
        <sz val="10"/>
        <color theme="1"/>
        <name val="Century Gothic"/>
        <family val="1"/>
      </font>
      <fill>
        <patternFill>
          <fgColor indexed="64"/>
          <bgColor indexed="65"/>
        </patternFill>
      </fill>
      <alignment horizontal="general" vertical="bottom" wrapText="1"/>
    </dxf>
    <dxf>
      <border outline="0">
        <bottom style="thin">
          <color theme="4" tint="0.39997558519241921"/>
        </bottom>
      </border>
    </dxf>
    <dxf>
      <font>
        <b/>
        <strike val="0"/>
        <condense val="0"/>
        <extend val="0"/>
        <outline val="0"/>
        <shadow val="0"/>
        <vertAlign val="baseline"/>
        <sz val="10"/>
        <color theme="1"/>
        <name val="Century Gothic"/>
        <family val="1"/>
      </font>
      <fill>
        <patternFill>
          <fgColor indexed="64"/>
          <bgColor indexed="65"/>
        </patternFill>
      </fill>
      <alignment horizontal="general" vertical="bottom"/>
    </dxf>
    <dxf>
      <font>
        <strike val="0"/>
        <condense val="0"/>
        <extend val="0"/>
        <outline val="0"/>
        <shadow val="0"/>
        <vertAlign val="baseline"/>
        <sz val="10"/>
        <color theme="1"/>
        <name val="Century Gothic"/>
        <family val="1"/>
      </font>
      <fill>
        <patternFill>
          <fgColor indexed="64"/>
          <bgColor indexed="65"/>
        </patternFill>
      </fill>
      <alignment horizontal="general" vertical="bottom" wrapText="1"/>
    </dxf>
    <dxf>
      <border outline="0">
        <top style="thin">
          <color theme="4" tint="0.39997558519241921"/>
        </top>
      </border>
    </dxf>
    <dxf>
      <font>
        <strike val="0"/>
        <condense val="0"/>
        <extend val="0"/>
        <outline val="0"/>
        <shadow val="0"/>
        <vertAlign val="baseline"/>
        <sz val="10"/>
        <color theme="1"/>
        <name val="Century Gothic"/>
        <family val="1"/>
      </font>
      <fill>
        <patternFill>
          <fgColor indexed="64"/>
          <bgColor indexed="65"/>
        </patternFill>
      </fill>
      <alignment horizontal="general" vertical="bottom" wrapText="1"/>
    </dxf>
    <dxf>
      <border outline="0">
        <bottom style="thin">
          <color theme="4" tint="0.39997558519241921"/>
        </bottom>
      </border>
    </dxf>
    <dxf>
      <font>
        <b/>
        <strike val="0"/>
        <condense val="0"/>
        <extend val="0"/>
        <outline val="0"/>
        <shadow val="0"/>
        <vertAlign val="baseline"/>
        <sz val="10"/>
        <color theme="1"/>
        <name val="Century Gothic"/>
        <family val="1"/>
      </font>
      <fill>
        <patternFill>
          <fgColor indexed="64"/>
          <bgColor indexed="65"/>
        </patternFill>
      </fill>
      <alignment horizontal="general" vertical="bottom"/>
    </dxf>
    <dxf>
      <font>
        <strike val="0"/>
        <condense val="0"/>
        <extend val="0"/>
        <outline val="0"/>
        <shadow val="0"/>
        <vertAlign val="baseline"/>
        <sz val="10"/>
        <color theme="1"/>
        <name val="Century Gothic"/>
        <family val="1"/>
      </font>
      <fill>
        <patternFill>
          <fgColor indexed="64"/>
          <bgColor indexed="65"/>
        </patternFill>
      </fill>
      <alignment horizontal="general" vertical="bottom" wrapText="1"/>
    </dxf>
    <dxf>
      <border outline="0">
        <top style="thin">
          <color theme="4" tint="0.39997558519241921"/>
        </top>
      </border>
    </dxf>
    <dxf>
      <font>
        <strike val="0"/>
        <condense val="0"/>
        <extend val="0"/>
        <outline val="0"/>
        <shadow val="0"/>
        <vertAlign val="baseline"/>
        <sz val="10"/>
        <color theme="1"/>
        <name val="Century Gothic"/>
        <family val="1"/>
      </font>
      <fill>
        <patternFill>
          <fgColor indexed="64"/>
          <bgColor indexed="65"/>
        </patternFill>
      </fill>
      <alignment horizontal="general" vertical="bottom" wrapText="1"/>
    </dxf>
    <dxf>
      <border outline="0">
        <bottom style="thin">
          <color theme="4" tint="0.39997558519241921"/>
        </bottom>
      </border>
    </dxf>
    <dxf>
      <font>
        <b/>
        <strike val="0"/>
        <condense val="0"/>
        <extend val="0"/>
        <outline val="0"/>
        <shadow val="0"/>
        <vertAlign val="baseline"/>
        <sz val="10"/>
        <color theme="1"/>
        <name val="Century Gothic"/>
        <family val="1"/>
      </font>
      <fill>
        <patternFill>
          <fgColor indexed="64"/>
          <bgColor indexed="65"/>
        </patternFill>
      </fill>
      <alignment horizontal="general" vertical="bottom"/>
    </dxf>
    <dxf>
      <font>
        <strike val="0"/>
        <condense val="0"/>
        <extend val="0"/>
        <outline val="0"/>
        <shadow val="0"/>
        <vertAlign val="baseline"/>
        <sz val="10"/>
        <color theme="1"/>
        <name val="Century Gothic"/>
        <family val="1"/>
      </font>
      <fill>
        <patternFill>
          <fgColor indexed="64"/>
          <bgColor indexed="65"/>
        </patternFill>
      </fill>
      <alignment horizontal="general" vertical="bottom" wrapText="1"/>
    </dxf>
    <dxf>
      <border outline="0">
        <top style="thin">
          <color theme="4" tint="0.39997558519241921"/>
        </top>
      </border>
    </dxf>
    <dxf>
      <font>
        <strike val="0"/>
        <condense val="0"/>
        <extend val="0"/>
        <outline val="0"/>
        <shadow val="0"/>
        <vertAlign val="baseline"/>
        <sz val="10"/>
        <color theme="1"/>
        <name val="Century Gothic"/>
        <family val="1"/>
      </font>
      <fill>
        <patternFill>
          <fgColor indexed="64"/>
          <bgColor indexed="65"/>
        </patternFill>
      </fill>
      <alignment horizontal="general" vertical="bottom" wrapText="1"/>
    </dxf>
    <dxf>
      <border outline="0">
        <bottom style="thin">
          <color theme="4" tint="0.39997558519241921"/>
        </bottom>
      </border>
    </dxf>
    <dxf>
      <font>
        <b/>
        <strike val="0"/>
        <condense val="0"/>
        <extend val="0"/>
        <outline val="0"/>
        <shadow val="0"/>
        <vertAlign val="baseline"/>
        <sz val="10"/>
        <color theme="1"/>
        <name val="Century Gothic"/>
        <family val="1"/>
      </font>
      <fill>
        <patternFill>
          <fgColor indexed="64"/>
          <bgColor indexed="65"/>
        </patternFill>
      </fill>
      <alignment horizontal="general" vertical="bottom"/>
    </dxf>
    <dxf>
      <font>
        <strike val="0"/>
        <condense val="0"/>
        <extend val="0"/>
        <outline val="0"/>
        <shadow val="0"/>
        <vertAlign val="baseline"/>
        <sz val="10"/>
        <color theme="1"/>
        <name val="Century Gothic"/>
        <family val="1"/>
      </font>
      <fill>
        <patternFill>
          <fgColor indexed="64"/>
          <bgColor indexed="65"/>
        </patternFill>
      </fill>
      <alignment horizontal="general" vertical="bottom" wrapText="1"/>
    </dxf>
    <dxf>
      <border outline="0">
        <top style="thin">
          <color theme="4" tint="0.39997558519241921"/>
        </top>
      </border>
    </dxf>
    <dxf>
      <font>
        <strike val="0"/>
        <condense val="0"/>
        <extend val="0"/>
        <outline val="0"/>
        <shadow val="0"/>
        <vertAlign val="baseline"/>
        <sz val="10"/>
        <color theme="1"/>
        <name val="Century Gothic"/>
        <family val="1"/>
      </font>
      <fill>
        <patternFill>
          <fgColor indexed="64"/>
          <bgColor indexed="65"/>
        </patternFill>
      </fill>
      <alignment horizontal="general" vertical="bottom" wrapText="1"/>
    </dxf>
    <dxf>
      <border outline="0">
        <bottom style="thin">
          <color theme="4" tint="0.39997558519241921"/>
        </bottom>
      </border>
    </dxf>
    <dxf>
      <font>
        <b/>
        <strike val="0"/>
        <condense val="0"/>
        <extend val="0"/>
        <outline val="0"/>
        <shadow val="0"/>
        <vertAlign val="baseline"/>
        <sz val="10"/>
        <color theme="1"/>
        <name val="Century Gothic"/>
        <family val="1"/>
      </font>
      <fill>
        <patternFill>
          <fgColor indexed="64"/>
          <bgColor indexed="65"/>
        </patternFill>
      </fill>
      <alignment horizontal="general" vertical="bottom"/>
    </dxf>
    <dxf>
      <font>
        <strike val="0"/>
        <condense val="0"/>
        <extend val="0"/>
        <outline val="0"/>
        <shadow val="0"/>
        <vertAlign val="baseline"/>
        <sz val="10"/>
        <color theme="1"/>
        <name val="Century Gothic"/>
        <family val="1"/>
      </font>
      <fill>
        <patternFill>
          <fgColor indexed="64"/>
          <bgColor indexed="65"/>
        </patternFill>
      </fill>
      <alignment horizontal="general" vertical="bottom" wrapText="1"/>
    </dxf>
    <dxf>
      <border outline="0">
        <top style="thin">
          <color theme="4" tint="0.39997558519241921"/>
        </top>
      </border>
    </dxf>
    <dxf>
      <font>
        <strike val="0"/>
        <condense val="0"/>
        <extend val="0"/>
        <outline val="0"/>
        <shadow val="0"/>
        <vertAlign val="baseline"/>
        <sz val="10"/>
        <color theme="1"/>
        <name val="Century Gothic"/>
        <family val="1"/>
      </font>
      <fill>
        <patternFill>
          <fgColor indexed="64"/>
          <bgColor indexed="65"/>
        </patternFill>
      </fill>
      <alignment horizontal="general" vertical="bottom" wrapText="1"/>
    </dxf>
    <dxf>
      <border outline="0">
        <bottom style="thin">
          <color theme="4" tint="0.39997558519241921"/>
        </bottom>
      </border>
    </dxf>
    <dxf>
      <font>
        <b/>
        <strike val="0"/>
        <condense val="0"/>
        <extend val="0"/>
        <outline val="0"/>
        <shadow val="0"/>
        <vertAlign val="baseline"/>
        <sz val="10"/>
        <color theme="1"/>
        <name val="Century Gothic"/>
        <family val="1"/>
      </font>
      <fill>
        <patternFill>
          <fgColor indexed="64"/>
          <bgColor indexed="65"/>
        </patternFill>
      </fill>
      <alignment horizontal="general" vertical="bottom"/>
    </dxf>
    <dxf>
      <font>
        <strike val="0"/>
        <condense val="0"/>
        <extend val="0"/>
        <outline val="0"/>
        <shadow val="0"/>
        <vertAlign val="baseline"/>
        <sz val="10"/>
        <color theme="1"/>
        <name val="Century Gothic"/>
        <family val="1"/>
      </font>
      <fill>
        <patternFill>
          <fgColor indexed="64"/>
          <bgColor indexed="65"/>
        </patternFill>
      </fill>
      <alignment horizontal="general" vertical="bottom" wrapText="1"/>
    </dxf>
    <dxf>
      <border outline="0">
        <top style="thin">
          <color theme="4" tint="0.39997558519241921"/>
        </top>
      </border>
    </dxf>
    <dxf>
      <font>
        <strike val="0"/>
        <condense val="0"/>
        <extend val="0"/>
        <outline val="0"/>
        <shadow val="0"/>
        <vertAlign val="baseline"/>
        <sz val="10"/>
        <color theme="1"/>
        <name val="Century Gothic"/>
        <family val="1"/>
      </font>
      <fill>
        <patternFill>
          <fgColor indexed="64"/>
          <bgColor indexed="65"/>
        </patternFill>
      </fill>
      <alignment horizontal="general" vertical="bottom" wrapText="1"/>
    </dxf>
    <dxf>
      <border outline="0">
        <bottom style="thin">
          <color theme="4" tint="0.39997558519241921"/>
        </bottom>
      </border>
    </dxf>
    <dxf>
      <font>
        <b/>
        <strike val="0"/>
        <condense val="0"/>
        <extend val="0"/>
        <outline val="0"/>
        <shadow val="0"/>
        <vertAlign val="baseline"/>
        <sz val="10"/>
        <color theme="1"/>
        <name val="Century Gothic"/>
        <family val="1"/>
      </font>
      <fill>
        <patternFill>
          <fgColor indexed="64"/>
          <bgColor indexed="65"/>
        </patternFill>
      </fill>
      <alignment horizontal="general" vertical="bottom"/>
    </dxf>
    <dxf>
      <font>
        <strike val="0"/>
        <condense val="0"/>
        <extend val="0"/>
        <outline val="0"/>
        <shadow val="0"/>
        <vertAlign val="baseline"/>
        <sz val="10"/>
        <color theme="1"/>
        <name val="Century Gothic"/>
        <family val="1"/>
      </font>
      <fill>
        <patternFill>
          <fgColor indexed="64"/>
          <bgColor indexed="65"/>
        </patternFill>
      </fill>
      <alignment horizontal="general" vertical="bottom" wrapText="1"/>
    </dxf>
    <dxf>
      <border outline="0">
        <top style="thin">
          <color theme="4" tint="0.39997558519241921"/>
        </top>
      </border>
    </dxf>
    <dxf>
      <font>
        <strike val="0"/>
        <condense val="0"/>
        <extend val="0"/>
        <outline val="0"/>
        <shadow val="0"/>
        <vertAlign val="baseline"/>
        <sz val="10"/>
        <color theme="1"/>
        <name val="Century Gothic"/>
        <family val="1"/>
      </font>
      <fill>
        <patternFill>
          <fgColor indexed="64"/>
          <bgColor indexed="65"/>
        </patternFill>
      </fill>
      <alignment horizontal="general" vertical="bottom" wrapText="1"/>
    </dxf>
    <dxf>
      <border outline="0">
        <bottom style="thin">
          <color theme="4" tint="0.39997558519241921"/>
        </bottom>
      </border>
    </dxf>
    <dxf>
      <font>
        <b/>
        <strike val="0"/>
        <condense val="0"/>
        <extend val="0"/>
        <outline val="0"/>
        <shadow val="0"/>
        <vertAlign val="baseline"/>
        <sz val="10"/>
        <color theme="1"/>
        <name val="Century Gothic"/>
        <family val="1"/>
      </font>
      <fill>
        <patternFill>
          <fgColor indexed="64"/>
          <bgColor indexed="65"/>
        </patternFill>
      </fill>
      <alignment horizontal="general" vertical="bottom"/>
    </dxf>
    <dxf>
      <font>
        <strike val="0"/>
        <condense val="0"/>
        <extend val="0"/>
        <outline val="0"/>
        <shadow val="0"/>
        <vertAlign val="baseline"/>
        <sz val="10"/>
        <color theme="1"/>
        <name val="Century Gothic"/>
        <family val="1"/>
      </font>
      <fill>
        <patternFill>
          <fgColor indexed="64"/>
          <bgColor indexed="65"/>
        </patternFill>
      </fill>
      <alignment horizontal="general" vertical="bottom" wrapText="1"/>
    </dxf>
    <dxf>
      <border outline="0">
        <top style="thin">
          <color theme="4" tint="0.39997558519241921"/>
        </top>
      </border>
    </dxf>
    <dxf>
      <font>
        <strike val="0"/>
        <condense val="0"/>
        <extend val="0"/>
        <outline val="0"/>
        <shadow val="0"/>
        <vertAlign val="baseline"/>
        <sz val="10"/>
        <color theme="1"/>
        <name val="Century Gothic"/>
        <family val="1"/>
      </font>
      <fill>
        <patternFill>
          <fgColor indexed="64"/>
          <bgColor indexed="65"/>
        </patternFill>
      </fill>
      <alignment horizontal="general" vertical="bottom" wrapText="1"/>
    </dxf>
    <dxf>
      <border outline="0">
        <bottom style="thin">
          <color theme="4" tint="0.39997558519241921"/>
        </bottom>
      </border>
    </dxf>
    <dxf>
      <font>
        <b/>
        <strike val="0"/>
        <condense val="0"/>
        <extend val="0"/>
        <outline val="0"/>
        <shadow val="0"/>
        <vertAlign val="baseline"/>
        <sz val="10"/>
        <color theme="1"/>
        <name val="Century Gothic"/>
        <family val="1"/>
      </font>
      <fill>
        <patternFill>
          <fgColor indexed="64"/>
          <bgColor indexed="65"/>
        </patternFill>
      </fill>
      <alignment horizontal="general" vertical="bottom"/>
    </dxf>
    <dxf>
      <font>
        <strike val="0"/>
        <condense val="0"/>
        <extend val="0"/>
        <outline val="0"/>
        <shadow val="0"/>
        <vertAlign val="baseline"/>
        <sz val="10"/>
        <color theme="1"/>
        <name val="Century Gothic"/>
        <family val="1"/>
      </font>
      <fill>
        <patternFill>
          <fgColor indexed="64"/>
          <bgColor indexed="65"/>
        </patternFill>
      </fill>
      <alignment horizontal="general" vertical="bottom" wrapText="1"/>
    </dxf>
    <dxf>
      <border outline="0">
        <top style="thin">
          <color theme="4" tint="0.39997558519241921"/>
        </top>
      </border>
    </dxf>
    <dxf>
      <font>
        <strike val="0"/>
        <condense val="0"/>
        <extend val="0"/>
        <outline val="0"/>
        <shadow val="0"/>
        <vertAlign val="baseline"/>
        <sz val="10"/>
        <color theme="1"/>
        <name val="Century Gothic"/>
        <family val="1"/>
      </font>
      <fill>
        <patternFill>
          <fgColor indexed="64"/>
          <bgColor indexed="65"/>
        </patternFill>
      </fill>
      <alignment horizontal="general" vertical="bottom" wrapText="1"/>
    </dxf>
    <dxf>
      <border outline="0">
        <bottom style="thin">
          <color theme="4" tint="0.39997558519241921"/>
        </bottom>
      </border>
    </dxf>
    <dxf>
      <font>
        <b/>
        <strike val="0"/>
        <condense val="0"/>
        <extend val="0"/>
        <outline val="0"/>
        <shadow val="0"/>
        <vertAlign val="baseline"/>
        <sz val="10"/>
        <color theme="1"/>
        <name val="Century Gothic"/>
        <family val="1"/>
      </font>
      <fill>
        <patternFill>
          <fgColor indexed="64"/>
          <bgColor indexed="65"/>
        </patternFill>
      </fill>
      <alignment horizontal="general" vertical="bottom"/>
    </dxf>
    <dxf>
      <font>
        <strike val="0"/>
        <condense val="0"/>
        <extend val="0"/>
        <outline val="0"/>
        <shadow val="0"/>
        <vertAlign val="baseline"/>
        <sz val="10"/>
        <color theme="1"/>
        <name val="Century Gothic"/>
        <family val="1"/>
      </font>
      <fill>
        <patternFill>
          <fgColor indexed="64"/>
          <bgColor indexed="65"/>
        </patternFill>
      </fill>
      <alignment horizontal="general" vertical="bottom" wrapText="1"/>
    </dxf>
    <dxf>
      <border outline="0">
        <top style="thin">
          <color theme="4" tint="0.39997558519241921"/>
        </top>
      </border>
    </dxf>
    <dxf>
      <font>
        <strike val="0"/>
        <condense val="0"/>
        <extend val="0"/>
        <outline val="0"/>
        <shadow val="0"/>
        <vertAlign val="baseline"/>
        <sz val="10"/>
        <color theme="1"/>
        <name val="Century Gothic"/>
        <family val="1"/>
      </font>
      <fill>
        <patternFill>
          <fgColor indexed="64"/>
          <bgColor indexed="65"/>
        </patternFill>
      </fill>
      <alignment horizontal="general" vertical="bottom" wrapText="1"/>
    </dxf>
    <dxf>
      <border outline="0">
        <bottom style="thin">
          <color theme="4" tint="0.39997558519241921"/>
        </bottom>
      </border>
    </dxf>
    <dxf>
      <font>
        <b/>
        <strike val="0"/>
        <condense val="0"/>
        <extend val="0"/>
        <outline val="0"/>
        <shadow val="0"/>
        <vertAlign val="baseline"/>
        <sz val="10"/>
        <color theme="1"/>
        <name val="Century Gothic"/>
        <family val="1"/>
      </font>
      <fill>
        <patternFill>
          <fgColor indexed="64"/>
          <bgColor indexed="65"/>
        </patternFill>
      </fill>
      <alignment horizontal="general" vertical="bottom"/>
    </dxf>
    <dxf>
      <font>
        <b/>
        <strike val="0"/>
        <condense val="0"/>
        <extend val="0"/>
        <outline val="0"/>
        <shadow val="0"/>
        <vertAlign val="baseline"/>
        <sz val="10"/>
        <color theme="1"/>
        <name val="Century Gothic"/>
        <family val="1"/>
      </font>
      <fill>
        <patternFill>
          <bgColor auto="1"/>
        </patternFill>
      </fill>
      <alignment horizontal="general" vertical="bottom"/>
    </dxf>
    <dxf>
      <font>
        <b/>
        <strike val="0"/>
        <condense val="0"/>
        <extend val="0"/>
        <outline val="0"/>
        <shadow val="0"/>
        <vertAlign val="baseline"/>
        <sz val="10"/>
        <color theme="1"/>
        <name val="Century Gothic"/>
        <family val="1"/>
      </font>
      <fill>
        <patternFill>
          <bgColor auto="1"/>
        </patternFill>
      </fill>
      <alignment horizontal="general" vertical="bottom"/>
    </dxf>
    <dxf>
      <font>
        <b/>
        <strike val="0"/>
        <condense val="0"/>
        <extend val="0"/>
        <outline val="0"/>
        <shadow val="0"/>
        <vertAlign val="baseline"/>
        <sz val="10"/>
        <color theme="1"/>
        <name val="Century Gothic"/>
        <family val="1"/>
      </font>
      <fill>
        <patternFill>
          <bgColor auto="1"/>
        </patternFill>
      </fill>
      <alignment horizontal="general" vertical="bottom"/>
    </dxf>
    <dxf>
      <font>
        <strike val="0"/>
        <condense val="0"/>
        <extend val="0"/>
        <outline val="0"/>
        <shadow val="0"/>
        <vertAlign val="baseline"/>
        <sz val="10"/>
        <color theme="1"/>
        <name val="Century Gothic"/>
        <family val="1"/>
      </font>
      <fill>
        <patternFill>
          <bgColor auto="1"/>
        </patternFill>
      </fill>
      <alignment horizontal="general" vertical="bottom" wrapText="1"/>
    </dxf>
    <dxf>
      <font>
        <strike val="0"/>
        <condense val="0"/>
        <extend val="0"/>
        <outline val="0"/>
        <shadow val="0"/>
        <vertAlign val="baseline"/>
        <sz val="10"/>
        <color theme="1"/>
        <name val="Century Gothic"/>
        <family val="1"/>
      </font>
      <fill>
        <patternFill>
          <bgColor auto="1"/>
        </patternFill>
      </fill>
      <alignment horizontal="general" vertical="bottom" wrapText="1"/>
    </dxf>
    <dxf>
      <font>
        <b/>
        <strike val="0"/>
        <condense val="0"/>
        <extend val="0"/>
        <outline val="0"/>
        <shadow val="0"/>
        <vertAlign val="baseline"/>
        <sz val="10"/>
        <color theme="1"/>
        <name val="Century Gothic"/>
        <family val="1"/>
      </font>
      <fill>
        <patternFill>
          <bgColor auto="1"/>
        </patternFill>
      </fill>
      <alignment horizontal="general" vertical="bottom"/>
    </dxf>
    <dxf>
      <font>
        <strike val="0"/>
        <condense val="0"/>
        <extend val="0"/>
        <outline val="0"/>
        <shadow val="0"/>
        <vertAlign val="baseline"/>
        <sz val="10"/>
        <color theme="1"/>
        <name val="Century Gothic"/>
        <family val="1"/>
      </font>
      <fill>
        <patternFill>
          <bgColor auto="1"/>
        </patternFill>
      </fill>
      <alignment horizontal="general" vertical="bottom" wrapText="1"/>
    </dxf>
    <dxf>
      <font>
        <strike val="0"/>
        <condense val="0"/>
        <extend val="0"/>
        <outline val="0"/>
        <shadow val="0"/>
        <vertAlign val="baseline"/>
        <sz val="10"/>
        <color theme="1"/>
        <name val="Century Gothic"/>
        <family val="1"/>
      </font>
      <fill>
        <patternFill>
          <bgColor auto="1"/>
        </patternFill>
      </fill>
      <alignment horizontal="general" vertical="bottom" wrapText="1"/>
    </dxf>
    <dxf>
      <font>
        <b/>
        <strike val="0"/>
        <condense val="0"/>
        <extend val="0"/>
        <outline val="0"/>
        <shadow val="0"/>
        <vertAlign val="baseline"/>
        <sz val="10"/>
        <color theme="1"/>
        <name val="Century Gothic"/>
        <family val="1"/>
      </font>
      <fill>
        <patternFill>
          <bgColor auto="1"/>
        </patternFill>
      </fill>
      <alignment horizontal="general" vertical="bottom"/>
    </dxf>
    <dxf>
      <font>
        <b/>
        <strike val="0"/>
        <condense val="0"/>
        <extend val="0"/>
        <outline val="0"/>
        <shadow val="0"/>
        <vertAlign val="baseline"/>
        <sz val="10"/>
        <color theme="1"/>
        <name val="Century Gothic"/>
        <family val="1"/>
      </font>
      <fill>
        <patternFill>
          <bgColor auto="1"/>
        </patternFill>
      </fill>
      <alignment horizontal="general" vertical="bottom"/>
    </dxf>
    <dxf>
      <font>
        <b/>
        <strike val="0"/>
        <condense val="0"/>
        <extend val="0"/>
        <outline val="0"/>
        <shadow val="0"/>
        <vertAlign val="baseline"/>
        <sz val="10"/>
        <color theme="1"/>
        <name val="Century Gothic"/>
        <family val="1"/>
      </font>
      <fill>
        <patternFill>
          <bgColor auto="1"/>
        </patternFill>
      </fill>
      <alignment horizontal="general" vertical="bottom"/>
    </dxf>
    <dxf>
      <font>
        <b/>
        <strike val="0"/>
        <condense val="0"/>
        <extend val="0"/>
        <outline val="0"/>
        <shadow val="0"/>
        <vertAlign val="baseline"/>
        <sz val="10"/>
        <color theme="1"/>
        <name val="Century Gothic"/>
        <family val="1"/>
      </font>
      <fill>
        <patternFill>
          <bgColor auto="1"/>
        </patternFill>
      </fill>
      <alignment horizontal="general" vertical="bottom"/>
    </dxf>
    <dxf>
      <font>
        <b/>
        <strike val="0"/>
        <condense val="0"/>
        <extend val="0"/>
        <outline val="0"/>
        <shadow val="0"/>
        <vertAlign val="baseline"/>
        <sz val="10"/>
        <color theme="1"/>
        <name val="Century Gothic"/>
        <family val="1"/>
      </font>
      <fill>
        <patternFill>
          <bgColor auto="1"/>
        </patternFill>
      </fill>
      <alignment horizontal="general" vertical="bottom"/>
    </dxf>
    <dxf>
      <font>
        <b/>
        <strike val="0"/>
        <condense val="0"/>
        <extend val="0"/>
        <outline val="0"/>
        <shadow val="0"/>
        <vertAlign val="baseline"/>
        <sz val="10"/>
        <color theme="1"/>
        <name val="Century Gothic"/>
        <family val="1"/>
      </font>
      <fill>
        <patternFill>
          <bgColor auto="1"/>
        </patternFill>
      </fill>
      <alignment horizontal="general" vertical="bottom"/>
    </dxf>
    <dxf>
      <font>
        <strike val="0"/>
        <condense val="0"/>
        <extend val="0"/>
        <outline val="0"/>
        <shadow val="0"/>
        <vertAlign val="baseline"/>
        <sz val="10"/>
        <color theme="1"/>
        <name val="Century Gothic"/>
        <family val="1"/>
      </font>
      <fill>
        <patternFill>
          <bgColor auto="1"/>
        </patternFill>
      </fill>
      <alignment horizontal="general" vertical="bottom"/>
    </dxf>
    <dxf>
      <numFmt numFmtId="166" formatCode="0.0"/>
      <fill>
        <patternFill>
          <fgColor indexed="64"/>
          <bgColor auto="1"/>
        </patternFill>
      </fill>
      <alignment vertical="bottom"/>
      <border outline="0">
        <left style="thin">
          <color indexed="64"/>
        </left>
        <right style="thin">
          <color indexed="64"/>
        </right>
        <top/>
        <bottom/>
      </border>
      <protection locked="0" hidden="0"/>
    </dxf>
    <dxf>
      <font>
        <b/>
      </font>
      <fill>
        <patternFill>
          <fgColor indexed="64"/>
          <bgColor auto="1"/>
        </patternFill>
      </fill>
      <alignment vertical="bottom"/>
      <protection locked="0" hidden="0"/>
    </dxf>
    <dxf>
      <numFmt numFmtId="2" formatCode="0.00"/>
      <fill>
        <patternFill>
          <fgColor indexed="64"/>
          <bgColor auto="1"/>
        </patternFill>
      </fill>
      <alignment vertical="bottom"/>
      <protection locked="1" hidden="0"/>
    </dxf>
    <dxf>
      <numFmt numFmtId="166" formatCode="0.0"/>
      <fill>
        <patternFill>
          <fgColor indexed="64"/>
          <bgColor auto="1"/>
        </patternFill>
      </fill>
      <alignment vertical="bottom"/>
      <protection locked="1" hidden="0"/>
    </dxf>
    <dxf>
      <numFmt numFmtId="166" formatCode="0.0"/>
      <fill>
        <patternFill>
          <fgColor indexed="64"/>
          <bgColor auto="1"/>
        </patternFill>
      </fill>
      <alignment vertical="bottom"/>
      <border outline="0">
        <left style="thin">
          <color indexed="64"/>
        </left>
        <right/>
        <top/>
        <bottom/>
      </border>
      <protection locked="1" hidden="0"/>
    </dxf>
    <dxf>
      <numFmt numFmtId="0" formatCode="General"/>
      <fill>
        <patternFill>
          <fgColor indexed="64"/>
          <bgColor auto="1"/>
        </patternFill>
      </fill>
      <alignment vertical="bottom"/>
      <border outline="0">
        <left/>
        <right style="thin">
          <color indexed="64"/>
        </right>
        <top/>
        <bottom/>
      </border>
      <protection locked="1" hidden="0"/>
    </dxf>
    <dxf>
      <numFmt numFmtId="2" formatCode="0.00"/>
      <fill>
        <patternFill>
          <fgColor indexed="64"/>
          <bgColor auto="1"/>
        </patternFill>
      </fill>
      <alignment vertical="bottom"/>
      <protection locked="1" hidden="0"/>
    </dxf>
    <dxf>
      <numFmt numFmtId="2" formatCode="0.00"/>
      <fill>
        <patternFill>
          <fgColor indexed="64"/>
          <bgColor auto="1"/>
        </patternFill>
      </fill>
      <alignment vertical="bottom"/>
      <protection locked="1" hidden="0"/>
    </dxf>
    <dxf>
      <numFmt numFmtId="166" formatCode="0.0"/>
      <fill>
        <patternFill>
          <fgColor indexed="64"/>
          <bgColor auto="1"/>
        </patternFill>
      </fill>
      <alignment vertical="bottom"/>
      <protection locked="1" hidden="0"/>
    </dxf>
    <dxf>
      <numFmt numFmtId="166" formatCode="0.0"/>
      <fill>
        <patternFill>
          <fgColor indexed="64"/>
          <bgColor auto="1"/>
        </patternFill>
      </fill>
      <alignment vertical="bottom"/>
      <protection locked="1" hidden="0"/>
    </dxf>
    <dxf>
      <numFmt numFmtId="164" formatCode="dd/mm/yy\ h:mm;@"/>
      <fill>
        <patternFill>
          <fgColor indexed="64"/>
          <bgColor auto="1"/>
        </patternFill>
      </fill>
      <alignment vertical="bottom"/>
      <protection locked="1" hidden="0"/>
    </dxf>
    <dxf>
      <numFmt numFmtId="164" formatCode="dd/mm/yy\ h:mm;@"/>
      <fill>
        <patternFill>
          <fgColor indexed="64"/>
          <bgColor auto="1"/>
        </patternFill>
      </fill>
      <alignment vertical="bottom"/>
      <border outline="0">
        <left style="thin">
          <color indexed="64"/>
        </left>
        <right/>
        <top/>
        <bottom/>
      </border>
      <protection locked="1" hidden="0"/>
    </dxf>
    <dxf>
      <numFmt numFmtId="2" formatCode="0.00"/>
      <fill>
        <patternFill>
          <fgColor indexed="64"/>
          <bgColor auto="1"/>
        </patternFill>
      </fill>
      <alignment vertical="bottom"/>
      <protection locked="1" hidden="0"/>
    </dxf>
    <dxf>
      <numFmt numFmtId="2" formatCode="0.00"/>
      <fill>
        <patternFill>
          <fgColor indexed="64"/>
          <bgColor auto="1"/>
        </patternFill>
      </fill>
      <alignment vertical="bottom"/>
      <protection locked="1" hidden="0"/>
    </dxf>
    <dxf>
      <numFmt numFmtId="166" formatCode="0.0"/>
      <fill>
        <patternFill>
          <fgColor indexed="64"/>
          <bgColor auto="1"/>
        </patternFill>
      </fill>
      <alignment horizontal="general" vertical="bottom"/>
      <protection locked="1" hidden="0"/>
    </dxf>
    <dxf>
      <numFmt numFmtId="166" formatCode="0.0"/>
      <fill>
        <patternFill>
          <fgColor indexed="64"/>
          <bgColor auto="1"/>
        </patternFill>
      </fill>
      <alignment vertical="bottom"/>
      <protection locked="1" hidden="0"/>
    </dxf>
    <dxf>
      <numFmt numFmtId="164" formatCode="dd/mm/yy\ h:mm;@"/>
      <fill>
        <patternFill>
          <fgColor indexed="64"/>
          <bgColor auto="1"/>
        </patternFill>
      </fill>
      <alignment vertical="bottom"/>
      <protection locked="1" hidden="0"/>
    </dxf>
    <dxf>
      <numFmt numFmtId="164" formatCode="dd/mm/yy\ h:mm;@"/>
      <fill>
        <patternFill>
          <fgColor indexed="64"/>
          <bgColor auto="1"/>
        </patternFill>
      </fill>
      <alignment vertical="bottom"/>
      <border outline="0">
        <left style="thin">
          <color indexed="64"/>
        </left>
        <right/>
        <top/>
        <bottom/>
      </border>
      <protection locked="1" hidden="0"/>
    </dxf>
    <dxf>
      <numFmt numFmtId="2" formatCode="0.00"/>
      <fill>
        <patternFill>
          <fgColor indexed="64"/>
          <bgColor auto="1"/>
        </patternFill>
      </fill>
      <alignment vertical="bottom"/>
      <border outline="0">
        <left/>
        <right style="thin">
          <color indexed="64"/>
        </right>
        <top/>
        <bottom/>
      </border>
    </dxf>
    <dxf>
      <numFmt numFmtId="2" formatCode="0.00"/>
      <fill>
        <patternFill>
          <fgColor indexed="64"/>
          <bgColor auto="1"/>
        </patternFill>
      </fill>
      <alignment vertical="bottom"/>
    </dxf>
    <dxf>
      <numFmt numFmtId="166" formatCode="0.0"/>
      <fill>
        <patternFill>
          <fgColor indexed="64"/>
          <bgColor auto="1"/>
        </patternFill>
      </fill>
      <alignment horizontal="general" vertical="bottom"/>
    </dxf>
    <dxf>
      <numFmt numFmtId="166" formatCode="0.0"/>
      <fill>
        <patternFill>
          <fgColor indexed="64"/>
          <bgColor auto="1"/>
        </patternFill>
      </fill>
      <alignment vertical="bottom"/>
    </dxf>
    <dxf>
      <numFmt numFmtId="164" formatCode="dd/mm/yy\ h:mm;@"/>
      <fill>
        <patternFill>
          <fgColor indexed="64"/>
          <bgColor auto="1"/>
        </patternFill>
      </fill>
      <alignment vertical="bottom"/>
    </dxf>
    <dxf>
      <numFmt numFmtId="164" formatCode="dd/mm/yy\ h:mm;@"/>
      <fill>
        <patternFill>
          <fgColor indexed="64"/>
          <bgColor auto="1"/>
        </patternFill>
      </fill>
      <alignment vertical="bottom"/>
    </dxf>
    <dxf>
      <numFmt numFmtId="0" formatCode="General"/>
      <fill>
        <patternFill>
          <fgColor indexed="64"/>
          <bgColor auto="1"/>
        </patternFill>
      </fill>
      <alignment horizontal="left" vertical="bottom"/>
      <protection locked="1" hidden="0"/>
    </dxf>
    <dxf>
      <fill>
        <patternFill>
          <fgColor indexed="64"/>
          <bgColor auto="1"/>
        </patternFill>
      </fill>
      <alignment horizontal="left" vertical="bottom"/>
      <protection locked="0" hidden="0"/>
    </dxf>
    <dxf>
      <fill>
        <patternFill>
          <fgColor indexed="64"/>
          <bgColor auto="1"/>
        </patternFill>
      </fill>
      <alignment horizontal="left" vertical="bottom"/>
      <protection locked="0" hidden="0"/>
    </dxf>
    <dxf>
      <fill>
        <patternFill>
          <fgColor indexed="64"/>
          <bgColor auto="1"/>
        </patternFill>
      </fill>
      <alignment horizontal="left" vertical="bottom"/>
      <protection locked="0" hidden="0"/>
    </dxf>
    <dxf>
      <fill>
        <patternFill>
          <fgColor indexed="64"/>
          <bgColor auto="1"/>
        </patternFill>
      </fill>
      <alignment horizontal="left" vertical="bottom"/>
      <protection locked="0" hidden="0"/>
    </dxf>
    <dxf>
      <fill>
        <patternFill>
          <fgColor indexed="64"/>
          <bgColor auto="1"/>
        </patternFill>
      </fill>
      <alignment horizontal="left" vertical="bottom"/>
      <protection locked="0" hidden="0"/>
    </dxf>
    <dxf>
      <fill>
        <patternFill>
          <fgColor indexed="64"/>
          <bgColor auto="1"/>
        </patternFill>
      </fill>
      <alignment horizontal="left" vertical="bottom"/>
      <protection locked="0" hidden="0"/>
    </dxf>
    <dxf>
      <fill>
        <patternFill>
          <fgColor indexed="64"/>
          <bgColor auto="1"/>
        </patternFill>
      </fill>
      <alignment horizontal="left" vertical="bottom"/>
      <protection locked="0" hidden="0"/>
    </dxf>
    <dxf>
      <fill>
        <patternFill>
          <fgColor indexed="64"/>
          <bgColor auto="1"/>
        </patternFill>
      </fill>
      <alignment horizontal="left" vertical="bottom" wrapText="1"/>
      <protection locked="0" hidden="0"/>
    </dxf>
    <dxf>
      <fill>
        <patternFill>
          <fgColor indexed="64"/>
          <bgColor auto="1"/>
        </patternFill>
      </fill>
      <alignment horizontal="left" vertical="bottom"/>
      <protection locked="0" hidden="0"/>
    </dxf>
    <dxf>
      <fill>
        <patternFill>
          <fgColor indexed="64"/>
          <bgColor indexed="65"/>
        </patternFill>
      </fill>
      <alignment horizontal="center" vertical="bottom" wrapText="1"/>
      <protection locked="0" hidden="0"/>
    </dxf>
    <dxf>
      <fill>
        <patternFill>
          <fgColor indexed="64"/>
          <bgColor auto="1"/>
        </patternFill>
      </fill>
      <alignment horizontal="general" vertical="bottom" wrapText="1"/>
      <protection locked="0" hidden="0"/>
    </dxf>
    <dxf>
      <border>
        <left style="thin">
          <color indexed="64"/>
        </left>
        <right style="thin">
          <color indexed="64"/>
        </right>
        <top style="thin">
          <color indexed="64"/>
        </top>
        <bottom style="thin">
          <color indexed="64"/>
        </bottom>
      </border>
    </dxf>
    <dxf>
      <fill>
        <patternFill>
          <fgColor indexed="64"/>
          <bgColor auto="1"/>
        </patternFill>
      </fill>
      <alignment vertical="bottom"/>
    </dxf>
    <dxf>
      <font>
        <b/>
      </font>
      <alignment horizontal="general" vertical="top" wrapText="1"/>
    </dxf>
    <dxf>
      <font>
        <strike val="0"/>
        <condense val="0"/>
        <extend val="0"/>
        <outline val="0"/>
        <shadow val="0"/>
        <vertAlign val="baseline"/>
        <sz val="12"/>
        <color rgb="FF000000"/>
        <name val="Century Gothic"/>
        <family val="1"/>
      </font>
      <alignment horizontal="left" vertical="center" wrapText="1" indent="1"/>
    </dxf>
    <dxf>
      <font>
        <strike val="0"/>
        <condense val="0"/>
        <extend val="0"/>
        <outline val="0"/>
        <shadow val="0"/>
        <vertAlign val="baseline"/>
        <sz val="12"/>
        <color rgb="FF000000"/>
        <name val="Century Gothic"/>
        <family val="1"/>
      </font>
      <alignment horizontal="left" vertical="center" wrapText="1" indent="1"/>
    </dxf>
    <dxf>
      <font>
        <strike val="0"/>
        <condense val="0"/>
        <extend val="0"/>
        <outline val="0"/>
        <shadow val="0"/>
        <vertAlign val="baseline"/>
        <sz val="12"/>
        <color rgb="FF000000"/>
        <name val="Century Gothic"/>
        <family val="1"/>
      </font>
      <alignment horizontal="left" vertical="center" wrapText="1" indent="1"/>
    </dxf>
    <dxf>
      <font>
        <strike val="0"/>
        <condense val="0"/>
        <extend val="0"/>
        <outline val="0"/>
        <shadow val="0"/>
        <vertAlign val="baseline"/>
        <sz val="12"/>
        <color rgb="FF000000"/>
        <name val="Century Gothic"/>
        <family val="1"/>
      </font>
      <alignment horizontal="left" vertical="center" wrapText="1" indent="1"/>
    </dxf>
    <dxf>
      <font>
        <strike val="0"/>
        <condense val="0"/>
        <extend val="0"/>
        <outline val="0"/>
        <shadow val="0"/>
        <vertAlign val="baseline"/>
        <sz val="12"/>
        <color rgb="FF000000"/>
        <name val="Century Gothic"/>
        <family val="1"/>
      </font>
      <alignment horizontal="left" vertical="center" wrapText="1" indent="1"/>
    </dxf>
    <dxf>
      <font>
        <strike val="0"/>
        <condense val="0"/>
        <extend val="0"/>
        <outline val="0"/>
        <shadow val="0"/>
        <vertAlign val="baseline"/>
        <sz val="12"/>
        <color rgb="FF000000"/>
        <name val="Century Gothic"/>
        <family val="1"/>
      </font>
      <alignment horizontal="left" vertical="center" wrapText="1" indent="1"/>
    </dxf>
    <dxf>
      <font>
        <strike val="0"/>
        <condense val="0"/>
        <extend val="0"/>
        <outline val="0"/>
        <shadow val="0"/>
        <vertAlign val="baseline"/>
        <sz val="12"/>
        <color rgb="FF000000"/>
        <name val="Century Gothic"/>
        <family val="1"/>
      </font>
      <numFmt numFmtId="19" formatCode="dd/mm/yyyy"/>
      <alignment horizontal="left" vertical="center" wrapText="1" indent="1"/>
    </dxf>
    <dxf>
      <font>
        <strike val="0"/>
        <condense val="0"/>
        <extend val="0"/>
        <outline val="0"/>
        <shadow val="0"/>
        <vertAlign val="baseline"/>
        <sz val="12"/>
        <color theme="1"/>
        <name val="Century Gothic"/>
        <family val="1"/>
      </font>
      <alignment horizontal="left" vertical="center" wrapText="1" indent="1"/>
    </dxf>
    <dxf>
      <font>
        <b/>
        <strike val="0"/>
        <condense val="0"/>
        <extend val="0"/>
        <outline val="0"/>
        <shadow val="0"/>
        <vertAlign val="baseline"/>
        <sz val="12"/>
        <color rgb="FF000000"/>
        <name val="Century Gothic"/>
        <family val="1"/>
      </font>
      <alignment horizontal="left" vertical="center" wrapText="1" indent="1"/>
    </dxf>
    <dxf>
      <font>
        <strike val="0"/>
        <outline val="0"/>
        <shadow val="0"/>
        <vertAlign val="baseline"/>
        <sz val="10"/>
        <color theme="1" tint="4.9989318521683403E-2"/>
        <name val="Century Gothic"/>
        <family val="1"/>
      </font>
      <fill>
        <patternFill>
          <fgColor indexed="64"/>
          <bgColor auto="1"/>
        </patternFill>
      </fill>
      <alignment horizontal="left" vertical="bottom"/>
    </dxf>
    <dxf>
      <font>
        <strike val="0"/>
        <condense val="0"/>
        <extend val="0"/>
        <outline val="0"/>
        <shadow val="0"/>
        <vertAlign val="baseline"/>
        <sz val="10"/>
        <color theme="1"/>
        <name val="Century Gothic"/>
        <family val="1"/>
      </font>
      <numFmt numFmtId="2" formatCode="0.00"/>
      <fill>
        <patternFill patternType="solid">
          <fgColor indexed="64"/>
          <bgColor theme="0" tint="-0.14999847407452621"/>
        </patternFill>
      </fill>
      <alignment horizontal="left" vertical="bottom"/>
    </dxf>
    <dxf>
      <font>
        <strike val="0"/>
        <outline val="0"/>
        <shadow val="0"/>
        <vertAlign val="baseline"/>
        <sz val="10"/>
        <color theme="1" tint="4.9989318521683403E-2"/>
        <name val="Century Gothic"/>
        <family val="1"/>
      </font>
      <numFmt numFmtId="2" formatCode="0.00"/>
      <fill>
        <patternFill>
          <fgColor indexed="64"/>
          <bgColor auto="1"/>
        </patternFill>
      </fill>
      <alignment horizontal="left" vertical="bottom"/>
    </dxf>
    <dxf>
      <font>
        <strike val="0"/>
        <condense val="0"/>
        <extend val="0"/>
        <outline val="0"/>
        <shadow val="0"/>
        <vertAlign val="baseline"/>
        <sz val="10"/>
        <color theme="1"/>
        <name val="Century Gothic"/>
        <family val="1"/>
      </font>
      <fill>
        <patternFill patternType="solid">
          <fgColor indexed="64"/>
          <bgColor theme="0" tint="-0.14999847407452621"/>
        </patternFill>
      </fill>
      <alignment horizontal="left" vertical="bottom"/>
    </dxf>
    <dxf>
      <font>
        <strike val="0"/>
        <condense val="0"/>
        <extend val="0"/>
        <outline val="0"/>
        <shadow val="0"/>
        <vertAlign val="baseline"/>
        <sz val="10"/>
        <color theme="1" tint="4.9989318521683403E-2"/>
        <name val="Century Gothic"/>
        <family val="1"/>
      </font>
      <numFmt numFmtId="1" formatCode="0"/>
      <fill>
        <patternFill>
          <fgColor indexed="64"/>
          <bgColor auto="1"/>
        </patternFill>
      </fill>
      <alignment horizontal="left" vertical="bottom"/>
    </dxf>
    <dxf>
      <font>
        <strike val="0"/>
        <condense val="0"/>
        <extend val="0"/>
        <outline val="0"/>
        <shadow val="0"/>
        <vertAlign val="baseline"/>
        <sz val="10"/>
        <color theme="1"/>
        <name val="Century Gothic"/>
        <family val="1"/>
      </font>
      <numFmt numFmtId="0" formatCode="General"/>
      <fill>
        <patternFill patternType="solid">
          <fgColor indexed="64"/>
          <bgColor theme="0" tint="-0.14999847407452621"/>
        </patternFill>
      </fill>
      <alignment horizontal="left" vertical="bottom"/>
    </dxf>
    <dxf>
      <font>
        <strike val="0"/>
        <outline val="0"/>
        <shadow val="0"/>
        <vertAlign val="baseline"/>
        <sz val="10"/>
        <color theme="1" tint="4.9989318521683403E-2"/>
        <name val="Century Gothic"/>
        <family val="1"/>
      </font>
      <numFmt numFmtId="165" formatCode="h:mm;@"/>
      <fill>
        <patternFill>
          <fgColor indexed="64"/>
          <bgColor auto="1"/>
        </patternFill>
      </fill>
      <alignment horizontal="left" vertical="bottom"/>
    </dxf>
    <dxf>
      <font>
        <strike val="0"/>
        <condense val="0"/>
        <extend val="0"/>
        <outline val="0"/>
        <shadow val="0"/>
        <vertAlign val="baseline"/>
        <sz val="10"/>
        <color theme="1"/>
        <name val="Century Gothic"/>
        <family val="1"/>
      </font>
      <fill>
        <patternFill patternType="solid">
          <fgColor indexed="64"/>
          <bgColor theme="0"/>
        </patternFill>
      </fill>
      <alignment horizontal="left" vertical="bottom"/>
    </dxf>
    <dxf>
      <font>
        <strike val="0"/>
        <condense val="0"/>
        <extend val="0"/>
        <outline val="0"/>
        <shadow val="0"/>
        <vertAlign val="baseline"/>
        <sz val="10"/>
        <color theme="1" tint="4.9989318521683403E-2"/>
        <name val="Century Gothic"/>
        <family val="1"/>
      </font>
      <numFmt numFmtId="165" formatCode="h:mm;@"/>
      <fill>
        <patternFill>
          <fgColor indexed="64"/>
          <bgColor auto="1"/>
        </patternFill>
      </fill>
      <alignment horizontal="left" vertical="bottom"/>
    </dxf>
    <dxf>
      <font>
        <strike val="0"/>
        <condense val="0"/>
        <extend val="0"/>
        <outline val="0"/>
        <shadow val="0"/>
        <vertAlign val="baseline"/>
        <sz val="10"/>
        <color theme="1"/>
        <name val="Century Gothic"/>
        <family val="1"/>
      </font>
      <numFmt numFmtId="1" formatCode="0"/>
      <fill>
        <patternFill patternType="solid">
          <fgColor indexed="64"/>
          <bgColor theme="0" tint="-0.14999847407452621"/>
        </patternFill>
      </fill>
      <alignment horizontal="left" vertical="bottom"/>
    </dxf>
    <dxf>
      <font>
        <strike val="0"/>
        <condense val="0"/>
        <extend val="0"/>
        <outline val="0"/>
        <shadow val="0"/>
        <vertAlign val="baseline"/>
        <sz val="10"/>
        <color theme="1" tint="4.9989318521683403E-2"/>
        <name val="Century Gothic"/>
        <family val="1"/>
      </font>
      <numFmt numFmtId="1" formatCode="0"/>
      <fill>
        <patternFill>
          <fgColor indexed="64"/>
          <bgColor auto="1"/>
        </patternFill>
      </fill>
      <alignment horizontal="left" vertical="bottom"/>
    </dxf>
    <dxf>
      <font>
        <strike val="0"/>
        <condense val="0"/>
        <extend val="0"/>
        <outline val="0"/>
        <shadow val="0"/>
        <vertAlign val="baseline"/>
        <sz val="10"/>
        <color theme="1"/>
        <name val="Century Gothic"/>
        <family val="1"/>
      </font>
      <numFmt numFmtId="1" formatCode="0"/>
      <fill>
        <patternFill patternType="solid">
          <fgColor indexed="64"/>
          <bgColor theme="0" tint="-0.14999847407452621"/>
        </patternFill>
      </fill>
      <alignment horizontal="left" vertical="bottom"/>
    </dxf>
    <dxf>
      <font>
        <strike val="0"/>
        <condense val="0"/>
        <extend val="0"/>
        <outline val="0"/>
        <shadow val="0"/>
        <vertAlign val="baseline"/>
        <sz val="10"/>
        <color theme="1" tint="4.9989318521683403E-2"/>
        <name val="Century Gothic"/>
        <family val="1"/>
      </font>
      <numFmt numFmtId="1" formatCode="0"/>
      <fill>
        <patternFill>
          <fgColor indexed="64"/>
          <bgColor auto="1"/>
        </patternFill>
      </fill>
      <alignment horizontal="left" vertical="bottom"/>
    </dxf>
    <dxf>
      <font>
        <strike val="0"/>
        <condense val="0"/>
        <extend val="0"/>
        <outline val="0"/>
        <shadow val="0"/>
        <vertAlign val="baseline"/>
        <sz val="10"/>
        <color theme="1"/>
        <name val="Century Gothic"/>
        <family val="1"/>
      </font>
      <numFmt numFmtId="1" formatCode="0"/>
      <fill>
        <patternFill patternType="solid">
          <fgColor indexed="64"/>
          <bgColor theme="0" tint="-0.14999847407452621"/>
        </patternFill>
      </fill>
      <alignment horizontal="left" vertical="bottom"/>
    </dxf>
    <dxf>
      <font>
        <strike val="0"/>
        <condense val="0"/>
        <extend val="0"/>
        <outline val="0"/>
        <shadow val="0"/>
        <vertAlign val="baseline"/>
        <sz val="10"/>
        <color theme="1" tint="4.9989318521683403E-2"/>
        <name val="Century Gothic"/>
        <family val="1"/>
      </font>
      <numFmt numFmtId="165" formatCode="h:mm;@"/>
      <fill>
        <patternFill>
          <fgColor indexed="64"/>
          <bgColor auto="1"/>
        </patternFill>
      </fill>
      <alignment horizontal="left" vertical="bottom"/>
    </dxf>
    <dxf>
      <font>
        <strike val="0"/>
        <condense val="0"/>
        <extend val="0"/>
        <outline val="0"/>
        <shadow val="0"/>
        <vertAlign val="baseline"/>
        <sz val="10"/>
        <color theme="1"/>
        <name val="Century Gothic"/>
        <family val="1"/>
      </font>
      <numFmt numFmtId="1" formatCode="0"/>
      <fill>
        <patternFill patternType="solid">
          <fgColor indexed="64"/>
          <bgColor theme="0" tint="-0.14999847407452621"/>
        </patternFill>
      </fill>
      <alignment horizontal="left" vertical="bottom"/>
    </dxf>
    <dxf>
      <font>
        <strike val="0"/>
        <condense val="0"/>
        <extend val="0"/>
        <outline val="0"/>
        <shadow val="0"/>
        <vertAlign val="baseline"/>
        <sz val="10"/>
        <color theme="1" tint="4.9989318521683403E-2"/>
        <name val="Century Gothic"/>
        <family val="1"/>
      </font>
      <numFmt numFmtId="19" formatCode="dd/mm/yyyy"/>
      <fill>
        <patternFill>
          <fgColor indexed="64"/>
          <bgColor auto="1"/>
        </patternFill>
      </fill>
      <alignment horizontal="left" vertical="bottom"/>
    </dxf>
    <dxf>
      <font>
        <strike val="0"/>
        <condense val="0"/>
        <extend val="0"/>
        <outline val="0"/>
        <shadow val="0"/>
        <vertAlign val="baseline"/>
        <sz val="10"/>
        <color theme="1"/>
        <name val="Century Gothic"/>
        <family val="1"/>
      </font>
      <numFmt numFmtId="1" formatCode="0"/>
      <fill>
        <patternFill patternType="solid">
          <fgColor indexed="64"/>
          <bgColor theme="0" tint="-0.14999847407452621"/>
        </patternFill>
      </fill>
      <alignment horizontal="left" vertical="bottom"/>
    </dxf>
    <dxf>
      <font>
        <strike val="0"/>
        <condense val="0"/>
        <extend val="0"/>
        <outline val="0"/>
        <shadow val="0"/>
        <vertAlign val="baseline"/>
        <sz val="10"/>
        <color theme="1" tint="4.9989318521683403E-2"/>
        <name val="Century Gothic"/>
        <family val="1"/>
      </font>
      <numFmt numFmtId="1" formatCode="0"/>
      <fill>
        <patternFill>
          <fgColor indexed="64"/>
          <bgColor auto="1"/>
        </patternFill>
      </fill>
      <alignment horizontal="left" vertical="bottom"/>
    </dxf>
    <dxf>
      <font>
        <strike val="0"/>
        <condense val="0"/>
        <extend val="0"/>
        <outline val="0"/>
        <shadow val="0"/>
        <vertAlign val="baseline"/>
        <sz val="10"/>
        <color theme="1"/>
        <name val="Century Gothic"/>
        <family val="1"/>
      </font>
      <numFmt numFmtId="1" formatCode="0"/>
      <fill>
        <patternFill patternType="solid">
          <fgColor indexed="64"/>
          <bgColor theme="0" tint="-0.14999847407452621"/>
        </patternFill>
      </fill>
      <alignment horizontal="left" vertical="bottom"/>
    </dxf>
    <dxf>
      <font>
        <strike val="0"/>
        <condense val="0"/>
        <extend val="0"/>
        <outline val="0"/>
        <shadow val="0"/>
        <vertAlign val="baseline"/>
        <sz val="10"/>
        <color theme="1" tint="4.9989318521683403E-2"/>
        <name val="Century Gothic"/>
        <family val="1"/>
      </font>
      <numFmt numFmtId="1" formatCode="0"/>
      <fill>
        <patternFill>
          <fgColor indexed="64"/>
          <bgColor auto="1"/>
        </patternFill>
      </fill>
      <alignment horizontal="left" vertical="bottom"/>
    </dxf>
    <dxf>
      <font>
        <strike val="0"/>
        <condense val="0"/>
        <extend val="0"/>
        <outline val="0"/>
        <shadow val="0"/>
        <vertAlign val="baseline"/>
        <sz val="10"/>
        <color theme="1" tint="4.9989318521683403E-2"/>
        <name val="Century Gothic"/>
        <family val="1"/>
      </font>
      <numFmt numFmtId="166" formatCode="0.0"/>
      <fill>
        <patternFill>
          <fgColor indexed="64"/>
          <bgColor auto="1"/>
        </patternFill>
      </fill>
      <alignment horizontal="left" vertical="bottom"/>
    </dxf>
    <dxf>
      <font>
        <strike val="0"/>
        <condense val="0"/>
        <extend val="0"/>
        <outline val="0"/>
        <shadow val="0"/>
        <vertAlign val="baseline"/>
        <sz val="10"/>
        <color theme="1" tint="4.9989318521683403E-2"/>
        <name val="Century Gothic"/>
        <family val="1"/>
      </font>
      <numFmt numFmtId="166" formatCode="0.0"/>
      <fill>
        <patternFill>
          <fgColor indexed="64"/>
          <bgColor auto="1"/>
        </patternFill>
      </fill>
      <alignment horizontal="left" vertical="bottom"/>
    </dxf>
    <dxf>
      <font>
        <strike val="0"/>
        <condense val="0"/>
        <extend val="0"/>
        <outline val="0"/>
        <shadow val="0"/>
        <vertAlign val="baseline"/>
        <sz val="10"/>
        <color theme="1" tint="4.9989318521683403E-2"/>
        <name val="Century Gothic"/>
        <family val="1"/>
      </font>
      <numFmt numFmtId="166" formatCode="0.0"/>
      <fill>
        <patternFill>
          <fgColor indexed="64"/>
          <bgColor auto="1"/>
        </patternFill>
      </fill>
      <alignment horizontal="left" vertical="bottom"/>
    </dxf>
    <dxf>
      <font>
        <strike val="0"/>
        <outline val="0"/>
        <shadow val="0"/>
        <vertAlign val="baseline"/>
        <sz val="10"/>
        <color theme="1" tint="4.9989318521683403E-2"/>
        <name val="Century Gothic"/>
        <family val="1"/>
      </font>
      <numFmt numFmtId="0" formatCode="General"/>
      <fill>
        <patternFill>
          <fgColor indexed="64"/>
          <bgColor auto="1"/>
        </patternFill>
      </fill>
      <alignment horizontal="left" vertical="bottom"/>
    </dxf>
    <dxf>
      <font>
        <strike val="0"/>
        <outline val="0"/>
        <shadow val="0"/>
        <vertAlign val="baseline"/>
        <sz val="10"/>
        <color theme="1" tint="4.9989318521683403E-2"/>
        <name val="Century Gothic"/>
        <family val="1"/>
      </font>
      <numFmt numFmtId="2" formatCode="0.00"/>
      <fill>
        <patternFill>
          <fgColor indexed="64"/>
          <bgColor auto="1"/>
        </patternFill>
      </fill>
      <alignment horizontal="left" vertical="bottom"/>
    </dxf>
    <dxf>
      <font>
        <strike val="0"/>
        <outline val="0"/>
        <shadow val="0"/>
        <vertAlign val="baseline"/>
        <sz val="10"/>
        <color theme="1" tint="4.9989318521683403E-2"/>
        <name val="Century Gothic"/>
        <family val="1"/>
      </font>
      <numFmt numFmtId="2" formatCode="0.00"/>
      <fill>
        <patternFill>
          <fgColor indexed="64"/>
          <bgColor auto="1"/>
        </patternFill>
      </fill>
      <alignment horizontal="left" vertical="bottom"/>
    </dxf>
    <dxf>
      <font>
        <strike val="0"/>
        <outline val="0"/>
        <shadow val="0"/>
        <vertAlign val="baseline"/>
        <sz val="10"/>
        <color theme="1" tint="4.9989318521683403E-2"/>
        <name val="Century Gothic"/>
        <family val="1"/>
      </font>
      <numFmt numFmtId="164" formatCode="dd/mm/yy\ h:mm;@"/>
      <fill>
        <patternFill>
          <fgColor indexed="64"/>
          <bgColor auto="1"/>
        </patternFill>
      </fill>
      <alignment horizontal="left" vertical="bottom"/>
    </dxf>
    <dxf>
      <font>
        <strike val="0"/>
        <outline val="0"/>
        <shadow val="0"/>
        <vertAlign val="baseline"/>
        <sz val="10"/>
        <color theme="1" tint="4.9989318521683403E-2"/>
        <name val="Century Gothic"/>
        <family val="1"/>
      </font>
      <numFmt numFmtId="164" formatCode="dd/mm/yy\ h:mm;@"/>
      <fill>
        <patternFill>
          <fgColor indexed="64"/>
          <bgColor auto="1"/>
        </patternFill>
      </fill>
      <alignment horizontal="left" vertical="bottom"/>
    </dxf>
    <dxf>
      <font>
        <strike val="0"/>
        <outline val="0"/>
        <shadow val="0"/>
        <vertAlign val="baseline"/>
        <sz val="10"/>
        <color theme="1" tint="4.9989318521683403E-2"/>
        <name val="Century Gothic"/>
        <family val="1"/>
      </font>
      <fill>
        <patternFill>
          <fgColor indexed="64"/>
          <bgColor auto="1"/>
        </patternFill>
      </fill>
      <alignment horizontal="left" vertical="bottom"/>
      <border>
        <left style="thin">
          <color indexed="64"/>
        </left>
        <right/>
        <top/>
        <bottom/>
        <vertical/>
        <horizontal/>
      </border>
    </dxf>
    <dxf>
      <font>
        <strike val="0"/>
        <condense val="0"/>
        <extend val="0"/>
        <outline val="0"/>
        <shadow val="0"/>
        <vertAlign val="baseline"/>
        <sz val="10"/>
        <color theme="1" tint="4.9989318521683403E-2"/>
        <name val="Century Gothic"/>
        <family val="1"/>
      </font>
      <alignment horizontal="left" vertical="bottom"/>
    </dxf>
    <dxf>
      <font>
        <strike val="0"/>
        <condense val="0"/>
        <extend val="0"/>
        <outline val="0"/>
        <shadow val="0"/>
        <vertAlign val="baseline"/>
        <sz val="10"/>
        <color theme="1" tint="4.9989318521683403E-2"/>
        <name val="Century Gothic"/>
        <family val="1"/>
      </font>
      <alignment horizontal="left" vertical="bottom"/>
    </dxf>
    <dxf>
      <font>
        <strike val="0"/>
        <condense val="0"/>
        <extend val="0"/>
        <outline val="0"/>
        <shadow val="0"/>
        <vertAlign val="baseline"/>
        <sz val="10"/>
        <color theme="1" tint="4.9989318521683403E-2"/>
        <name val="Century Gothic"/>
        <family val="1"/>
      </font>
      <alignment horizontal="left" vertical="bottom"/>
    </dxf>
    <dxf>
      <font>
        <strike val="0"/>
        <condense val="0"/>
        <extend val="0"/>
        <outline val="0"/>
        <shadow val="0"/>
        <vertAlign val="baseline"/>
        <sz val="10"/>
        <color theme="1" tint="4.9989318521683403E-2"/>
        <name val="Century Gothic"/>
        <family val="1"/>
      </font>
      <alignment horizontal="left" vertical="bottom"/>
    </dxf>
    <dxf>
      <font>
        <strike val="0"/>
        <condense val="0"/>
        <extend val="0"/>
        <outline val="0"/>
        <shadow val="0"/>
        <vertAlign val="baseline"/>
        <sz val="10"/>
        <color theme="1" tint="4.9989318521683403E-2"/>
        <name val="Century Gothic"/>
        <family val="1"/>
      </font>
      <alignment horizontal="left" vertical="bottom"/>
    </dxf>
    <dxf>
      <font>
        <strike val="0"/>
        <condense val="0"/>
        <extend val="0"/>
        <outline val="0"/>
        <shadow val="0"/>
        <vertAlign val="baseline"/>
        <sz val="10"/>
        <color theme="1" tint="4.9989318521683403E-2"/>
        <name val="Century Gothic"/>
        <family val="1"/>
      </font>
      <alignment horizontal="left" vertical="bottom"/>
    </dxf>
    <dxf>
      <font>
        <strike val="0"/>
        <outline val="0"/>
        <shadow val="0"/>
        <vertAlign val="baseline"/>
        <sz val="10"/>
        <color theme="1" tint="4.9989318521683403E-2"/>
        <name val="Century Gothic"/>
        <family val="1"/>
      </font>
      <fill>
        <patternFill>
          <fgColor indexed="64"/>
          <bgColor auto="1"/>
        </patternFill>
      </fill>
      <alignment horizontal="left" vertical="bottom"/>
    </dxf>
    <dxf>
      <font>
        <strike val="0"/>
        <condense val="0"/>
        <extend val="0"/>
        <outline val="0"/>
        <shadow val="0"/>
        <vertAlign val="baseline"/>
        <sz val="10"/>
        <color theme="1" tint="4.9989318521683403E-2"/>
        <name val="Century Gothic"/>
        <family val="1"/>
      </font>
      <fill>
        <patternFill>
          <fgColor indexed="64"/>
          <bgColor auto="1"/>
        </patternFill>
      </fill>
      <alignment horizontal="left" vertical="bottom"/>
    </dxf>
    <dxf>
      <font>
        <strike val="0"/>
        <outline val="0"/>
        <shadow val="0"/>
        <vertAlign val="baseline"/>
        <sz val="10"/>
        <color theme="1" tint="4.9989318521683403E-2"/>
        <name val="Century Gothic"/>
        <family val="1"/>
      </font>
      <fill>
        <patternFill>
          <fgColor indexed="64"/>
          <bgColor auto="1"/>
        </patternFill>
      </fill>
      <alignment horizontal="left" vertical="bottom"/>
    </dxf>
    <dxf>
      <font>
        <strike val="0"/>
        <outline val="0"/>
        <shadow val="0"/>
        <vertAlign val="baseline"/>
        <sz val="10"/>
        <color theme="1" tint="4.9989318521683403E-2"/>
        <name val="Century Gothic"/>
        <family val="1"/>
      </font>
      <fill>
        <patternFill>
          <fgColor indexed="64"/>
          <bgColor auto="1"/>
        </patternFill>
      </fill>
      <alignment horizontal="left" vertical="bottom"/>
    </dxf>
    <dxf>
      <font>
        <strike val="0"/>
        <outline val="0"/>
        <shadow val="0"/>
        <vertAlign val="baseline"/>
        <sz val="10"/>
        <color theme="1" tint="4.9989318521683403E-2"/>
        <name val="Century Gothic"/>
        <family val="1"/>
      </font>
      <fill>
        <patternFill>
          <fgColor indexed="64"/>
          <bgColor auto="1"/>
        </patternFill>
      </fill>
      <alignment horizontal="left" vertical="bottom" wrapText="1"/>
      <border>
        <left style="thin">
          <color indexed="64"/>
        </left>
        <right/>
        <top/>
        <bottom/>
        <vertical/>
        <horizontal/>
      </border>
    </dxf>
    <dxf>
      <font>
        <strike val="0"/>
        <condense val="0"/>
        <extend val="0"/>
        <outline val="0"/>
        <shadow val="0"/>
        <vertAlign val="baseline"/>
        <sz val="10"/>
        <color theme="1" tint="4.9989318521683403E-2"/>
        <name val="Century Gothic"/>
        <family val="1"/>
      </font>
      <fill>
        <patternFill>
          <fgColor indexed="64"/>
          <bgColor auto="1"/>
        </patternFill>
      </fill>
      <alignment horizontal="left" vertical="bottom"/>
    </dxf>
    <dxf>
      <font>
        <strike val="0"/>
        <condense val="0"/>
        <extend val="0"/>
        <outline val="0"/>
        <shadow val="0"/>
        <vertAlign val="baseline"/>
        <sz val="10"/>
        <color theme="1" tint="4.9989318521683403E-2"/>
        <name val="Century Gothic"/>
        <family val="1"/>
      </font>
      <fill>
        <patternFill>
          <fgColor indexed="64"/>
          <bgColor auto="1"/>
        </patternFill>
      </fill>
      <alignment horizontal="left" vertical="bottom"/>
    </dxf>
    <dxf>
      <font>
        <strike val="0"/>
        <condense val="0"/>
        <extend val="0"/>
        <outline val="0"/>
        <shadow val="0"/>
        <vertAlign val="baseline"/>
        <sz val="10"/>
        <color theme="1" tint="4.9989318521683403E-2"/>
        <name val="Century Gothic"/>
        <family val="1"/>
      </font>
      <fill>
        <patternFill>
          <fgColor indexed="64"/>
          <bgColor auto="1"/>
        </patternFill>
      </fill>
      <alignment horizontal="left" vertical="bottom"/>
    </dxf>
    <dxf>
      <font>
        <strike val="0"/>
        <outline val="0"/>
        <shadow val="0"/>
        <vertAlign val="baseline"/>
        <sz val="10"/>
        <color theme="1" tint="4.9989318521683403E-2"/>
        <name val="Century Gothic"/>
        <family val="1"/>
      </font>
      <fill>
        <patternFill>
          <fgColor indexed="64"/>
          <bgColor auto="1"/>
        </patternFill>
      </fill>
      <alignment horizontal="left" vertical="bottom"/>
    </dxf>
    <dxf>
      <font>
        <strike val="0"/>
        <outline val="0"/>
        <shadow val="0"/>
        <vertAlign val="baseline"/>
        <sz val="10"/>
        <color theme="1" tint="4.9989318521683403E-2"/>
        <name val="Century Gothic"/>
        <family val="1"/>
      </font>
      <fill>
        <patternFill>
          <fgColor indexed="64"/>
          <bgColor auto="1"/>
        </patternFill>
      </fill>
      <alignment horizontal="left" vertical="bottom"/>
    </dxf>
    <dxf>
      <font>
        <strike val="0"/>
        <condense val="0"/>
        <extend val="0"/>
        <outline val="0"/>
        <shadow val="0"/>
        <vertAlign val="baseline"/>
        <sz val="10"/>
        <color theme="1" tint="4.9989318521683403E-2"/>
        <name val="Century Gothic"/>
        <family val="1"/>
      </font>
      <fill>
        <patternFill>
          <fgColor indexed="64"/>
          <bgColor auto="1"/>
        </patternFill>
      </fill>
      <alignment horizontal="left" vertical="bottom"/>
    </dxf>
    <dxf>
      <font>
        <strike val="0"/>
        <condense val="0"/>
        <extend val="0"/>
        <outline val="0"/>
        <shadow val="0"/>
        <vertAlign val="baseline"/>
        <sz val="10"/>
        <color theme="1" tint="4.9989318521683403E-2"/>
        <name val="Century Gothic"/>
        <family val="1"/>
      </font>
      <fill>
        <patternFill>
          <fgColor indexed="64"/>
          <bgColor auto="1"/>
        </patternFill>
      </fill>
      <alignment horizontal="left" vertical="bottom"/>
    </dxf>
    <dxf>
      <font>
        <strike val="0"/>
        <outline val="0"/>
        <shadow val="0"/>
        <vertAlign val="baseline"/>
        <sz val="10"/>
        <color theme="1" tint="4.9989318521683403E-2"/>
        <name val="Century Gothic"/>
        <family val="1"/>
      </font>
      <fill>
        <patternFill>
          <fgColor indexed="64"/>
          <bgColor auto="1"/>
        </patternFill>
      </fill>
      <alignment horizontal="left" vertical="bottom"/>
    </dxf>
    <dxf>
      <font>
        <strike val="0"/>
        <outline val="0"/>
        <shadow val="0"/>
        <vertAlign val="baseline"/>
        <sz val="10"/>
        <color theme="1" tint="4.9989318521683403E-2"/>
        <name val="Century Gothic"/>
        <family val="1"/>
      </font>
      <numFmt numFmtId="30" formatCode="@"/>
      <fill>
        <patternFill>
          <fgColor indexed="64"/>
          <bgColor auto="1"/>
        </patternFill>
      </fill>
      <alignment horizontal="left" vertical="bottom"/>
      <border>
        <left style="thin">
          <color indexed="64"/>
        </left>
        <right/>
        <top/>
        <bottom/>
        <vertical/>
        <horizontal/>
      </border>
    </dxf>
    <dxf>
      <font>
        <strike val="0"/>
        <outline val="0"/>
        <shadow val="0"/>
        <vertAlign val="baseline"/>
        <sz val="10"/>
        <color theme="1" tint="4.9989318521683403E-2"/>
        <name val="Century Gothic"/>
        <family val="1"/>
      </font>
      <numFmt numFmtId="30" formatCode="@"/>
      <fill>
        <patternFill>
          <fgColor indexed="64"/>
          <bgColor auto="1"/>
        </patternFill>
      </fill>
      <alignment horizontal="left" vertical="bottom"/>
    </dxf>
    <dxf>
      <font>
        <strike val="0"/>
        <outline val="0"/>
        <shadow val="0"/>
        <vertAlign val="baseline"/>
        <sz val="10"/>
        <color theme="1" tint="4.9989318521683403E-2"/>
        <name val="Century Gothic"/>
        <family val="1"/>
      </font>
      <numFmt numFmtId="1" formatCode="0"/>
      <fill>
        <patternFill>
          <fgColor indexed="64"/>
          <bgColor auto="1"/>
        </patternFill>
      </fill>
      <alignment horizontal="left" vertical="bottom"/>
    </dxf>
    <dxf>
      <font>
        <strike val="0"/>
        <outline val="0"/>
        <shadow val="0"/>
        <vertAlign val="baseline"/>
        <sz val="10"/>
        <color theme="1" tint="4.9989318521683403E-2"/>
        <name val="Century Gothic"/>
        <family val="1"/>
      </font>
      <numFmt numFmtId="30" formatCode="@"/>
      <fill>
        <patternFill>
          <fgColor indexed="64"/>
          <bgColor auto="1"/>
        </patternFill>
      </fill>
      <alignment horizontal="left" vertical="bottom"/>
    </dxf>
    <dxf>
      <font>
        <strike val="0"/>
        <condense val="0"/>
        <extend val="0"/>
        <outline val="0"/>
        <shadow val="0"/>
        <vertAlign val="baseline"/>
        <sz val="10"/>
        <color theme="1" tint="4.9989318521683403E-2"/>
        <name val="Century Gothic"/>
        <family val="1"/>
      </font>
      <numFmt numFmtId="30" formatCode="@"/>
      <fill>
        <patternFill>
          <fgColor indexed="64"/>
          <bgColor auto="1"/>
        </patternFill>
      </fill>
      <alignment horizontal="left" vertical="bottom"/>
    </dxf>
    <dxf>
      <font>
        <strike val="0"/>
        <condense val="0"/>
        <extend val="0"/>
        <outline val="0"/>
        <shadow val="0"/>
        <vertAlign val="baseline"/>
        <sz val="10"/>
        <color theme="1" tint="4.9989318521683403E-2"/>
        <name val="Century Gothic"/>
        <family val="1"/>
      </font>
      <numFmt numFmtId="30" formatCode="@"/>
      <fill>
        <patternFill>
          <fgColor indexed="64"/>
          <bgColor auto="1"/>
        </patternFill>
      </fill>
      <alignment horizontal="left" vertical="bottom"/>
      <border>
        <left style="thin">
          <color indexed="64"/>
        </left>
        <right/>
        <top/>
        <bottom/>
        <vertical/>
        <horizontal/>
      </border>
    </dxf>
    <dxf>
      <font>
        <strike val="0"/>
        <condense val="0"/>
        <extend val="0"/>
        <outline val="0"/>
        <shadow val="0"/>
        <vertAlign val="baseline"/>
        <sz val="10"/>
        <color theme="1" tint="4.9989318521683403E-2"/>
        <name val="Century Gothic"/>
        <family val="1"/>
      </font>
      <numFmt numFmtId="30" formatCode="@"/>
      <fill>
        <patternFill>
          <fgColor indexed="64"/>
          <bgColor auto="1"/>
        </patternFill>
      </fill>
      <alignment horizontal="left" vertical="bottom"/>
    </dxf>
    <dxf>
      <font>
        <strike val="0"/>
        <condense val="0"/>
        <extend val="0"/>
        <outline val="0"/>
        <shadow val="0"/>
        <vertAlign val="baseline"/>
        <sz val="10"/>
        <color theme="1" tint="4.9989318521683403E-2"/>
        <name val="Century Gothic"/>
        <family val="1"/>
      </font>
      <numFmt numFmtId="30" formatCode="@"/>
      <fill>
        <patternFill>
          <fgColor indexed="64"/>
          <bgColor auto="1"/>
        </patternFill>
      </fill>
      <alignment horizontal="left" vertical="bottom"/>
    </dxf>
    <dxf>
      <font>
        <strike val="0"/>
        <condense val="0"/>
        <extend val="0"/>
        <outline val="0"/>
        <shadow val="0"/>
        <vertAlign val="baseline"/>
        <sz val="10"/>
        <color theme="1" tint="4.9989318521683403E-2"/>
        <name val="Century Gothic"/>
        <family val="1"/>
      </font>
      <numFmt numFmtId="30" formatCode="@"/>
      <fill>
        <patternFill>
          <fgColor indexed="64"/>
          <bgColor auto="1"/>
        </patternFill>
      </fill>
      <alignment horizontal="left" vertical="bottom"/>
    </dxf>
    <dxf>
      <font>
        <strike val="0"/>
        <condense val="0"/>
        <extend val="0"/>
        <outline val="0"/>
        <shadow val="0"/>
        <vertAlign val="baseline"/>
        <sz val="10"/>
        <color theme="1" tint="4.9989318521683403E-2"/>
        <name val="Century Gothic"/>
        <family val="1"/>
      </font>
      <numFmt numFmtId="30" formatCode="@"/>
      <fill>
        <patternFill>
          <fgColor indexed="64"/>
          <bgColor auto="1"/>
        </patternFill>
      </fill>
      <alignment horizontal="left" vertical="bottom"/>
    </dxf>
    <dxf>
      <font>
        <strike val="0"/>
        <condense val="0"/>
        <extend val="0"/>
        <outline val="0"/>
        <shadow val="0"/>
        <vertAlign val="baseline"/>
        <sz val="10"/>
        <color theme="1" tint="4.9989318521683403E-2"/>
        <name val="Century Gothic"/>
        <family val="1"/>
      </font>
      <numFmt numFmtId="30" formatCode="@"/>
      <fill>
        <patternFill>
          <fgColor indexed="64"/>
          <bgColor auto="1"/>
        </patternFill>
      </fill>
      <alignment horizontal="left" vertical="bottom"/>
    </dxf>
    <dxf>
      <font>
        <strike val="0"/>
        <outline val="0"/>
        <shadow val="0"/>
        <vertAlign val="baseline"/>
        <sz val="10"/>
        <color theme="1" tint="4.9989318521683403E-2"/>
        <name val="Century Gothic"/>
        <family val="1"/>
      </font>
      <fill>
        <patternFill>
          <fgColor indexed="64"/>
          <bgColor auto="1"/>
        </patternFill>
      </fill>
      <alignment horizontal="left" vertical="bottom"/>
    </dxf>
    <dxf>
      <font>
        <b/>
        <strike val="0"/>
        <condense val="0"/>
        <extend val="0"/>
        <outline val="0"/>
        <shadow val="0"/>
        <vertAlign val="baseline"/>
        <sz val="14"/>
        <color theme="1" tint="4.9989318521683403E-2"/>
        <name val="Century Gothic"/>
        <family val="1"/>
      </font>
      <fill>
        <patternFill>
          <fgColor indexed="64"/>
          <bgColor auto="1"/>
        </patternFill>
      </fill>
      <alignment horizontal="left" vertical="top" wrapText="1"/>
      <border outline="0">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pivotCacheDefinition" Target="pivotCache/pivotCacheDefinition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pivotCacheDefinition" Target="pivotCache/pivotCacheDefinition1.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pivotCacheDefinition" Target="pivotCache/pivotCacheDefinition3.xml"/><Relationship Id="rId8" Type="http://schemas.openxmlformats.org/officeDocument/2006/relationships/worksheet" Target="worksheets/sheet8.xml"/><Relationship Id="rId3" Type="http://schemas.openxmlformats.org/officeDocument/2006/relationships/worksheet" Target="worksheets/sheet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pivotSource>
    <c:name>[КРС-3 обнова планирование.xlsx]НПВ_по_группам!НПВ_по_группам</c:name>
    <c:fmtId val="10"/>
  </c:pivotSource>
  <c:chart>
    <c:title>
      <c:tx>
        <c:rich>
          <a:bodyPr rot="0" spcFirstLastPara="1" vertOverflow="ellipsis" vert="horz" wrap="square" anchor="ctr" anchorCtr="1"/>
          <a:lstStyle/>
          <a:p>
            <a:pPr>
              <a:defRPr sz="1200" b="0" i="0" strike="noStrike" kern="1200" spc="0" baseline="0">
                <a:solidFill>
                  <a:schemeClr val="tx1"/>
                </a:solidFill>
                <a:latin typeface="Century Gothic" panose="020B0502020202020204" pitchFamily="34" charset="0"/>
                <a:ea typeface="+mn-ea"/>
                <a:cs typeface="+mn-cs"/>
              </a:defRPr>
            </a:pPr>
            <a:r>
              <a:rPr lang="ru-RU" sz="1200"/>
              <a:t>Распределение НПВ по группам, часы</a:t>
            </a:r>
          </a:p>
        </c:rich>
      </c:tx>
      <c:overlay val="0"/>
      <c:spPr>
        <a:noFill/>
        <a:ln>
          <a:noFill/>
          <a:prstDash val="solid"/>
        </a:ln>
      </c:spPr>
    </c:title>
    <c:autoTitleDeleted val="0"/>
    <c:pivotFmts>
      <c:pivotFmt>
        <c:idx val="0"/>
        <c:spPr>
          <a:solidFill>
            <a:srgbClr val="C00000"/>
          </a:solidFill>
          <a:ln>
            <a:noFill/>
            <a:prstDash val="solid"/>
          </a:ln>
        </c:spPr>
        <c:marker>
          <c:symbol val="none"/>
        </c:marker>
        <c:dLbl>
          <c:idx val="0"/>
          <c:spPr>
            <a:noFill/>
            <a:ln>
              <a:noFill/>
              <a:prstDash val="solid"/>
            </a:ln>
          </c:spPr>
          <c:txPr>
            <a:bodyPr rot="0" spcFirstLastPara="1" vertOverflow="ellipsis" vert="horz" wrap="square" anchor="ctr" anchorCtr="1"/>
            <a:lstStyle/>
            <a:p>
              <a:pPr>
                <a:defRPr sz="900" b="1" i="0" strike="noStrike" kern="1200" baseline="0">
                  <a:solidFill>
                    <a:schemeClr val="tx1"/>
                  </a:solidFill>
                  <a:latin typeface="Century Gothic" panose="020B0502020202020204" pitchFamily="34" charset="0"/>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prstDash val="solid"/>
          </a:ln>
        </c:spPr>
        <c:marker>
          <c:symbol val="none"/>
        </c:marker>
        <c:dLbl>
          <c:idx val="0"/>
          <c:spPr>
            <a:noFill/>
            <a:ln>
              <a:noFill/>
              <a:prstDash val="solid"/>
            </a:ln>
          </c:spPr>
          <c:txPr>
            <a:bodyPr rot="0" spcFirstLastPara="1" vertOverflow="ellipsis" vert="horz" wrap="square" anchor="ctr" anchorCtr="1"/>
            <a:lstStyle/>
            <a:p>
              <a:pPr>
                <a:defRPr sz="900" b="1" i="0" strike="noStrike" kern="1200" baseline="0">
                  <a:solidFill>
                    <a:schemeClr val="tx1"/>
                  </a:solidFill>
                  <a:latin typeface="Century Gothic" panose="020B0502020202020204" pitchFamily="34" charset="0"/>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prstDash val="solid"/>
          </a:ln>
        </c:spPr>
        <c:marker>
          <c:symbol val="none"/>
        </c:marker>
        <c:dLbl>
          <c:idx val="0"/>
          <c:spPr>
            <a:noFill/>
            <a:ln>
              <a:noFill/>
              <a:prstDash val="solid"/>
            </a:ln>
          </c:spPr>
          <c:txPr>
            <a:bodyPr rot="0" spcFirstLastPara="1" vertOverflow="ellipsis" vert="horz" wrap="square" anchor="ctr" anchorCtr="1"/>
            <a:lstStyle/>
            <a:p>
              <a:pPr>
                <a:defRPr sz="1600" b="1" i="0" strike="noStrike" kern="1200" baseline="0">
                  <a:solidFill>
                    <a:schemeClr val="tx1"/>
                  </a:solidFill>
                  <a:latin typeface="Century Gothic" panose="020B0502020202020204" pitchFamily="34" charset="0"/>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00000"/>
          </a:solidFill>
          <a:ln>
            <a:noFill/>
            <a:prstDash val="solid"/>
          </a:ln>
        </c:spPr>
        <c:marker>
          <c:symbol val="none"/>
        </c:marker>
        <c:dLbl>
          <c:idx val="0"/>
          <c:spPr>
            <a:noFill/>
            <a:ln>
              <a:noFill/>
              <a:prstDash val="solid"/>
            </a:ln>
          </c:spPr>
          <c:txPr>
            <a:bodyPr rot="0" spcFirstLastPara="1" vertOverflow="ellipsis" vert="horz" wrap="square" anchor="ctr" anchorCtr="1"/>
            <a:lstStyle/>
            <a:p>
              <a:pPr>
                <a:defRPr sz="1600" b="1" i="0" strike="noStrike" kern="1200" baseline="0">
                  <a:solidFill>
                    <a:schemeClr val="tx1"/>
                  </a:solidFill>
                  <a:latin typeface="Century Gothic" panose="020B0502020202020204" pitchFamily="34" charset="0"/>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C00000"/>
          </a:solidFill>
          <a:ln>
            <a:noFill/>
            <a:prstDash val="solid"/>
          </a:ln>
        </c:spPr>
        <c:marker>
          <c:symbol val="none"/>
        </c:marker>
        <c:dLbl>
          <c:idx val="0"/>
          <c:spPr>
            <a:noFill/>
            <a:ln>
              <a:noFill/>
              <a:prstDash val="solid"/>
            </a:ln>
          </c:spPr>
          <c:txPr>
            <a:bodyPr rot="0" spcFirstLastPara="1" vertOverflow="ellipsis" vert="horz" wrap="square" anchor="ctr" anchorCtr="1"/>
            <a:lstStyle/>
            <a:p>
              <a:pPr>
                <a:defRPr sz="1600" b="1" i="0" strike="noStrike" kern="1200" baseline="0">
                  <a:solidFill>
                    <a:schemeClr val="tx1"/>
                  </a:solidFill>
                  <a:latin typeface="Century Gothic" panose="020B0502020202020204" pitchFamily="34" charset="0"/>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00000"/>
          </a:solidFill>
          <a:ln>
            <a:noFill/>
            <a:prstDash val="solid"/>
          </a:ln>
        </c:spPr>
        <c:marker>
          <c:symbol val="none"/>
        </c:marker>
        <c:dLbl>
          <c:idx val="0"/>
          <c:spPr>
            <a:noFill/>
            <a:ln>
              <a:noFill/>
              <a:prstDash val="solid"/>
            </a:ln>
          </c:spPr>
          <c:txPr>
            <a:bodyPr rot="0" spcFirstLastPara="1" vertOverflow="ellipsis" vert="horz" wrap="square" anchor="ctr" anchorCtr="1"/>
            <a:lstStyle/>
            <a:p>
              <a:pPr>
                <a:defRPr sz="1600" b="1" i="0" strike="noStrike" kern="1200" baseline="0">
                  <a:solidFill>
                    <a:schemeClr val="tx1"/>
                  </a:solidFill>
                  <a:latin typeface="Century Gothic" panose="020B0502020202020204" pitchFamily="34" charset="0"/>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НПВ_по_группам!$B$3</c:f>
              <c:strCache>
                <c:ptCount val="1"/>
                <c:pt idx="0">
                  <c:v>Итог</c:v>
                </c:pt>
              </c:strCache>
            </c:strRef>
          </c:tx>
          <c:spPr>
            <a:solidFill>
              <a:srgbClr val="C00000"/>
            </a:solidFill>
            <a:ln>
              <a:noFill/>
              <a:prstDash val="solid"/>
            </a:ln>
          </c:spPr>
          <c:invertIfNegative val="0"/>
          <c:dLbls>
            <c:spPr>
              <a:noFill/>
              <a:ln>
                <a:noFill/>
                <a:prstDash val="solid"/>
              </a:ln>
            </c:spPr>
            <c:txPr>
              <a:bodyPr rot="0" spcFirstLastPara="1" vertOverflow="ellipsis" vert="horz" wrap="square" anchor="ctr" anchorCtr="1"/>
              <a:lstStyle/>
              <a:p>
                <a:pPr>
                  <a:defRPr sz="1600" b="1" i="0" strike="noStrike" kern="1200" baseline="0">
                    <a:solidFill>
                      <a:schemeClr val="tx1"/>
                    </a:solidFill>
                    <a:latin typeface="Century Gothic" panose="020B0502020202020204" pitchFamily="34" charset="0"/>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НПВ_по_группам!$A$4:$A$7</c:f>
              <c:strCache>
                <c:ptCount val="3"/>
                <c:pt idx="0">
                  <c:v>Ожидание разрешения</c:v>
                </c:pt>
                <c:pt idx="1">
                  <c:v>(пусто)</c:v>
                </c:pt>
                <c:pt idx="2">
                  <c:v>Ожидание персонала</c:v>
                </c:pt>
              </c:strCache>
            </c:strRef>
          </c:cat>
          <c:val>
            <c:numRef>
              <c:f>НПВ_по_группам!$B$4:$B$7</c:f>
              <c:numCache>
                <c:formatCode>0.0</c:formatCode>
                <c:ptCount val="3"/>
                <c:pt idx="0">
                  <c:v>202</c:v>
                </c:pt>
                <c:pt idx="1">
                  <c:v>70.5</c:v>
                </c:pt>
                <c:pt idx="2">
                  <c:v>69</c:v>
                </c:pt>
              </c:numCache>
            </c:numRef>
          </c:val>
          <c:extLst>
            <c:ext xmlns:c16="http://schemas.microsoft.com/office/drawing/2014/chart" uri="{C3380CC4-5D6E-409C-BE32-E72D297353CC}">
              <c16:uniqueId val="{00000000-D3A5-4B47-A608-F669145156B7}"/>
            </c:ext>
          </c:extLst>
        </c:ser>
        <c:dLbls>
          <c:showLegendKey val="0"/>
          <c:showVal val="0"/>
          <c:showCatName val="0"/>
          <c:showSerName val="0"/>
          <c:showPercent val="0"/>
          <c:showBubbleSize val="0"/>
        </c:dLbls>
        <c:gapWidth val="182"/>
        <c:axId val="195442687"/>
        <c:axId val="1123418111"/>
      </c:barChart>
      <c:catAx>
        <c:axId val="195442687"/>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1000" b="0" i="0" strike="noStrike" kern="1200" baseline="0">
                <a:solidFill>
                  <a:schemeClr val="tx1"/>
                </a:solidFill>
                <a:latin typeface="Century Gothic" panose="020B0502020202020204" pitchFamily="34" charset="0"/>
                <a:ea typeface="+mn-ea"/>
                <a:cs typeface="+mn-cs"/>
              </a:defRPr>
            </a:pPr>
            <a:endParaRPr lang="ru-RU"/>
          </a:p>
        </c:txPr>
        <c:crossAx val="1123418111"/>
        <c:crosses val="autoZero"/>
        <c:auto val="1"/>
        <c:lblAlgn val="ctr"/>
        <c:lblOffset val="100"/>
        <c:noMultiLvlLbl val="0"/>
      </c:catAx>
      <c:valAx>
        <c:axId val="1123418111"/>
        <c:scaling>
          <c:orientation val="minMax"/>
        </c:scaling>
        <c:delete val="1"/>
        <c:axPos val="t"/>
        <c:numFmt formatCode="0.0" sourceLinked="1"/>
        <c:majorTickMark val="none"/>
        <c:minorTickMark val="none"/>
        <c:tickLblPos val="nextTo"/>
        <c:crossAx val="195442687"/>
        <c:crosses val="autoZero"/>
        <c:crossBetween val="between"/>
      </c:valAx>
    </c:plotArea>
    <c:plotVisOnly val="1"/>
    <c:dispBlanksAs val="gap"/>
    <c:showDLblsOverMax val="1"/>
  </c:chart>
  <c:spPr>
    <a:solidFill>
      <a:schemeClr val="bg1">
        <a:lumMod val="95000"/>
      </a:schemeClr>
    </a:solidFill>
    <a:ln w="9525" cap="flat" cmpd="sng" algn="ctr">
      <a:noFill/>
      <a:prstDash val="solid"/>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pivotSource>
    <c:name>[КРС-3 обнова планирование.xlsx]Топ_НПВ_по_неделям!ТОП_НПВ</c:name>
    <c:fmtId val="13"/>
  </c:pivotSource>
  <c:chart>
    <c:title>
      <c:tx>
        <c:rich>
          <a:bodyPr rot="0" spcFirstLastPara="1" vertOverflow="ellipsis" vert="horz" wrap="square" anchor="ctr" anchorCtr="1"/>
          <a:lstStyle/>
          <a:p>
            <a:pPr>
              <a:defRPr sz="1400" b="0" i="0" strike="noStrike" kern="1200" spc="0" baseline="0">
                <a:solidFill>
                  <a:schemeClr val="tx1"/>
                </a:solidFill>
                <a:latin typeface="Century Gothic" panose="020B0502020202020204" pitchFamily="34" charset="0"/>
                <a:ea typeface="+mn-ea"/>
                <a:cs typeface="+mn-cs"/>
              </a:defRPr>
            </a:pPr>
            <a:r>
              <a:rPr lang="ru-RU" sz="1400" b="0" i="0" strike="noStrike" kern="1200" spc="0" baseline="0">
                <a:solidFill>
                  <a:sysClr val="windowText" lastClr="000000"/>
                </a:solidFill>
                <a:latin typeface="Century Gothic" panose="020B0502020202020204" pitchFamily="34" charset="0"/>
              </a:rPr>
              <a:t>Топ НПВ и ПНВ по неделям строительства скважины, часы</a:t>
            </a:r>
          </a:p>
        </c:rich>
      </c:tx>
      <c:overlay val="0"/>
      <c:spPr>
        <a:noFill/>
        <a:ln>
          <a:noFill/>
          <a:prstDash val="solid"/>
        </a:ln>
      </c:spPr>
    </c:title>
    <c:autoTitleDeleted val="0"/>
    <c:pivotFmts>
      <c:pivotFmt>
        <c:idx val="0"/>
        <c:spPr>
          <a:solidFill>
            <a:srgbClr val="C00000"/>
          </a:solidFill>
          <a:ln>
            <a:noFill/>
            <a:prstDash val="solid"/>
          </a:ln>
        </c:spPr>
        <c:marker>
          <c:symbol val="none"/>
        </c:marker>
        <c:dLbl>
          <c:idx val="0"/>
          <c:spPr>
            <a:noFill/>
            <a:ln>
              <a:noFill/>
              <a:prstDash val="solid"/>
            </a:ln>
          </c:spPr>
          <c:txPr>
            <a:bodyPr rot="0" spcFirstLastPara="1" vertOverflow="ellipsis" vert="horz" wrap="square" anchor="ctr" anchorCtr="1"/>
            <a:lstStyle/>
            <a:p>
              <a:pPr>
                <a:defRPr sz="900" b="1" i="0" strike="noStrike" kern="1200" baseline="0">
                  <a:solidFill>
                    <a:schemeClr val="tx1"/>
                  </a:solidFill>
                  <a:latin typeface="Century Gothic" panose="020B0502020202020204" pitchFamily="34" charset="0"/>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prstDash val="solid"/>
          </a:ln>
        </c:spPr>
        <c:marker>
          <c:symbol val="none"/>
        </c:marker>
        <c:dLbl>
          <c:idx val="0"/>
          <c:spPr>
            <a:noFill/>
            <a:ln>
              <a:noFill/>
              <a:prstDash val="solid"/>
            </a:ln>
          </c:spPr>
          <c:txPr>
            <a:bodyPr rot="0" spcFirstLastPara="1" vertOverflow="ellipsis" vert="horz" wrap="square" anchor="ctr" anchorCtr="1"/>
            <a:lstStyle/>
            <a:p>
              <a:pPr>
                <a:defRPr sz="900" b="1" i="0" strike="noStrike" kern="1200" baseline="0">
                  <a:solidFill>
                    <a:schemeClr val="tx1"/>
                  </a:solidFill>
                  <a:latin typeface="Century Gothic" panose="020B0502020202020204" pitchFamily="34" charset="0"/>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prstDash val="solid"/>
          </a:ln>
        </c:spPr>
        <c:marker>
          <c:symbol val="none"/>
        </c:marker>
        <c:dLbl>
          <c:idx val="0"/>
          <c:spPr>
            <a:noFill/>
            <a:ln>
              <a:noFill/>
              <a:prstDash val="solid"/>
            </a:ln>
          </c:spPr>
          <c:txPr>
            <a:bodyPr rot="0" spcFirstLastPara="1" vertOverflow="ellipsis" vert="horz" wrap="square" anchor="ctr" anchorCtr="1"/>
            <a:lstStyle/>
            <a:p>
              <a:pPr>
                <a:defRPr sz="1600" b="1" i="0" strike="noStrike" kern="1200" baseline="0">
                  <a:solidFill>
                    <a:schemeClr val="tx1"/>
                  </a:solidFill>
                  <a:latin typeface="Century Gothic" panose="020B0502020202020204" pitchFamily="34" charset="0"/>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00000"/>
          </a:solidFill>
          <a:ln>
            <a:noFill/>
            <a:prstDash val="solid"/>
          </a:ln>
        </c:spPr>
      </c:pivotFmt>
      <c:pivotFmt>
        <c:idx val="4"/>
        <c:spPr>
          <a:solidFill>
            <a:srgbClr val="C00000"/>
          </a:solidFill>
          <a:ln>
            <a:noFill/>
            <a:prstDash val="solid"/>
          </a:ln>
        </c:spPr>
      </c:pivotFmt>
      <c:pivotFmt>
        <c:idx val="5"/>
        <c:spPr>
          <a:solidFill>
            <a:srgbClr val="C00000"/>
          </a:solidFill>
          <a:ln>
            <a:noFill/>
            <a:prstDash val="solid"/>
          </a:ln>
        </c:spPr>
      </c:pivotFmt>
      <c:pivotFmt>
        <c:idx val="6"/>
        <c:spPr>
          <a:solidFill>
            <a:srgbClr val="C00000"/>
          </a:solidFill>
          <a:ln>
            <a:noFill/>
            <a:prstDash val="solid"/>
          </a:ln>
        </c:spPr>
      </c:pivotFmt>
      <c:pivotFmt>
        <c:idx val="7"/>
        <c:spPr>
          <a:solidFill>
            <a:srgbClr val="C00000"/>
          </a:solidFill>
          <a:ln>
            <a:noFill/>
            <a:prstDash val="solid"/>
          </a:ln>
        </c:spPr>
      </c:pivotFmt>
      <c:pivotFmt>
        <c:idx val="8"/>
        <c:spPr>
          <a:solidFill>
            <a:srgbClr val="C00000"/>
          </a:solidFill>
          <a:ln>
            <a:noFill/>
            <a:prstDash val="solid"/>
          </a:ln>
        </c:spPr>
      </c:pivotFmt>
      <c:pivotFmt>
        <c:idx val="9"/>
        <c:spPr>
          <a:solidFill>
            <a:srgbClr val="C00000"/>
          </a:solidFill>
          <a:ln>
            <a:noFill/>
            <a:prstDash val="solid"/>
          </a:ln>
        </c:spPr>
      </c:pivotFmt>
      <c:pivotFmt>
        <c:idx val="10"/>
        <c:spPr>
          <a:solidFill>
            <a:srgbClr val="C00000"/>
          </a:solidFill>
          <a:ln>
            <a:noFill/>
            <a:prstDash val="solid"/>
          </a:ln>
        </c:spPr>
      </c:pivotFmt>
      <c:pivotFmt>
        <c:idx val="11"/>
        <c:spPr>
          <a:solidFill>
            <a:srgbClr val="C00000"/>
          </a:solidFill>
          <a:ln>
            <a:noFill/>
            <a:prstDash val="solid"/>
          </a:ln>
        </c:spPr>
      </c:pivotFmt>
      <c:pivotFmt>
        <c:idx val="12"/>
        <c:spPr>
          <a:solidFill>
            <a:srgbClr val="C00000"/>
          </a:solidFill>
          <a:ln>
            <a:noFill/>
            <a:prstDash val="solid"/>
          </a:ln>
        </c:spPr>
      </c:pivotFmt>
      <c:pivotFmt>
        <c:idx val="13"/>
        <c:spPr>
          <a:solidFill>
            <a:srgbClr val="C00000"/>
          </a:solidFill>
          <a:ln>
            <a:noFill/>
            <a:prstDash val="solid"/>
          </a:ln>
        </c:spPr>
      </c:pivotFmt>
      <c:pivotFmt>
        <c:idx val="14"/>
        <c:spPr>
          <a:solidFill>
            <a:srgbClr val="C00000"/>
          </a:solidFill>
          <a:ln>
            <a:noFill/>
            <a:prstDash val="solid"/>
          </a:ln>
        </c:spPr>
      </c:pivotFmt>
      <c:pivotFmt>
        <c:idx val="15"/>
        <c:spPr>
          <a:solidFill>
            <a:srgbClr val="C00000"/>
          </a:solidFill>
          <a:ln>
            <a:noFill/>
            <a:prstDash val="solid"/>
          </a:ln>
        </c:spPr>
      </c:pivotFmt>
      <c:pivotFmt>
        <c:idx val="16"/>
        <c:spPr>
          <a:solidFill>
            <a:srgbClr val="C00000"/>
          </a:solidFill>
          <a:ln>
            <a:noFill/>
            <a:prstDash val="solid"/>
          </a:ln>
        </c:spPr>
      </c:pivotFmt>
      <c:pivotFmt>
        <c:idx val="17"/>
        <c:spPr>
          <a:solidFill>
            <a:srgbClr val="C00000"/>
          </a:solidFill>
          <a:ln>
            <a:noFill/>
            <a:prstDash val="solid"/>
          </a:ln>
        </c:spPr>
      </c:pivotFmt>
      <c:pivotFmt>
        <c:idx val="18"/>
        <c:spPr>
          <a:solidFill>
            <a:srgbClr val="FFC000"/>
          </a:solidFill>
          <a:ln>
            <a:noFill/>
            <a:prstDash val="solid"/>
          </a:ln>
        </c:spPr>
      </c:pivotFmt>
      <c:pivotFmt>
        <c:idx val="19"/>
        <c:spPr>
          <a:solidFill>
            <a:srgbClr val="FFC000"/>
          </a:solidFill>
          <a:ln>
            <a:noFill/>
            <a:prstDash val="solid"/>
          </a:ln>
        </c:spPr>
      </c:pivotFmt>
      <c:pivotFmt>
        <c:idx val="20"/>
        <c:spPr>
          <a:solidFill>
            <a:srgbClr val="FFC000"/>
          </a:solidFill>
          <a:ln>
            <a:noFill/>
            <a:prstDash val="solid"/>
          </a:ln>
        </c:spPr>
      </c:pivotFmt>
      <c:pivotFmt>
        <c:idx val="21"/>
        <c:spPr>
          <a:solidFill>
            <a:srgbClr val="FFC000"/>
          </a:solidFill>
          <a:ln>
            <a:noFill/>
            <a:prstDash val="solid"/>
          </a:ln>
        </c:spPr>
      </c:pivotFmt>
      <c:pivotFmt>
        <c:idx val="22"/>
        <c:spPr>
          <a:solidFill>
            <a:srgbClr val="FFC000"/>
          </a:solidFill>
          <a:ln>
            <a:noFill/>
            <a:prstDash val="solid"/>
          </a:ln>
        </c:spPr>
        <c:marker>
          <c:symbol val="none"/>
        </c:marker>
        <c:dLbl>
          <c:idx val="0"/>
          <c:spPr>
            <a:noFill/>
            <a:ln>
              <a:noFill/>
              <a:prstDash val="solid"/>
            </a:ln>
          </c:spPr>
          <c:txPr>
            <a:bodyPr rot="0" spcFirstLastPara="1" vertOverflow="ellipsis" vert="horz" wrap="square" anchor="ctr" anchorCtr="1"/>
            <a:lstStyle/>
            <a:p>
              <a:pPr>
                <a:defRPr sz="1600" b="1" i="0" strike="noStrike" kern="1200" baseline="0">
                  <a:solidFill>
                    <a:schemeClr val="tx1"/>
                  </a:solidFill>
                  <a:latin typeface="Century Gothic" panose="020B0502020202020204" pitchFamily="34" charset="0"/>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FFC000"/>
          </a:solidFill>
          <a:ln>
            <a:noFill/>
            <a:prstDash val="solid"/>
          </a:ln>
        </c:spPr>
      </c:pivotFmt>
      <c:pivotFmt>
        <c:idx val="24"/>
        <c:spPr>
          <a:solidFill>
            <a:srgbClr val="FFC000"/>
          </a:solidFill>
          <a:ln>
            <a:noFill/>
            <a:prstDash val="solid"/>
          </a:ln>
        </c:spPr>
      </c:pivotFmt>
      <c:pivotFmt>
        <c:idx val="25"/>
        <c:spPr>
          <a:solidFill>
            <a:srgbClr val="FFC000"/>
          </a:solidFill>
          <a:ln>
            <a:noFill/>
            <a:prstDash val="solid"/>
          </a:ln>
        </c:spPr>
      </c:pivotFmt>
      <c:pivotFmt>
        <c:idx val="26"/>
        <c:spPr>
          <a:solidFill>
            <a:srgbClr val="FFC000"/>
          </a:solidFill>
          <a:ln>
            <a:noFill/>
            <a:prstDash val="solid"/>
          </a:ln>
        </c:spPr>
      </c:pivotFmt>
      <c:pivotFmt>
        <c:idx val="27"/>
        <c:spPr>
          <a:solidFill>
            <a:srgbClr val="ED7D31"/>
          </a:solidFill>
          <a:ln>
            <a:noFill/>
            <a:prstDash val="solid"/>
          </a:ln>
        </c:spPr>
      </c:pivotFmt>
      <c:pivotFmt>
        <c:idx val="28"/>
        <c:spPr>
          <a:solidFill>
            <a:srgbClr val="ED7D31"/>
          </a:solidFill>
          <a:ln>
            <a:noFill/>
            <a:prstDash val="solid"/>
          </a:ln>
        </c:spPr>
      </c:pivotFmt>
      <c:pivotFmt>
        <c:idx val="29"/>
        <c:spPr>
          <a:solidFill>
            <a:srgbClr val="ED7D31"/>
          </a:solidFill>
          <a:ln>
            <a:noFill/>
            <a:prstDash val="solid"/>
          </a:ln>
        </c:spPr>
      </c:pivotFmt>
      <c:pivotFmt>
        <c:idx val="30"/>
        <c:spPr>
          <a:solidFill>
            <a:srgbClr val="ED7D31"/>
          </a:solidFill>
          <a:ln>
            <a:noFill/>
            <a:prstDash val="solid"/>
          </a:ln>
        </c:spPr>
      </c:pivotFmt>
      <c:pivotFmt>
        <c:idx val="31"/>
        <c:spPr>
          <a:solidFill>
            <a:srgbClr val="FFC000"/>
          </a:solidFill>
          <a:ln>
            <a:noFill/>
            <a:prstDash val="solid"/>
          </a:ln>
        </c:spPr>
      </c:pivotFmt>
      <c:pivotFmt>
        <c:idx val="32"/>
        <c:spPr>
          <a:solidFill>
            <a:srgbClr val="FFC000"/>
          </a:solidFill>
          <a:ln>
            <a:noFill/>
            <a:prstDash val="solid"/>
          </a:ln>
        </c:spPr>
      </c:pivotFmt>
      <c:pivotFmt>
        <c:idx val="33"/>
        <c:spPr>
          <a:solidFill>
            <a:srgbClr val="4472C4"/>
          </a:solidFill>
          <a:ln>
            <a:noFill/>
            <a:prstDash val="solid"/>
          </a:ln>
        </c:spPr>
      </c:pivotFmt>
      <c:pivotFmt>
        <c:idx val="34"/>
        <c:spPr>
          <a:solidFill>
            <a:srgbClr val="4472C4"/>
          </a:solidFill>
          <a:ln>
            <a:noFill/>
            <a:prstDash val="solid"/>
          </a:ln>
        </c:spPr>
      </c:pivotFmt>
      <c:pivotFmt>
        <c:idx val="35"/>
        <c:spPr>
          <a:solidFill>
            <a:srgbClr val="4472C4"/>
          </a:solidFill>
          <a:ln>
            <a:noFill/>
            <a:prstDash val="solid"/>
          </a:ln>
        </c:spPr>
      </c:pivotFmt>
      <c:pivotFmt>
        <c:idx val="36"/>
        <c:spPr>
          <a:solidFill>
            <a:srgbClr val="C00000"/>
          </a:solidFill>
          <a:ln>
            <a:noFill/>
            <a:prstDash val="solid"/>
          </a:ln>
        </c:spPr>
      </c:pivotFmt>
      <c:pivotFmt>
        <c:idx val="37"/>
        <c:spPr>
          <a:solidFill>
            <a:srgbClr val="C00000"/>
          </a:solidFill>
          <a:ln>
            <a:noFill/>
            <a:prstDash val="solid"/>
          </a:ln>
        </c:spPr>
      </c:pivotFmt>
      <c:pivotFmt>
        <c:idx val="38"/>
      </c:pivotFmt>
      <c:pivotFmt>
        <c:idx val="39"/>
      </c:pivotFmt>
      <c:pivotFmt>
        <c:idx val="40"/>
        <c:spPr>
          <a:solidFill>
            <a:srgbClr val="C00000"/>
          </a:solidFill>
          <a:ln>
            <a:noFill/>
            <a:prstDash val="solid"/>
          </a:ln>
        </c:spPr>
      </c:pivotFmt>
      <c:pivotFmt>
        <c:idx val="41"/>
        <c:spPr>
          <a:solidFill>
            <a:srgbClr val="C00000"/>
          </a:solidFill>
          <a:ln>
            <a:noFill/>
            <a:prstDash val="solid"/>
          </a:ln>
        </c:spPr>
      </c:pivotFmt>
      <c:pivotFmt>
        <c:idx val="42"/>
        <c:spPr>
          <a:solidFill>
            <a:srgbClr val="C00000"/>
          </a:solidFill>
          <a:ln>
            <a:noFill/>
            <a:prstDash val="solid"/>
          </a:ln>
        </c:spPr>
      </c:pivotFmt>
      <c:pivotFmt>
        <c:idx val="43"/>
        <c:spPr>
          <a:solidFill>
            <a:srgbClr val="C00000"/>
          </a:solidFill>
          <a:ln>
            <a:noFill/>
            <a:prstDash val="solid"/>
          </a:ln>
        </c:spPr>
      </c:pivotFmt>
      <c:pivotFmt>
        <c:idx val="44"/>
        <c:spPr>
          <a:solidFill>
            <a:srgbClr val="C00000"/>
          </a:solidFill>
          <a:ln>
            <a:noFill/>
            <a:prstDash val="solid"/>
          </a:ln>
        </c:spPr>
      </c:pivotFmt>
      <c:pivotFmt>
        <c:idx val="45"/>
        <c:spPr>
          <a:solidFill>
            <a:srgbClr val="C00000"/>
          </a:solidFill>
          <a:ln>
            <a:noFill/>
            <a:prstDash val="solid"/>
          </a:ln>
        </c:spPr>
      </c:pivotFmt>
      <c:pivotFmt>
        <c:idx val="46"/>
        <c:spPr>
          <a:solidFill>
            <a:srgbClr val="C00000"/>
          </a:solidFill>
          <a:ln>
            <a:noFill/>
            <a:prstDash val="solid"/>
          </a:ln>
        </c:spPr>
      </c:pivotFmt>
      <c:pivotFmt>
        <c:idx val="47"/>
        <c:spPr>
          <a:solidFill>
            <a:srgbClr val="C00000"/>
          </a:solidFill>
          <a:ln>
            <a:noFill/>
            <a:prstDash val="solid"/>
          </a:ln>
        </c:spPr>
      </c:pivotFmt>
      <c:pivotFmt>
        <c:idx val="48"/>
        <c:spPr>
          <a:ln>
            <a:prstDash val="solid"/>
          </a:ln>
        </c:spPr>
      </c:pivotFmt>
      <c:pivotFmt>
        <c:idx val="49"/>
        <c:spPr>
          <a:ln>
            <a:prstDash val="solid"/>
          </a:ln>
        </c:spPr>
      </c:pivotFmt>
      <c:pivotFmt>
        <c:idx val="50"/>
        <c:spPr>
          <a:ln>
            <a:prstDash val="solid"/>
          </a:ln>
        </c:spPr>
      </c:pivotFmt>
      <c:pivotFmt>
        <c:idx val="51"/>
        <c:spPr>
          <a:ln>
            <a:prstDash val="solid"/>
          </a:ln>
        </c:spPr>
      </c:pivotFmt>
      <c:pivotFmt>
        <c:idx val="52"/>
        <c:spPr>
          <a:ln>
            <a:prstDash val="solid"/>
          </a:ln>
        </c:spPr>
      </c:pivotFmt>
      <c:pivotFmt>
        <c:idx val="53"/>
        <c:spPr>
          <a:ln>
            <a:prstDash val="solid"/>
          </a:ln>
        </c:spPr>
      </c:pivotFmt>
      <c:pivotFmt>
        <c:idx val="54"/>
        <c:spPr>
          <a:ln>
            <a:prstDash val="solid"/>
          </a:ln>
        </c:spPr>
      </c:pivotFmt>
    </c:pivotFmts>
    <c:plotArea>
      <c:layout/>
      <c:barChart>
        <c:barDir val="bar"/>
        <c:grouping val="clustered"/>
        <c:varyColors val="0"/>
        <c:ser>
          <c:idx val="0"/>
          <c:order val="0"/>
          <c:tx>
            <c:strRef>
              <c:f>Топ_НПВ_по_неделям!$B$3</c:f>
              <c:strCache>
                <c:ptCount val="1"/>
                <c:pt idx="0">
                  <c:v>Итог</c:v>
                </c:pt>
              </c:strCache>
            </c:strRef>
          </c:tx>
          <c:spPr>
            <a:solidFill>
              <a:srgbClr val="FFC000"/>
            </a:solidFill>
            <a:ln>
              <a:noFill/>
              <a:prstDash val="solid"/>
            </a:ln>
          </c:spPr>
          <c:invertIfNegative val="0"/>
          <c:dPt>
            <c:idx val="0"/>
            <c:invertIfNegative val="0"/>
            <c:bubble3D val="0"/>
            <c:spPr>
              <a:ln>
                <a:prstDash val="solid"/>
              </a:ln>
            </c:spPr>
            <c:extLst>
              <c:ext xmlns:c16="http://schemas.microsoft.com/office/drawing/2014/chart" uri="{C3380CC4-5D6E-409C-BE32-E72D297353CC}">
                <c16:uniqueId val="{00000001-BC60-4099-8B73-3E11E2F0AD17}"/>
              </c:ext>
            </c:extLst>
          </c:dPt>
          <c:dPt>
            <c:idx val="1"/>
            <c:invertIfNegative val="0"/>
            <c:bubble3D val="0"/>
            <c:spPr>
              <a:ln>
                <a:prstDash val="solid"/>
              </a:ln>
            </c:spPr>
            <c:extLst>
              <c:ext xmlns:c16="http://schemas.microsoft.com/office/drawing/2014/chart" uri="{C3380CC4-5D6E-409C-BE32-E72D297353CC}">
                <c16:uniqueId val="{00000003-BC60-4099-8B73-3E11E2F0AD17}"/>
              </c:ext>
            </c:extLst>
          </c:dPt>
          <c:dPt>
            <c:idx val="3"/>
            <c:invertIfNegative val="0"/>
            <c:bubble3D val="0"/>
            <c:spPr>
              <a:ln>
                <a:prstDash val="solid"/>
              </a:ln>
            </c:spPr>
            <c:extLst>
              <c:ext xmlns:c16="http://schemas.microsoft.com/office/drawing/2014/chart" uri="{C3380CC4-5D6E-409C-BE32-E72D297353CC}">
                <c16:uniqueId val="{00000005-BC60-4099-8B73-3E11E2F0AD17}"/>
              </c:ext>
            </c:extLst>
          </c:dPt>
          <c:dPt>
            <c:idx val="4"/>
            <c:invertIfNegative val="0"/>
            <c:bubble3D val="0"/>
            <c:spPr>
              <a:ln>
                <a:prstDash val="solid"/>
              </a:ln>
            </c:spPr>
            <c:extLst>
              <c:ext xmlns:c16="http://schemas.microsoft.com/office/drawing/2014/chart" uri="{C3380CC4-5D6E-409C-BE32-E72D297353CC}">
                <c16:uniqueId val="{00000007-BC60-4099-8B73-3E11E2F0AD17}"/>
              </c:ext>
            </c:extLst>
          </c:dPt>
          <c:dPt>
            <c:idx val="5"/>
            <c:invertIfNegative val="0"/>
            <c:bubble3D val="0"/>
            <c:spPr>
              <a:ln>
                <a:prstDash val="solid"/>
              </a:ln>
            </c:spPr>
            <c:extLst>
              <c:ext xmlns:c16="http://schemas.microsoft.com/office/drawing/2014/chart" uri="{C3380CC4-5D6E-409C-BE32-E72D297353CC}">
                <c16:uniqueId val="{00000009-BC60-4099-8B73-3E11E2F0AD17}"/>
              </c:ext>
            </c:extLst>
          </c:dPt>
          <c:dPt>
            <c:idx val="6"/>
            <c:invertIfNegative val="0"/>
            <c:bubble3D val="0"/>
            <c:spPr>
              <a:solidFill>
                <a:srgbClr val="C00000"/>
              </a:solidFill>
              <a:ln>
                <a:noFill/>
                <a:prstDash val="solid"/>
              </a:ln>
            </c:spPr>
            <c:extLst>
              <c:ext xmlns:c16="http://schemas.microsoft.com/office/drawing/2014/chart" uri="{C3380CC4-5D6E-409C-BE32-E72D297353CC}">
                <c16:uniqueId val="{0000000B-BC60-4099-8B73-3E11E2F0AD17}"/>
              </c:ext>
            </c:extLst>
          </c:dPt>
          <c:dPt>
            <c:idx val="7"/>
            <c:invertIfNegative val="0"/>
            <c:bubble3D val="0"/>
            <c:spPr>
              <a:solidFill>
                <a:srgbClr val="C00000"/>
              </a:solidFill>
              <a:ln>
                <a:noFill/>
                <a:prstDash val="solid"/>
              </a:ln>
            </c:spPr>
            <c:extLst>
              <c:ext xmlns:c16="http://schemas.microsoft.com/office/drawing/2014/chart" uri="{C3380CC4-5D6E-409C-BE32-E72D297353CC}">
                <c16:uniqueId val="{0000000D-BC60-4099-8B73-3E11E2F0AD17}"/>
              </c:ext>
            </c:extLst>
          </c:dPt>
          <c:dPt>
            <c:idx val="8"/>
            <c:invertIfNegative val="0"/>
            <c:bubble3D val="0"/>
            <c:spPr>
              <a:solidFill>
                <a:srgbClr val="C00000"/>
              </a:solidFill>
              <a:ln>
                <a:noFill/>
                <a:prstDash val="solid"/>
              </a:ln>
            </c:spPr>
            <c:extLst>
              <c:ext xmlns:c16="http://schemas.microsoft.com/office/drawing/2014/chart" uri="{C3380CC4-5D6E-409C-BE32-E72D297353CC}">
                <c16:uniqueId val="{0000000F-BC60-4099-8B73-3E11E2F0AD17}"/>
              </c:ext>
            </c:extLst>
          </c:dPt>
          <c:dPt>
            <c:idx val="10"/>
            <c:invertIfNegative val="0"/>
            <c:bubble3D val="0"/>
            <c:spPr>
              <a:ln>
                <a:prstDash val="solid"/>
              </a:ln>
            </c:spPr>
            <c:extLst>
              <c:ext xmlns:c16="http://schemas.microsoft.com/office/drawing/2014/chart" uri="{C3380CC4-5D6E-409C-BE32-E72D297353CC}">
                <c16:uniqueId val="{00000011-BC60-4099-8B73-3E11E2F0AD17}"/>
              </c:ext>
            </c:extLst>
          </c:dPt>
          <c:dPt>
            <c:idx val="11"/>
            <c:invertIfNegative val="0"/>
            <c:bubble3D val="0"/>
            <c:spPr>
              <a:ln>
                <a:prstDash val="solid"/>
              </a:ln>
            </c:spPr>
            <c:extLst>
              <c:ext xmlns:c16="http://schemas.microsoft.com/office/drawing/2014/chart" uri="{C3380CC4-5D6E-409C-BE32-E72D297353CC}">
                <c16:uniqueId val="{00000013-BC60-4099-8B73-3E11E2F0AD17}"/>
              </c:ext>
            </c:extLst>
          </c:dPt>
          <c:dLbls>
            <c:spPr>
              <a:noFill/>
              <a:ln>
                <a:noFill/>
                <a:prstDash val="solid"/>
              </a:ln>
            </c:spPr>
            <c:txPr>
              <a:bodyPr rot="0" spcFirstLastPara="1" vertOverflow="ellipsis" vert="horz" wrap="square" anchor="ctr" anchorCtr="1"/>
              <a:lstStyle/>
              <a:p>
                <a:pPr>
                  <a:defRPr sz="1600" b="1" i="0" strike="noStrike" kern="1200" baseline="0">
                    <a:solidFill>
                      <a:schemeClr val="tx1"/>
                    </a:solidFill>
                    <a:latin typeface="Century Gothic" panose="020B0502020202020204" pitchFamily="34" charset="0"/>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Топ_НПВ_по_неделям!$A$4:$A$25</c:f>
              <c:multiLvlStrCache>
                <c:ptCount val="16"/>
                <c:lvl>
                  <c:pt idx="0">
                    <c:v>НПВ:  Ожидание разрешения
Устранение  Предписания</c:v>
                  </c:pt>
                  <c:pt idx="1">
                    <c:v>ПНВ:  
Монтаж  УПА</c:v>
                  </c:pt>
                  <c:pt idx="2">
                    <c:v>ПНВ:  
Монтаж  БО</c:v>
                  </c:pt>
                  <c:pt idx="3">
                    <c:v>ПНВ:  
Передвижка  УПА</c:v>
                  </c:pt>
                  <c:pt idx="4">
                    <c:v>ПНВ:  
Завоз  Тех. вода</c:v>
                  </c:pt>
                  <c:pt idx="5">
                    <c:v>ПНВ:  
Демонтаж  УПА</c:v>
                  </c:pt>
                  <c:pt idx="6">
                    <c:v>НПВ:  Ожидание разрешения
Устранение  Предписания</c:v>
                  </c:pt>
                  <c:pt idx="7">
                    <c:v>НПВ:  Ожидание персонала
Ожидание  Персонал</c:v>
                  </c:pt>
                  <c:pt idx="8">
                    <c:v>НПВ:  Орг. простой
Подготовка  Скважина</c:v>
                  </c:pt>
                  <c:pt idx="9">
                    <c:v>ПНВ:  
Монтаж  БО</c:v>
                  </c:pt>
                  <c:pt idx="10">
                    <c:v>НПВ:  Ожидание персонала
Ожидание  Персонал</c:v>
                  </c:pt>
                  <c:pt idx="11">
                    <c:v>ПНВ:  
Демонтаж  УПА</c:v>
                  </c:pt>
                  <c:pt idx="12">
                    <c:v>ПНВ:  
Подъем  УЭЦН</c:v>
                  </c:pt>
                  <c:pt idx="13">
                    <c:v>НПВ:  
Ожидание  Персонал</c:v>
                  </c:pt>
                  <c:pt idx="14">
                    <c:v>ПНВ:  
Подъем  УЭЦН</c:v>
                  </c:pt>
                  <c:pt idx="15">
                    <c:v>НПВ:  
Ожидание  МТР</c:v>
                  </c:pt>
                </c:lvl>
                <c:lvl>
                  <c:pt idx="0">
                    <c:v>27.04.2026 - 03.05.2026</c:v>
                  </c:pt>
                  <c:pt idx="3">
                    <c:v>04.05.2026 - 10.05.2026</c:v>
                  </c:pt>
                  <c:pt idx="6">
                    <c:v>11.05.2026 - 17.05.2026</c:v>
                  </c:pt>
                  <c:pt idx="10">
                    <c:v>18.05.2026 - 24.05.2026</c:v>
                  </c:pt>
                  <c:pt idx="13">
                    <c:v>25.05.2026 - 31.05.2026</c:v>
                  </c:pt>
                </c:lvl>
              </c:multiLvlStrCache>
            </c:multiLvlStrRef>
          </c:cat>
          <c:val>
            <c:numRef>
              <c:f>Топ_НПВ_по_неделям!$B$4:$B$25</c:f>
              <c:numCache>
                <c:formatCode>0</c:formatCode>
                <c:ptCount val="16"/>
                <c:pt idx="0">
                  <c:v>6</c:v>
                </c:pt>
                <c:pt idx="1">
                  <c:v>3.16</c:v>
                </c:pt>
                <c:pt idx="2">
                  <c:v>0.20999999999999996</c:v>
                </c:pt>
                <c:pt idx="3">
                  <c:v>41.03</c:v>
                </c:pt>
                <c:pt idx="4">
                  <c:v>16.060000000000002</c:v>
                </c:pt>
                <c:pt idx="5">
                  <c:v>10.5</c:v>
                </c:pt>
                <c:pt idx="6">
                  <c:v>32</c:v>
                </c:pt>
                <c:pt idx="7">
                  <c:v>24</c:v>
                </c:pt>
                <c:pt idx="8">
                  <c:v>16</c:v>
                </c:pt>
                <c:pt idx="9">
                  <c:v>16</c:v>
                </c:pt>
                <c:pt idx="10">
                  <c:v>45</c:v>
                </c:pt>
                <c:pt idx="11">
                  <c:v>29.224800000000002</c:v>
                </c:pt>
                <c:pt idx="12">
                  <c:v>20.98</c:v>
                </c:pt>
                <c:pt idx="13">
                  <c:v>26.5</c:v>
                </c:pt>
                <c:pt idx="14">
                  <c:v>15.55</c:v>
                </c:pt>
                <c:pt idx="15">
                  <c:v>13.5</c:v>
                </c:pt>
              </c:numCache>
            </c:numRef>
          </c:val>
          <c:extLst>
            <c:ext xmlns:c16="http://schemas.microsoft.com/office/drawing/2014/chart" uri="{C3380CC4-5D6E-409C-BE32-E72D297353CC}">
              <c16:uniqueId val="{00000014-BC60-4099-8B73-3E11E2F0AD17}"/>
            </c:ext>
          </c:extLst>
        </c:ser>
        <c:dLbls>
          <c:showLegendKey val="0"/>
          <c:showVal val="0"/>
          <c:showCatName val="0"/>
          <c:showSerName val="0"/>
          <c:showPercent val="0"/>
          <c:showBubbleSize val="0"/>
        </c:dLbls>
        <c:gapWidth val="182"/>
        <c:axId val="195442687"/>
        <c:axId val="1123418111"/>
      </c:barChart>
      <c:catAx>
        <c:axId val="195442687"/>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1200" b="0" i="0" strike="noStrike" kern="1200" baseline="0">
                <a:solidFill>
                  <a:schemeClr val="tx1"/>
                </a:solidFill>
                <a:latin typeface="Century Gothic" panose="020B0502020202020204" pitchFamily="34" charset="0"/>
                <a:ea typeface="+mn-ea"/>
                <a:cs typeface="+mn-cs"/>
              </a:defRPr>
            </a:pPr>
            <a:endParaRPr lang="ru-RU"/>
          </a:p>
        </c:txPr>
        <c:crossAx val="1123418111"/>
        <c:crosses val="autoZero"/>
        <c:auto val="1"/>
        <c:lblAlgn val="ctr"/>
        <c:lblOffset val="100"/>
        <c:noMultiLvlLbl val="0"/>
      </c:catAx>
      <c:valAx>
        <c:axId val="1123418111"/>
        <c:scaling>
          <c:orientation val="minMax"/>
        </c:scaling>
        <c:delete val="1"/>
        <c:axPos val="t"/>
        <c:numFmt formatCode="0" sourceLinked="1"/>
        <c:majorTickMark val="none"/>
        <c:minorTickMark val="none"/>
        <c:tickLblPos val="nextTo"/>
        <c:crossAx val="195442687"/>
        <c:crosses val="autoZero"/>
        <c:crossBetween val="between"/>
      </c:valAx>
    </c:plotArea>
    <c:plotVisOnly val="1"/>
    <c:dispBlanksAs val="gap"/>
    <c:showDLblsOverMax val="1"/>
  </c:chart>
  <c:spPr>
    <a:solidFill>
      <a:schemeClr val="bg1">
        <a:lumMod val="95000"/>
      </a:schemeClr>
    </a:solidFill>
    <a:ln w="9525" cap="flat" cmpd="sng" algn="ctr">
      <a:noFill/>
      <a:prstDash val="solid"/>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pivotSource>
    <c:name>[КРС-3 обнова планирование.xlsx]БВ_по_неделям!БВ_по_неделям</c:name>
    <c:fmtId val="27"/>
  </c:pivotSource>
  <c:chart>
    <c:title>
      <c:tx>
        <c:rich>
          <a:bodyPr rot="0" spcFirstLastPara="1" vertOverflow="ellipsis" vert="horz" wrap="square" anchor="ctr" anchorCtr="1"/>
          <a:lstStyle/>
          <a:p>
            <a:pPr>
              <a:defRPr sz="1400" b="0" i="0" strike="noStrike" kern="1200" spc="0" baseline="0">
                <a:solidFill>
                  <a:schemeClr val="tx1"/>
                </a:solidFill>
                <a:latin typeface="Century Gothic" panose="020B0502020202020204" pitchFamily="34" charset="0"/>
                <a:ea typeface="+mn-ea"/>
                <a:cs typeface="+mn-cs"/>
              </a:defRPr>
            </a:pPr>
            <a:r>
              <a:rPr lang="ru-RU" sz="1400" b="0">
                <a:solidFill>
                  <a:schemeClr val="tx1"/>
                </a:solidFill>
              </a:rPr>
              <a:t>Балансы времени по неделям строительства скважины</a:t>
            </a:r>
          </a:p>
        </c:rich>
      </c:tx>
      <c:overlay val="0"/>
      <c:spPr>
        <a:noFill/>
        <a:ln>
          <a:noFill/>
          <a:prstDash val="solid"/>
        </a:ln>
      </c:spPr>
    </c:title>
    <c:autoTitleDeleted val="0"/>
    <c:pivotFmts>
      <c:pivotFmt>
        <c:idx val="0"/>
        <c:spPr>
          <a:solidFill>
            <a:schemeClr val="accent6"/>
          </a:solidFill>
          <a:ln>
            <a:noFill/>
            <a:prstDash val="solid"/>
          </a:ln>
        </c:spP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solidFill>
                  <a:latin typeface="Century Gothic" panose="020B0502020202020204" pitchFamily="34" charset="0"/>
                  <a:ea typeface="+mn-ea"/>
                  <a:cs typeface="+mn-cs"/>
                </a:defRPr>
              </a:pPr>
              <a:endParaRPr lang="ru-RU"/>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4"/>
          </a:solidFill>
          <a:ln>
            <a:noFill/>
            <a:prstDash val="solid"/>
          </a:ln>
        </c:spPr>
        <c:dLbl>
          <c:idx val="0"/>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tx1"/>
                  </a:solidFill>
                  <a:latin typeface="Century Gothic" panose="020B0502020202020204" pitchFamily="34" charset="0"/>
                  <a:ea typeface="+mn-ea"/>
                  <a:cs typeface="+mn-cs"/>
                </a:defRPr>
              </a:pPr>
              <a:endParaRPr lang="ru-RU"/>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4"/>
          </a:solidFill>
          <a:ln>
            <a:noFill/>
            <a:prstDash val="solid"/>
          </a:ln>
        </c:spPr>
      </c:pivotFmt>
      <c:pivotFmt>
        <c:idx val="3"/>
        <c:spPr>
          <a:solidFill>
            <a:srgbClr val="C00000"/>
          </a:solidFill>
          <a:ln>
            <a:noFill/>
            <a:prstDash val="solid"/>
          </a:ln>
        </c:spPr>
        <c:dLbl>
          <c:idx val="0"/>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bg1">
                      <a:lumMod val="95000"/>
                    </a:schemeClr>
                  </a:solidFill>
                  <a:latin typeface="Century Gothic" panose="020B0502020202020204" pitchFamily="34" charset="0"/>
                  <a:ea typeface="+mn-ea"/>
                  <a:cs typeface="+mn-cs"/>
                </a:defRPr>
              </a:pPr>
              <a:endParaRPr lang="ru-RU"/>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6"/>
          </a:solidFill>
          <a:ln>
            <a:noFill/>
            <a:prstDash val="solid"/>
          </a:ln>
        </c:spPr>
      </c:pivotFmt>
      <c:pivotFmt>
        <c:idx val="5"/>
        <c:spPr>
          <a:solidFill>
            <a:srgbClr val="C00000"/>
          </a:solidFill>
          <a:ln>
            <a:noFill/>
            <a:prstDash val="solid"/>
          </a:ln>
        </c:spPr>
      </c:pivotFmt>
      <c:pivotFmt>
        <c:idx val="6"/>
        <c:spPr>
          <a:solidFill>
            <a:schemeClr val="accent6"/>
          </a:solidFill>
          <a:ln>
            <a:noFill/>
            <a:prstDash val="solid"/>
          </a:ln>
        </c:spPr>
        <c:dLbl>
          <c:idx val="0"/>
          <c:spPr>
            <a:no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tx1"/>
                  </a:solidFill>
                  <a:latin typeface="Century Gothic" panose="020B0502020202020204" pitchFamily="34" charset="0"/>
                  <a:ea typeface="+mn-ea"/>
                  <a:cs typeface="+mn-cs"/>
                </a:defRPr>
              </a:pPr>
              <a:endParaRPr lang="ru-RU"/>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4"/>
          </a:solidFill>
          <a:ln>
            <a:noFill/>
            <a:prstDash val="solid"/>
          </a:ln>
        </c:spPr>
        <c:dLbl>
          <c:idx val="0"/>
          <c:spPr>
            <a:no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tx1"/>
                  </a:solidFill>
                  <a:latin typeface="Century Gothic" panose="020B0502020202020204" pitchFamily="34" charset="0"/>
                  <a:ea typeface="+mn-ea"/>
                  <a:cs typeface="+mn-cs"/>
                </a:defRPr>
              </a:pPr>
              <a:endParaRPr lang="ru-RU"/>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rgbClr val="C00000"/>
          </a:solidFill>
          <a:ln>
            <a:noFill/>
            <a:prstDash val="solid"/>
          </a:ln>
        </c:spPr>
        <c:dLbl>
          <c:idx val="0"/>
          <c:spPr>
            <a:no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bg1">
                      <a:lumMod val="95000"/>
                    </a:schemeClr>
                  </a:solidFill>
                  <a:latin typeface="Century Gothic" panose="020B0502020202020204" pitchFamily="34" charset="0"/>
                  <a:ea typeface="+mn-ea"/>
                  <a:cs typeface="+mn-cs"/>
                </a:defRPr>
              </a:pPr>
              <a:endParaRPr lang="ru-RU"/>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a:noFill/>
            <a:prstDash val="solid"/>
          </a:ln>
        </c:spPr>
        <c:dLbl>
          <c:idx val="0"/>
          <c:spPr>
            <a:noFill/>
            <a:ln>
              <a:noFill/>
              <a:prstDash val="solid"/>
            </a:ln>
          </c:spPr>
          <c:txPr>
            <a:bodyPr rot="0" spcFirstLastPara="1" vertOverflow="ellipsis" vert="horz" wrap="square" lIns="38100" tIns="19050" rIns="38100" bIns="19050" anchor="ctr" anchorCtr="1">
              <a:spAutoFit/>
            </a:bodyPr>
            <a:lstStyle/>
            <a:p>
              <a:pPr>
                <a:defRPr sz="1000" b="0" i="0" strike="noStrike" kern="1200" baseline="0">
                  <a:solidFill>
                    <a:schemeClr val="tx1"/>
                  </a:solidFill>
                  <a:latin typeface="Century Gothic" panose="020B0502020202020204" pitchFamily="34" charset="0"/>
                  <a:ea typeface="+mn-ea"/>
                  <a:cs typeface="+mn-cs"/>
                </a:defRPr>
              </a:pPr>
              <a:endParaRPr lang="ru-RU"/>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rgbClr val="70AD47"/>
          </a:solidFill>
          <a:ln>
            <a:noFill/>
            <a:prstDash val="solid"/>
          </a:ln>
        </c:spPr>
        <c:dLbl>
          <c:idx val="0"/>
          <c:spPr>
            <a:noFill/>
            <a:ln>
              <a:noFill/>
              <a:prstDash val="solid"/>
            </a:ln>
          </c:spPr>
          <c:txPr>
            <a:bodyPr rot="0" spcFirstLastPara="1" vertOverflow="ellipsis" vert="horz" wrap="square" anchor="ctr" anchorCtr="1"/>
            <a:lstStyle/>
            <a:p>
              <a:pPr>
                <a:defRPr sz="1600" b="1" i="0" strike="noStrike" kern="1200" baseline="0">
                  <a:solidFill>
                    <a:schemeClr val="tx1"/>
                  </a:solidFill>
                  <a:latin typeface="Century Gothic" panose="020B0502020202020204" pitchFamily="34" charset="0"/>
                  <a:ea typeface="+mn-ea"/>
                  <a:cs typeface="+mn-cs"/>
                </a:defRPr>
              </a:pPr>
              <a:endParaRPr lang="ru-RU"/>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rgbClr val="FFC000"/>
          </a:solidFill>
          <a:ln>
            <a:noFill/>
            <a:prstDash val="solid"/>
          </a:ln>
        </c:spPr>
      </c:pivotFmt>
      <c:pivotFmt>
        <c:idx val="12"/>
        <c:spPr>
          <a:solidFill>
            <a:srgbClr val="C00000"/>
          </a:solidFill>
          <a:ln>
            <a:noFill/>
            <a:prstDash val="solid"/>
          </a:ln>
        </c:spPr>
        <c:dLbl>
          <c:idx val="0"/>
          <c:spPr>
            <a:noFill/>
            <a:ln>
              <a:noFill/>
              <a:prstDash val="solid"/>
            </a:ln>
          </c:spPr>
          <c:txPr>
            <a:bodyPr rot="0" spcFirstLastPara="1" vertOverflow="ellipsis" vert="horz" wrap="square" anchor="ctr" anchorCtr="1"/>
            <a:lstStyle/>
            <a:p>
              <a:pPr>
                <a:defRPr sz="1600" b="1" i="0" strike="noStrike" kern="1200" baseline="0">
                  <a:solidFill>
                    <a:schemeClr val="bg1">
                      <a:lumMod val="95000"/>
                    </a:schemeClr>
                  </a:solidFill>
                  <a:latin typeface="Century Gothic" panose="020B0502020202020204" pitchFamily="34" charset="0"/>
                  <a:ea typeface="+mn-ea"/>
                  <a:cs typeface="+mn-cs"/>
                </a:defRPr>
              </a:pPr>
              <a:endParaRPr lang="ru-RU"/>
            </a:p>
          </c:txPr>
          <c:showLegendKey val="1"/>
          <c:showVal val="1"/>
          <c:showCatName val="1"/>
          <c:showSerName val="1"/>
          <c:showPercent val="1"/>
          <c:showBubbleSize val="1"/>
          <c:extLst>
            <c:ext xmlns:c15="http://schemas.microsoft.com/office/drawing/2012/chart" uri="{CE6537A1-D6FC-4f65-9D91-7224C49458BB}"/>
          </c:extLst>
        </c:dLbl>
      </c:pivotFmt>
      <c:pivotFmt>
        <c:idx val="13"/>
        <c:spPr>
          <a:solidFill>
            <a:srgbClr val="70AD47"/>
          </a:solidFill>
          <a:ln>
            <a:noFill/>
            <a:prstDash val="solid"/>
          </a:ln>
        </c:spPr>
        <c:dLbl>
          <c:idx val="0"/>
          <c:spPr>
            <a:noFill/>
            <a:ln>
              <a:noFill/>
              <a:prstDash val="solid"/>
            </a:ln>
          </c:spPr>
          <c:txPr>
            <a:bodyPr rot="0" spcFirstLastPara="1" vertOverflow="ellipsis" vert="horz" wrap="square" anchor="ctr" anchorCtr="1"/>
            <a:lstStyle/>
            <a:p>
              <a:pPr>
                <a:defRPr sz="1600" b="1" i="0" strike="noStrike" kern="1200" baseline="0">
                  <a:solidFill>
                    <a:schemeClr val="tx1"/>
                  </a:solidFill>
                  <a:latin typeface="Century Gothic" panose="020B0502020202020204" pitchFamily="34" charset="0"/>
                  <a:ea typeface="+mn-ea"/>
                  <a:cs typeface="+mn-cs"/>
                </a:defRPr>
              </a:pPr>
              <a:endParaRPr lang="ru-RU"/>
            </a:p>
          </c:txPr>
          <c:showLegendKey val="1"/>
          <c:showVal val="1"/>
          <c:showCatName val="1"/>
          <c:showSerName val="1"/>
          <c:showPercent val="1"/>
          <c:showBubbleSize val="1"/>
          <c:extLst>
            <c:ext xmlns:c15="http://schemas.microsoft.com/office/drawing/2012/chart" uri="{CE6537A1-D6FC-4f65-9D91-7224C49458BB}"/>
          </c:extLst>
        </c:dLbl>
      </c:pivotFmt>
      <c:pivotFmt>
        <c:idx val="14"/>
        <c:spPr>
          <a:solidFill>
            <a:srgbClr val="FFC000"/>
          </a:solidFill>
          <a:ln>
            <a:noFill/>
            <a:prstDash val="solid"/>
          </a:ln>
        </c:spPr>
        <c:dLbl>
          <c:idx val="0"/>
          <c:spPr>
            <a:noFill/>
            <a:ln>
              <a:noFill/>
              <a:prstDash val="solid"/>
            </a:ln>
          </c:spPr>
          <c:txPr>
            <a:bodyPr rot="0" spcFirstLastPara="1" vertOverflow="ellipsis" vert="horz" wrap="square" lIns="38100" tIns="19050" rIns="38100" bIns="19050" anchor="ctr" anchorCtr="1">
              <a:spAutoFit/>
            </a:bodyPr>
            <a:lstStyle/>
            <a:p>
              <a:pPr>
                <a:defRPr sz="1000" b="0" i="0" strike="noStrike" kern="1200" baseline="0">
                  <a:solidFill>
                    <a:schemeClr val="tx1"/>
                  </a:solidFill>
                  <a:latin typeface="Century Gothic" panose="020B0502020202020204" pitchFamily="34" charset="0"/>
                  <a:ea typeface="+mn-ea"/>
                  <a:cs typeface="+mn-cs"/>
                </a:defRPr>
              </a:pPr>
              <a:endParaRPr lang="ru-RU"/>
            </a:p>
          </c:txPr>
          <c:showLegendKey val="1"/>
          <c:showVal val="1"/>
          <c:showCatName val="1"/>
          <c:showSerName val="1"/>
          <c:showPercent val="1"/>
          <c:showBubbleSize val="1"/>
          <c:extLst>
            <c:ext xmlns:c15="http://schemas.microsoft.com/office/drawing/2012/chart" uri="{CE6537A1-D6FC-4f65-9D91-7224C49458BB}"/>
          </c:extLst>
        </c:dLbl>
      </c:pivotFmt>
      <c:pivotFmt>
        <c:idx val="15"/>
        <c:spPr>
          <a:solidFill>
            <a:srgbClr val="C00000"/>
          </a:solidFill>
          <a:ln>
            <a:noFill/>
            <a:prstDash val="solid"/>
          </a:ln>
        </c:spPr>
        <c:dLbl>
          <c:idx val="0"/>
          <c:spPr>
            <a:noFill/>
            <a:ln>
              <a:noFill/>
              <a:prstDash val="solid"/>
            </a:ln>
          </c:spPr>
          <c:txPr>
            <a:bodyPr rot="0" spcFirstLastPara="1" vertOverflow="ellipsis" vert="horz" wrap="square" anchor="ctr" anchorCtr="1"/>
            <a:lstStyle/>
            <a:p>
              <a:pPr>
                <a:defRPr sz="1600" b="1" i="0" strike="noStrike" kern="1200" baseline="0">
                  <a:solidFill>
                    <a:schemeClr val="bg1">
                      <a:lumMod val="95000"/>
                    </a:schemeClr>
                  </a:solidFill>
                  <a:latin typeface="Century Gothic" panose="020B0502020202020204" pitchFamily="34" charset="0"/>
                  <a:ea typeface="+mn-ea"/>
                  <a:cs typeface="+mn-cs"/>
                </a:defRPr>
              </a:pPr>
              <a:endParaRPr lang="ru-RU"/>
            </a:p>
          </c:txPr>
          <c:showLegendKey val="1"/>
          <c:showVal val="1"/>
          <c:showCatName val="1"/>
          <c:showSerName val="1"/>
          <c:showPercent val="1"/>
          <c:showBubbleSize val="1"/>
          <c:extLst>
            <c:ext xmlns:c15="http://schemas.microsoft.com/office/drawing/2012/chart" uri="{CE6537A1-D6FC-4f65-9D91-7224C49458BB}"/>
          </c:extLst>
        </c:dLbl>
      </c:pivotFmt>
      <c:pivotFmt>
        <c:idx val="16"/>
        <c:spPr>
          <a:solidFill>
            <a:srgbClr val="70AD47"/>
          </a:solidFill>
          <a:ln>
            <a:noFill/>
            <a:prstDash val="solid"/>
          </a:ln>
        </c:spPr>
        <c:marker>
          <c:symbol val="none"/>
        </c:marker>
        <c:dLbl>
          <c:idx val="0"/>
          <c:spPr>
            <a:noFill/>
            <a:ln>
              <a:noFill/>
              <a:prstDash val="solid"/>
            </a:ln>
          </c:spPr>
          <c:txPr>
            <a:bodyPr rot="0" spcFirstLastPara="1" vertOverflow="ellipsis" vert="horz" wrap="square" anchor="ctr" anchorCtr="1"/>
            <a:lstStyle/>
            <a:p>
              <a:pPr>
                <a:defRPr sz="1600" b="1" i="0" strike="noStrike" kern="1200" baseline="0">
                  <a:solidFill>
                    <a:schemeClr val="bg1">
                      <a:lumMod val="95000"/>
                    </a:schemeClr>
                  </a:solidFill>
                  <a:latin typeface="Century Gothic" panose="020B0502020202020204" pitchFamily="34" charset="0"/>
                  <a:ea typeface="+mn-ea"/>
                  <a:cs typeface="+mn-cs"/>
                </a:defRPr>
              </a:pPr>
              <a:endParaRPr lang="ru-RU"/>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FFC000"/>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1600" b="1" i="0" strike="noStrike" kern="1200" baseline="0">
                  <a:solidFill>
                    <a:schemeClr val="bg1">
                      <a:lumMod val="50000"/>
                    </a:schemeClr>
                  </a:solidFill>
                  <a:latin typeface="Century Gothic" panose="020B0502020202020204" pitchFamily="34" charset="0"/>
                  <a:ea typeface="+mn-ea"/>
                  <a:cs typeface="+mn-cs"/>
                </a:defRPr>
              </a:pPr>
              <a:endParaRPr lang="ru-RU"/>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C00000"/>
          </a:solidFill>
          <a:ln>
            <a:noFill/>
            <a:prstDash val="solid"/>
          </a:ln>
        </c:spPr>
        <c:marker>
          <c:symbol val="none"/>
        </c:marker>
        <c:dLbl>
          <c:idx val="0"/>
          <c:spPr>
            <a:noFill/>
            <a:ln>
              <a:noFill/>
              <a:prstDash val="solid"/>
            </a:ln>
          </c:spPr>
          <c:txPr>
            <a:bodyPr rot="0" spcFirstLastPara="1" vertOverflow="ellipsis" vert="horz" wrap="square" anchor="ctr" anchorCtr="1"/>
            <a:lstStyle/>
            <a:p>
              <a:pPr>
                <a:defRPr sz="1600" b="1" i="0" strike="noStrike" kern="1200" baseline="0">
                  <a:solidFill>
                    <a:schemeClr val="bg1">
                      <a:lumMod val="95000"/>
                    </a:schemeClr>
                  </a:solidFill>
                  <a:latin typeface="Century Gothic" panose="020B0502020202020204" pitchFamily="34" charset="0"/>
                  <a:ea typeface="+mn-ea"/>
                  <a:cs typeface="+mn-cs"/>
                </a:defRPr>
              </a:pPr>
              <a:endParaRPr lang="ru-RU"/>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БВ_по_неделям!$B$3:$B$4</c:f>
              <c:strCache>
                <c:ptCount val="1"/>
                <c:pt idx="0">
                  <c:v>ПВ, % </c:v>
                </c:pt>
              </c:strCache>
            </c:strRef>
          </c:tx>
          <c:spPr>
            <a:solidFill>
              <a:srgbClr val="70AD47"/>
            </a:solidFill>
            <a:ln>
              <a:noFill/>
              <a:prstDash val="solid"/>
            </a:ln>
          </c:spPr>
          <c:invertIfNegative val="0"/>
          <c:dLbls>
            <c:spPr>
              <a:noFill/>
              <a:ln>
                <a:noFill/>
                <a:prstDash val="solid"/>
              </a:ln>
            </c:spPr>
            <c:txPr>
              <a:bodyPr rot="0" spcFirstLastPara="1" vertOverflow="ellipsis" vert="horz" wrap="square" anchor="ctr" anchorCtr="1"/>
              <a:lstStyle/>
              <a:p>
                <a:pPr>
                  <a:defRPr sz="1600" b="1" i="0" strike="noStrike" kern="1200" baseline="0">
                    <a:solidFill>
                      <a:schemeClr val="bg1">
                        <a:lumMod val="95000"/>
                      </a:schemeClr>
                    </a:solidFill>
                    <a:latin typeface="Century Gothic" panose="020B0502020202020204" pitchFamily="34" charset="0"/>
                    <a:ea typeface="+mn-ea"/>
                    <a:cs typeface="+mn-cs"/>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БВ_по_неделям!$A$5:$A$10</c:f>
              <c:strCache>
                <c:ptCount val="5"/>
                <c:pt idx="0">
                  <c:v>27.04.2026 - 03.05.2026</c:v>
                </c:pt>
                <c:pt idx="1">
                  <c:v>04.05.2026 - 10.05.2026</c:v>
                </c:pt>
                <c:pt idx="2">
                  <c:v>11.05.2026 - 17.05.2026</c:v>
                </c:pt>
                <c:pt idx="3">
                  <c:v>18.05.2026 - 24.05.2026</c:v>
                </c:pt>
                <c:pt idx="4">
                  <c:v>25.05.2026 - 31.05.2026</c:v>
                </c:pt>
              </c:strCache>
            </c:strRef>
          </c:cat>
          <c:val>
            <c:numRef>
              <c:f>БВ_по_неделям!$B$5:$B$10</c:f>
              <c:numCache>
                <c:formatCode>0%</c:formatCode>
                <c:ptCount val="5"/>
                <c:pt idx="0">
                  <c:v>0.6607142857142857</c:v>
                </c:pt>
                <c:pt idx="1">
                  <c:v>0.44769047619047614</c:v>
                </c:pt>
                <c:pt idx="2">
                  <c:v>0.19531428571428569</c:v>
                </c:pt>
                <c:pt idx="3">
                  <c:v>0.38373095238095234</c:v>
                </c:pt>
                <c:pt idx="4">
                  <c:v>0.47553571428571423</c:v>
                </c:pt>
              </c:numCache>
            </c:numRef>
          </c:val>
          <c:extLst>
            <c:ext xmlns:c16="http://schemas.microsoft.com/office/drawing/2014/chart" uri="{C3380CC4-5D6E-409C-BE32-E72D297353CC}">
              <c16:uniqueId val="{00000000-6ABD-4A39-A418-701AC43912E5}"/>
            </c:ext>
          </c:extLst>
        </c:ser>
        <c:ser>
          <c:idx val="1"/>
          <c:order val="1"/>
          <c:tx>
            <c:strRef>
              <c:f>БВ_по_неделям!$C$3:$C$4</c:f>
              <c:strCache>
                <c:ptCount val="1"/>
                <c:pt idx="0">
                  <c:v>ПНВ, % </c:v>
                </c:pt>
              </c:strCache>
            </c:strRef>
          </c:tx>
          <c:spPr>
            <a:solidFill>
              <a:srgbClr val="FFC000"/>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1600" b="1" i="0" strike="noStrike" kern="1200" baseline="0">
                    <a:solidFill>
                      <a:schemeClr val="bg1">
                        <a:lumMod val="50000"/>
                      </a:schemeClr>
                    </a:solidFill>
                    <a:latin typeface="Century Gothic" panose="020B0502020202020204" pitchFamily="34" charset="0"/>
                    <a:ea typeface="+mn-ea"/>
                    <a:cs typeface="+mn-cs"/>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БВ_по_неделям!$A$5:$A$10</c:f>
              <c:strCache>
                <c:ptCount val="5"/>
                <c:pt idx="0">
                  <c:v>27.04.2026 - 03.05.2026</c:v>
                </c:pt>
                <c:pt idx="1">
                  <c:v>04.05.2026 - 10.05.2026</c:v>
                </c:pt>
                <c:pt idx="2">
                  <c:v>11.05.2026 - 17.05.2026</c:v>
                </c:pt>
                <c:pt idx="3">
                  <c:v>18.05.2026 - 24.05.2026</c:v>
                </c:pt>
                <c:pt idx="4">
                  <c:v>25.05.2026 - 31.05.2026</c:v>
                </c:pt>
              </c:strCache>
            </c:strRef>
          </c:cat>
          <c:val>
            <c:numRef>
              <c:f>БВ_по_неделям!$C$5:$C$10</c:f>
              <c:numCache>
                <c:formatCode>0%</c:formatCode>
                <c:ptCount val="5"/>
                <c:pt idx="0">
                  <c:v>0.125</c:v>
                </c:pt>
                <c:pt idx="1">
                  <c:v>0.51064285714285718</c:v>
                </c:pt>
                <c:pt idx="2">
                  <c:v>0.34635238095238097</c:v>
                </c:pt>
                <c:pt idx="3">
                  <c:v>0.34841190476190476</c:v>
                </c:pt>
                <c:pt idx="4">
                  <c:v>0.17922619047619048</c:v>
                </c:pt>
              </c:numCache>
            </c:numRef>
          </c:val>
          <c:extLst>
            <c:ext xmlns:c16="http://schemas.microsoft.com/office/drawing/2014/chart" uri="{C3380CC4-5D6E-409C-BE32-E72D297353CC}">
              <c16:uniqueId val="{00000001-6ABD-4A39-A418-701AC43912E5}"/>
            </c:ext>
          </c:extLst>
        </c:ser>
        <c:ser>
          <c:idx val="2"/>
          <c:order val="2"/>
          <c:tx>
            <c:strRef>
              <c:f>БВ_по_неделям!$D$3:$D$4</c:f>
              <c:strCache>
                <c:ptCount val="1"/>
                <c:pt idx="0">
                  <c:v>НПВ, % </c:v>
                </c:pt>
              </c:strCache>
            </c:strRef>
          </c:tx>
          <c:spPr>
            <a:solidFill>
              <a:srgbClr val="C00000"/>
            </a:solidFill>
            <a:ln>
              <a:noFill/>
              <a:prstDash val="solid"/>
            </a:ln>
          </c:spPr>
          <c:invertIfNegative val="0"/>
          <c:dLbls>
            <c:spPr>
              <a:noFill/>
              <a:ln>
                <a:noFill/>
                <a:prstDash val="solid"/>
              </a:ln>
            </c:spPr>
            <c:txPr>
              <a:bodyPr rot="0" spcFirstLastPara="1" vertOverflow="ellipsis" vert="horz" wrap="square" anchor="ctr" anchorCtr="1"/>
              <a:lstStyle/>
              <a:p>
                <a:pPr>
                  <a:defRPr sz="1600" b="1" i="0" strike="noStrike" kern="1200" baseline="0">
                    <a:solidFill>
                      <a:schemeClr val="bg1">
                        <a:lumMod val="95000"/>
                      </a:schemeClr>
                    </a:solidFill>
                    <a:latin typeface="Century Gothic" panose="020B0502020202020204" pitchFamily="34" charset="0"/>
                    <a:ea typeface="+mn-ea"/>
                    <a:cs typeface="+mn-cs"/>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БВ_по_неделям!$A$5:$A$10</c:f>
              <c:strCache>
                <c:ptCount val="5"/>
                <c:pt idx="0">
                  <c:v>27.04.2026 - 03.05.2026</c:v>
                </c:pt>
                <c:pt idx="1">
                  <c:v>04.05.2026 - 10.05.2026</c:v>
                </c:pt>
                <c:pt idx="2">
                  <c:v>11.05.2026 - 17.05.2026</c:v>
                </c:pt>
                <c:pt idx="3">
                  <c:v>18.05.2026 - 24.05.2026</c:v>
                </c:pt>
                <c:pt idx="4">
                  <c:v>25.05.2026 - 31.05.2026</c:v>
                </c:pt>
              </c:strCache>
            </c:strRef>
          </c:cat>
          <c:val>
            <c:numRef>
              <c:f>БВ_по_неделям!$D$5:$D$10</c:f>
              <c:numCache>
                <c:formatCode>0%</c:formatCode>
                <c:ptCount val="5"/>
                <c:pt idx="0">
                  <c:v>0.21428571428571427</c:v>
                </c:pt>
                <c:pt idx="1">
                  <c:v>4.1666666666666664E-2</c:v>
                </c:pt>
                <c:pt idx="2">
                  <c:v>0.45833333333333331</c:v>
                </c:pt>
                <c:pt idx="3">
                  <c:v>0.26785714285714285</c:v>
                </c:pt>
                <c:pt idx="4">
                  <c:v>0.34523809523809523</c:v>
                </c:pt>
              </c:numCache>
            </c:numRef>
          </c:val>
          <c:extLst>
            <c:ext xmlns:c16="http://schemas.microsoft.com/office/drawing/2014/chart" uri="{C3380CC4-5D6E-409C-BE32-E72D297353CC}">
              <c16:uniqueId val="{00000002-6ABD-4A39-A418-701AC43912E5}"/>
            </c:ext>
          </c:extLst>
        </c:ser>
        <c:dLbls>
          <c:dLblPos val="ctr"/>
          <c:showLegendKey val="0"/>
          <c:showVal val="1"/>
          <c:showCatName val="0"/>
          <c:showSerName val="0"/>
          <c:showPercent val="0"/>
          <c:showBubbleSize val="0"/>
        </c:dLbls>
        <c:gapWidth val="200"/>
        <c:overlap val="100"/>
        <c:axId val="192346111"/>
        <c:axId val="192344319"/>
      </c:barChart>
      <c:catAx>
        <c:axId val="192346111"/>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1200" b="0" i="0" strike="noStrike" kern="1200" baseline="0">
                <a:solidFill>
                  <a:schemeClr val="tx1"/>
                </a:solidFill>
                <a:latin typeface="Century Gothic" panose="020B0502020202020204" pitchFamily="34" charset="0"/>
                <a:ea typeface="+mn-ea"/>
                <a:cs typeface="+mn-cs"/>
              </a:defRPr>
            </a:pPr>
            <a:endParaRPr lang="ru-RU"/>
          </a:p>
        </c:txPr>
        <c:crossAx val="192344319"/>
        <c:crosses val="autoZero"/>
        <c:auto val="1"/>
        <c:lblAlgn val="ctr"/>
        <c:lblOffset val="100"/>
        <c:noMultiLvlLbl val="0"/>
      </c:catAx>
      <c:valAx>
        <c:axId val="192344319"/>
        <c:scaling>
          <c:orientation val="minMax"/>
        </c:scaling>
        <c:delete val="1"/>
        <c:axPos val="t"/>
        <c:numFmt formatCode="0%" sourceLinked="1"/>
        <c:majorTickMark val="out"/>
        <c:minorTickMark val="none"/>
        <c:tickLblPos val="nextTo"/>
        <c:crossAx val="192346111"/>
        <c:crosses val="autoZero"/>
        <c:crossBetween val="between"/>
        <c:majorUnit val="0.2"/>
      </c:valAx>
    </c:plotArea>
    <c:plotVisOnly val="1"/>
    <c:dispBlanksAs val="gap"/>
    <c:showDLblsOverMax val="1"/>
  </c:chart>
  <c:spPr>
    <a:solidFill>
      <a:schemeClr val="bg1">
        <a:lumMod val="95000"/>
      </a:schemeClr>
    </a:solidFill>
    <a:ln w="9525" cap="flat" cmpd="sng" algn="ctr">
      <a:noFill/>
      <a:prstDash val="solid"/>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pivotSource>
    <c:name>[КРС-3 обнова планирование.xlsx]БВ_вахт!БВ_вахт</c:name>
    <c:fmtId val="18"/>
  </c:pivotSource>
  <c:chart>
    <c:title>
      <c:tx>
        <c:rich>
          <a:bodyPr rot="0" spcFirstLastPara="1" vertOverflow="ellipsis" vert="horz" wrap="square" anchor="ctr" anchorCtr="1"/>
          <a:lstStyle/>
          <a:p>
            <a:pPr>
              <a:defRPr sz="1200" b="0" i="0" strike="noStrike" kern="1200" spc="0" baseline="0">
                <a:solidFill>
                  <a:schemeClr val="tx1"/>
                </a:solidFill>
                <a:latin typeface="Century Gothic" panose="020B0502020202020204" pitchFamily="34" charset="0"/>
                <a:ea typeface="+mn-ea"/>
                <a:cs typeface="+mn-cs"/>
              </a:defRPr>
            </a:pPr>
            <a:r>
              <a:rPr lang="ru-RU"/>
              <a:t>Балансы времени по вахтам, часы</a:t>
            </a:r>
          </a:p>
        </c:rich>
      </c:tx>
      <c:overlay val="0"/>
      <c:spPr>
        <a:noFill/>
        <a:ln>
          <a:noFill/>
          <a:prstDash val="solid"/>
        </a:ln>
      </c:spPr>
    </c:title>
    <c:autoTitleDeleted val="0"/>
    <c:pivotFmts>
      <c:pivotFmt>
        <c:idx val="0"/>
        <c:spPr>
          <a:solidFill>
            <a:schemeClr val="accent6"/>
          </a:solidFill>
          <a:ln>
            <a:noFill/>
            <a:prstDash val="solid"/>
          </a:ln>
        </c:spP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solidFill>
                  <a:latin typeface="Century Gothic" panose="020B0502020202020204" pitchFamily="34" charset="0"/>
                  <a:ea typeface="+mn-ea"/>
                  <a:cs typeface="+mn-cs"/>
                </a:defRPr>
              </a:pPr>
              <a:endParaRPr lang="ru-RU"/>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4"/>
          </a:solidFill>
          <a:ln>
            <a:noFill/>
            <a:prstDash val="solid"/>
          </a:ln>
        </c:spPr>
        <c:dLbl>
          <c:idx val="0"/>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tx1"/>
                  </a:solidFill>
                  <a:latin typeface="Century Gothic" panose="020B0502020202020204" pitchFamily="34" charset="0"/>
                  <a:ea typeface="+mn-ea"/>
                  <a:cs typeface="+mn-cs"/>
                </a:defRPr>
              </a:pPr>
              <a:endParaRPr lang="ru-RU"/>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4"/>
          </a:solidFill>
          <a:ln>
            <a:noFill/>
            <a:prstDash val="solid"/>
          </a:ln>
        </c:spPr>
      </c:pivotFmt>
      <c:pivotFmt>
        <c:idx val="3"/>
        <c:spPr>
          <a:solidFill>
            <a:srgbClr val="C00000"/>
          </a:solidFill>
          <a:ln>
            <a:noFill/>
            <a:prstDash val="solid"/>
          </a:ln>
        </c:spPr>
        <c:dLbl>
          <c:idx val="0"/>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bg1">
                      <a:lumMod val="95000"/>
                    </a:schemeClr>
                  </a:solidFill>
                  <a:latin typeface="Century Gothic" panose="020B0502020202020204" pitchFamily="34" charset="0"/>
                  <a:ea typeface="+mn-ea"/>
                  <a:cs typeface="+mn-cs"/>
                </a:defRPr>
              </a:pPr>
              <a:endParaRPr lang="ru-RU"/>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6"/>
          </a:solidFill>
          <a:ln>
            <a:noFill/>
            <a:prstDash val="solid"/>
          </a:ln>
        </c:spPr>
      </c:pivotFmt>
      <c:pivotFmt>
        <c:idx val="5"/>
        <c:spPr>
          <a:solidFill>
            <a:srgbClr val="C00000"/>
          </a:solidFill>
          <a:ln>
            <a:noFill/>
            <a:prstDash val="solid"/>
          </a:ln>
        </c:spPr>
      </c:pivotFmt>
      <c:pivotFmt>
        <c:idx val="6"/>
        <c:spPr>
          <a:solidFill>
            <a:schemeClr val="accent6"/>
          </a:solidFill>
          <a:ln>
            <a:noFill/>
            <a:prstDash val="solid"/>
          </a:ln>
        </c:spPr>
        <c:dLbl>
          <c:idx val="0"/>
          <c:spPr>
            <a:no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tx1"/>
                  </a:solidFill>
                  <a:latin typeface="Century Gothic" panose="020B0502020202020204" pitchFamily="34" charset="0"/>
                  <a:ea typeface="+mn-ea"/>
                  <a:cs typeface="+mn-cs"/>
                </a:defRPr>
              </a:pPr>
              <a:endParaRPr lang="ru-RU"/>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4"/>
          </a:solidFill>
          <a:ln>
            <a:noFill/>
            <a:prstDash val="solid"/>
          </a:ln>
        </c:spPr>
        <c:dLbl>
          <c:idx val="0"/>
          <c:spPr>
            <a:no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tx1"/>
                  </a:solidFill>
                  <a:latin typeface="Century Gothic" panose="020B0502020202020204" pitchFamily="34" charset="0"/>
                  <a:ea typeface="+mn-ea"/>
                  <a:cs typeface="+mn-cs"/>
                </a:defRPr>
              </a:pPr>
              <a:endParaRPr lang="ru-RU"/>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rgbClr val="C00000"/>
          </a:solidFill>
          <a:ln>
            <a:noFill/>
            <a:prstDash val="solid"/>
          </a:ln>
        </c:spPr>
        <c:dLbl>
          <c:idx val="0"/>
          <c:spPr>
            <a:no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bg1">
                      <a:lumMod val="95000"/>
                    </a:schemeClr>
                  </a:solidFill>
                  <a:latin typeface="Century Gothic" panose="020B0502020202020204" pitchFamily="34" charset="0"/>
                  <a:ea typeface="+mn-ea"/>
                  <a:cs typeface="+mn-cs"/>
                </a:defRPr>
              </a:pPr>
              <a:endParaRPr lang="ru-RU"/>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a:noFill/>
            <a:prstDash val="solid"/>
          </a:ln>
        </c:spPr>
        <c:dLbl>
          <c:idx val="0"/>
          <c:spPr>
            <a:noFill/>
            <a:ln>
              <a:noFill/>
              <a:prstDash val="solid"/>
            </a:ln>
          </c:spPr>
          <c:txPr>
            <a:bodyPr rot="0" spcFirstLastPara="1" vertOverflow="ellipsis" vert="horz" wrap="square" lIns="38100" tIns="19050" rIns="38100" bIns="19050" anchor="ctr" anchorCtr="1">
              <a:spAutoFit/>
            </a:bodyPr>
            <a:lstStyle/>
            <a:p>
              <a:pPr>
                <a:defRPr sz="1000" b="0" i="0" strike="noStrike" kern="1200" baseline="0">
                  <a:solidFill>
                    <a:schemeClr val="tx1"/>
                  </a:solidFill>
                  <a:latin typeface="Century Gothic" panose="020B0502020202020204" pitchFamily="34" charset="0"/>
                  <a:ea typeface="+mn-ea"/>
                  <a:cs typeface="+mn-cs"/>
                </a:defRPr>
              </a:pPr>
              <a:endParaRPr lang="ru-RU"/>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rgbClr val="70AD47"/>
          </a:solidFill>
          <a:ln>
            <a:noFill/>
            <a:prstDash val="solid"/>
          </a:ln>
        </c:spPr>
        <c:dLbl>
          <c:idx val="0"/>
          <c:spPr>
            <a:noFill/>
            <a:ln>
              <a:noFill/>
              <a:prstDash val="solid"/>
            </a:ln>
          </c:spPr>
          <c:txPr>
            <a:bodyPr rot="0" spcFirstLastPara="1" vertOverflow="ellipsis" vert="horz" wrap="square" anchor="ctr" anchorCtr="1"/>
            <a:lstStyle/>
            <a:p>
              <a:pPr>
                <a:defRPr sz="1600" b="1" i="0" strike="noStrike" kern="1200" baseline="0">
                  <a:solidFill>
                    <a:schemeClr val="tx1"/>
                  </a:solidFill>
                  <a:latin typeface="Century Gothic" panose="020B0502020202020204" pitchFamily="34" charset="0"/>
                  <a:ea typeface="+mn-ea"/>
                  <a:cs typeface="+mn-cs"/>
                </a:defRPr>
              </a:pPr>
              <a:endParaRPr lang="ru-RU"/>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rgbClr val="FFC000"/>
          </a:solidFill>
          <a:ln>
            <a:noFill/>
            <a:prstDash val="solid"/>
          </a:ln>
        </c:spPr>
      </c:pivotFmt>
      <c:pivotFmt>
        <c:idx val="12"/>
        <c:spPr>
          <a:solidFill>
            <a:srgbClr val="C00000"/>
          </a:solidFill>
          <a:ln>
            <a:noFill/>
            <a:prstDash val="solid"/>
          </a:ln>
        </c:spPr>
        <c:dLbl>
          <c:idx val="0"/>
          <c:spPr>
            <a:noFill/>
            <a:ln>
              <a:noFill/>
              <a:prstDash val="solid"/>
            </a:ln>
          </c:spPr>
          <c:txPr>
            <a:bodyPr rot="0" spcFirstLastPara="1" vertOverflow="ellipsis" vert="horz" wrap="square" anchor="ctr" anchorCtr="1"/>
            <a:lstStyle/>
            <a:p>
              <a:pPr>
                <a:defRPr sz="1600" b="1" i="0" strike="noStrike" kern="1200" baseline="0">
                  <a:solidFill>
                    <a:schemeClr val="bg1">
                      <a:lumMod val="95000"/>
                    </a:schemeClr>
                  </a:solidFill>
                  <a:latin typeface="Century Gothic" panose="020B0502020202020204" pitchFamily="34" charset="0"/>
                  <a:ea typeface="+mn-ea"/>
                  <a:cs typeface="+mn-cs"/>
                </a:defRPr>
              </a:pPr>
              <a:endParaRPr lang="ru-RU"/>
            </a:p>
          </c:txPr>
          <c:showLegendKey val="1"/>
          <c:showVal val="1"/>
          <c:showCatName val="1"/>
          <c:showSerName val="1"/>
          <c:showPercent val="1"/>
          <c:showBubbleSize val="1"/>
          <c:extLst>
            <c:ext xmlns:c15="http://schemas.microsoft.com/office/drawing/2012/chart" uri="{CE6537A1-D6FC-4f65-9D91-7224C49458BB}"/>
          </c:extLst>
        </c:dLbl>
      </c:pivotFmt>
      <c:pivotFmt>
        <c:idx val="13"/>
        <c:spPr>
          <a:solidFill>
            <a:srgbClr val="70AD47"/>
          </a:solidFill>
          <a:ln>
            <a:noFill/>
            <a:prstDash val="solid"/>
          </a:ln>
        </c:spPr>
        <c:dLbl>
          <c:idx val="0"/>
          <c:spPr>
            <a:noFill/>
            <a:ln>
              <a:noFill/>
              <a:prstDash val="solid"/>
            </a:ln>
          </c:spPr>
          <c:txPr>
            <a:bodyPr rot="0" spcFirstLastPara="1" vertOverflow="ellipsis" vert="horz" wrap="square" anchor="ctr" anchorCtr="1"/>
            <a:lstStyle/>
            <a:p>
              <a:pPr>
                <a:defRPr sz="1600" b="1" i="0" strike="noStrike" kern="1200" baseline="0">
                  <a:solidFill>
                    <a:schemeClr val="tx1"/>
                  </a:solidFill>
                  <a:latin typeface="Century Gothic" panose="020B0502020202020204" pitchFamily="34" charset="0"/>
                  <a:ea typeface="+mn-ea"/>
                  <a:cs typeface="+mn-cs"/>
                </a:defRPr>
              </a:pPr>
              <a:endParaRPr lang="ru-RU"/>
            </a:p>
          </c:txPr>
          <c:showLegendKey val="1"/>
          <c:showVal val="1"/>
          <c:showCatName val="1"/>
          <c:showSerName val="1"/>
          <c:showPercent val="1"/>
          <c:showBubbleSize val="1"/>
          <c:extLst>
            <c:ext xmlns:c15="http://schemas.microsoft.com/office/drawing/2012/chart" uri="{CE6537A1-D6FC-4f65-9D91-7224C49458BB}"/>
          </c:extLst>
        </c:dLbl>
      </c:pivotFmt>
      <c:pivotFmt>
        <c:idx val="14"/>
        <c:spPr>
          <a:solidFill>
            <a:srgbClr val="FFC000"/>
          </a:solidFill>
          <a:ln>
            <a:noFill/>
            <a:prstDash val="solid"/>
          </a:ln>
        </c:spPr>
        <c:dLbl>
          <c:idx val="0"/>
          <c:spPr>
            <a:noFill/>
            <a:ln>
              <a:noFill/>
              <a:prstDash val="solid"/>
            </a:ln>
          </c:spPr>
          <c:txPr>
            <a:bodyPr rot="0" spcFirstLastPara="1" vertOverflow="ellipsis" vert="horz" wrap="square" lIns="38100" tIns="19050" rIns="38100" bIns="19050" anchor="ctr" anchorCtr="1">
              <a:spAutoFit/>
            </a:bodyPr>
            <a:lstStyle/>
            <a:p>
              <a:pPr>
                <a:defRPr sz="1000" b="0" i="0" strike="noStrike" kern="1200" baseline="0">
                  <a:solidFill>
                    <a:schemeClr val="tx1"/>
                  </a:solidFill>
                  <a:latin typeface="Century Gothic" panose="020B0502020202020204" pitchFamily="34" charset="0"/>
                  <a:ea typeface="+mn-ea"/>
                  <a:cs typeface="+mn-cs"/>
                </a:defRPr>
              </a:pPr>
              <a:endParaRPr lang="ru-RU"/>
            </a:p>
          </c:txPr>
          <c:showLegendKey val="1"/>
          <c:showVal val="1"/>
          <c:showCatName val="1"/>
          <c:showSerName val="1"/>
          <c:showPercent val="1"/>
          <c:showBubbleSize val="1"/>
          <c:extLst>
            <c:ext xmlns:c15="http://schemas.microsoft.com/office/drawing/2012/chart" uri="{CE6537A1-D6FC-4f65-9D91-7224C49458BB}"/>
          </c:extLst>
        </c:dLbl>
      </c:pivotFmt>
      <c:pivotFmt>
        <c:idx val="15"/>
        <c:spPr>
          <a:solidFill>
            <a:srgbClr val="C00000"/>
          </a:solidFill>
          <a:ln>
            <a:noFill/>
            <a:prstDash val="solid"/>
          </a:ln>
        </c:spPr>
        <c:dLbl>
          <c:idx val="0"/>
          <c:spPr>
            <a:noFill/>
            <a:ln>
              <a:noFill/>
              <a:prstDash val="solid"/>
            </a:ln>
          </c:spPr>
          <c:txPr>
            <a:bodyPr rot="0" spcFirstLastPara="1" vertOverflow="ellipsis" vert="horz" wrap="square" anchor="ctr" anchorCtr="1"/>
            <a:lstStyle/>
            <a:p>
              <a:pPr>
                <a:defRPr sz="1600" b="1" i="0" strike="noStrike" kern="1200" baseline="0">
                  <a:solidFill>
                    <a:schemeClr val="bg1">
                      <a:lumMod val="95000"/>
                    </a:schemeClr>
                  </a:solidFill>
                  <a:latin typeface="Century Gothic" panose="020B0502020202020204" pitchFamily="34" charset="0"/>
                  <a:ea typeface="+mn-ea"/>
                  <a:cs typeface="+mn-cs"/>
                </a:defRPr>
              </a:pPr>
              <a:endParaRPr lang="ru-RU"/>
            </a:p>
          </c:txPr>
          <c:showLegendKey val="1"/>
          <c:showVal val="1"/>
          <c:showCatName val="1"/>
          <c:showSerName val="1"/>
          <c:showPercent val="1"/>
          <c:showBubbleSize val="1"/>
          <c:extLst>
            <c:ext xmlns:c15="http://schemas.microsoft.com/office/drawing/2012/chart" uri="{CE6537A1-D6FC-4f65-9D91-7224C49458BB}"/>
          </c:extLst>
        </c:dLbl>
      </c:pivotFmt>
      <c:pivotFmt>
        <c:idx val="16"/>
        <c:spPr>
          <a:solidFill>
            <a:srgbClr val="70AD47"/>
          </a:solidFill>
          <a:ln>
            <a:noFill/>
            <a:prstDash val="solid"/>
          </a:ln>
        </c:spPr>
        <c:marker>
          <c:symbol val="none"/>
        </c:marker>
        <c:dLbl>
          <c:idx val="0"/>
          <c:spPr>
            <a:noFill/>
            <a:ln>
              <a:noFill/>
              <a:prstDash val="solid"/>
            </a:ln>
          </c:spPr>
          <c:txPr>
            <a:bodyPr rot="0" spcFirstLastPara="1" vertOverflow="ellipsis" vert="horz" wrap="square" anchor="ctr" anchorCtr="1"/>
            <a:lstStyle/>
            <a:p>
              <a:pPr>
                <a:defRPr sz="1600" b="1" i="0" strike="noStrike" kern="1200" baseline="0">
                  <a:solidFill>
                    <a:schemeClr val="tx1"/>
                  </a:solidFill>
                  <a:latin typeface="Century Gothic" panose="020B0502020202020204" pitchFamily="34" charset="0"/>
                  <a:ea typeface="+mn-ea"/>
                  <a:cs typeface="+mn-cs"/>
                </a:defRPr>
              </a:pPr>
              <a:endParaRPr lang="ru-RU"/>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FFC000"/>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1600" b="1" i="0" strike="noStrike" kern="1200" baseline="0">
                  <a:solidFill>
                    <a:schemeClr val="tx1"/>
                  </a:solidFill>
                  <a:latin typeface="Century Gothic" panose="020B0502020202020204" pitchFamily="34" charset="0"/>
                  <a:ea typeface="+mn-ea"/>
                  <a:cs typeface="+mn-cs"/>
                </a:defRPr>
              </a:pPr>
              <a:endParaRPr lang="ru-RU"/>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C00000"/>
          </a:solidFill>
          <a:ln>
            <a:noFill/>
            <a:prstDash val="solid"/>
          </a:ln>
        </c:spPr>
        <c:marker>
          <c:symbol val="none"/>
        </c:marker>
        <c:dLbl>
          <c:idx val="0"/>
          <c:spPr>
            <a:noFill/>
            <a:ln>
              <a:noFill/>
              <a:prstDash val="solid"/>
            </a:ln>
          </c:spPr>
          <c:txPr>
            <a:bodyPr rot="0" spcFirstLastPara="1" vertOverflow="ellipsis" vert="horz" wrap="square" anchor="ctr" anchorCtr="1"/>
            <a:lstStyle/>
            <a:p>
              <a:pPr>
                <a:defRPr sz="1600" b="1" i="0" strike="noStrike" kern="1200" baseline="0">
                  <a:solidFill>
                    <a:schemeClr val="bg1">
                      <a:lumMod val="95000"/>
                    </a:schemeClr>
                  </a:solidFill>
                  <a:latin typeface="Century Gothic" panose="020B0502020202020204" pitchFamily="34" charset="0"/>
                  <a:ea typeface="+mn-ea"/>
                  <a:cs typeface="+mn-cs"/>
                </a:defRPr>
              </a:pPr>
              <a:endParaRPr lang="ru-RU"/>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70AD47"/>
          </a:solidFill>
          <a:ln>
            <a:noFill/>
            <a:prstDash val="solid"/>
          </a:ln>
        </c:spPr>
        <c:marker>
          <c:symbol val="none"/>
        </c:marker>
        <c:dLbl>
          <c:idx val="0"/>
          <c:spPr>
            <a:noFill/>
            <a:ln>
              <a:noFill/>
              <a:prstDash val="solid"/>
            </a:ln>
          </c:spPr>
          <c:txPr>
            <a:bodyPr rot="0" spcFirstLastPara="1" vertOverflow="ellipsis" vert="horz" wrap="square" anchor="ctr" anchorCtr="1"/>
            <a:lstStyle/>
            <a:p>
              <a:pPr>
                <a:defRPr sz="1600" b="1" i="0" strike="noStrike" kern="1200" baseline="0">
                  <a:solidFill>
                    <a:schemeClr val="bg1">
                      <a:lumMod val="95000"/>
                    </a:schemeClr>
                  </a:solidFill>
                  <a:latin typeface="Century Gothic" panose="020B0502020202020204" pitchFamily="34" charset="0"/>
                  <a:ea typeface="+mn-ea"/>
                  <a:cs typeface="+mn-cs"/>
                </a:defRPr>
              </a:pPr>
              <a:endParaRPr lang="ru-RU"/>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FFC000"/>
          </a:solidFill>
          <a:ln>
            <a:noFill/>
            <a:prstDash val="solid"/>
          </a:ln>
        </c:spPr>
        <c:marker>
          <c:symbol val="none"/>
        </c:marker>
      </c:pivotFmt>
      <c:pivotFmt>
        <c:idx val="21"/>
        <c:spPr>
          <a:solidFill>
            <a:srgbClr val="C00000"/>
          </a:solidFill>
          <a:ln>
            <a:noFill/>
            <a:prstDash val="solid"/>
          </a:ln>
        </c:spPr>
        <c:marker>
          <c:symbol val="none"/>
        </c:marker>
        <c:dLbl>
          <c:idx val="0"/>
          <c:spPr>
            <a:noFill/>
            <a:ln>
              <a:noFill/>
              <a:prstDash val="solid"/>
            </a:ln>
          </c:spPr>
          <c:txPr>
            <a:bodyPr rot="0" spcFirstLastPara="1" vertOverflow="ellipsis" vert="horz" wrap="square" anchor="ctr" anchorCtr="1"/>
            <a:lstStyle/>
            <a:p>
              <a:pPr>
                <a:defRPr sz="1600" b="1" i="0" strike="noStrike" kern="1200" baseline="0">
                  <a:solidFill>
                    <a:schemeClr val="bg1">
                      <a:lumMod val="95000"/>
                    </a:schemeClr>
                  </a:solidFill>
                  <a:latin typeface="Century Gothic" panose="020B0502020202020204" pitchFamily="34" charset="0"/>
                  <a:ea typeface="+mn-ea"/>
                  <a:cs typeface="+mn-cs"/>
                </a:defRPr>
              </a:pPr>
              <a:endParaRPr lang="ru-RU"/>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70AD47"/>
          </a:solidFill>
          <a:ln>
            <a:noFill/>
            <a:prstDash val="solid"/>
          </a:ln>
        </c:spPr>
        <c:marker>
          <c:symbol val="none"/>
        </c:marker>
        <c:dLbl>
          <c:idx val="0"/>
          <c:spPr>
            <a:noFill/>
            <a:ln>
              <a:noFill/>
              <a:prstDash val="solid"/>
            </a:ln>
          </c:spPr>
          <c:txPr>
            <a:bodyPr rot="-5400000" spcFirstLastPara="1" vertOverflow="ellipsis" wrap="square" anchor="ctr" anchorCtr="1"/>
            <a:lstStyle/>
            <a:p>
              <a:pPr>
                <a:defRPr sz="1600" b="1" i="0" strike="noStrike" kern="1200" baseline="0">
                  <a:solidFill>
                    <a:schemeClr val="bg1">
                      <a:lumMod val="95000"/>
                    </a:schemeClr>
                  </a:solidFill>
                  <a:latin typeface="Century Gothic" panose="020B0502020202020204" pitchFamily="34" charset="0"/>
                  <a:ea typeface="+mn-ea"/>
                  <a:cs typeface="+mn-cs"/>
                </a:defRPr>
              </a:pPr>
              <a:endParaRPr lang="ru-RU"/>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FFC000"/>
          </a:solidFill>
          <a:ln>
            <a:noFill/>
            <a:prstDash val="solid"/>
          </a:ln>
        </c:spPr>
        <c:marker>
          <c:symbol val="none"/>
        </c:marker>
        <c:dLbl>
          <c:idx val="0"/>
          <c:spPr>
            <a:noFill/>
            <a:ln>
              <a:noFill/>
              <a:prstDash val="solid"/>
            </a:ln>
          </c:spPr>
          <c:txPr>
            <a:bodyPr rot="-5400000" spcFirstLastPara="1" vertOverflow="ellipsis" wrap="square" lIns="38100" tIns="19050" rIns="38100" bIns="19050" anchor="ctr" anchorCtr="1">
              <a:spAutoFit/>
            </a:bodyPr>
            <a:lstStyle/>
            <a:p>
              <a:pPr>
                <a:defRPr sz="1600" b="1" i="0" strike="noStrike" kern="1200" baseline="0">
                  <a:solidFill>
                    <a:schemeClr val="bg1">
                      <a:lumMod val="50000"/>
                    </a:schemeClr>
                  </a:solidFill>
                  <a:latin typeface="Century Gothic" panose="020B0502020202020204" pitchFamily="34" charset="0"/>
                  <a:ea typeface="+mn-ea"/>
                  <a:cs typeface="+mn-cs"/>
                </a:defRPr>
              </a:pPr>
              <a:endParaRPr lang="ru-RU"/>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C00000"/>
          </a:solidFill>
          <a:ln>
            <a:noFill/>
            <a:prstDash val="solid"/>
          </a:ln>
        </c:spPr>
        <c:marker>
          <c:symbol val="none"/>
        </c:marker>
        <c:dLbl>
          <c:idx val="0"/>
          <c:spPr>
            <a:noFill/>
            <a:ln>
              <a:noFill/>
              <a:prstDash val="solid"/>
            </a:ln>
          </c:spPr>
          <c:txPr>
            <a:bodyPr rot="-5400000" spcFirstLastPara="1" vertOverflow="ellipsis" wrap="square" anchor="ctr" anchorCtr="1"/>
            <a:lstStyle/>
            <a:p>
              <a:pPr>
                <a:defRPr sz="1600" b="1" i="0" strike="noStrike" kern="1200" baseline="0">
                  <a:solidFill>
                    <a:schemeClr val="bg1">
                      <a:lumMod val="95000"/>
                    </a:schemeClr>
                  </a:solidFill>
                  <a:latin typeface="Century Gothic" panose="020B0502020202020204" pitchFamily="34" charset="0"/>
                  <a:ea typeface="+mn-ea"/>
                  <a:cs typeface="+mn-cs"/>
                </a:defRPr>
              </a:pPr>
              <a:endParaRPr lang="ru-RU"/>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БВ_вахт!$B$3:$B$4</c:f>
              <c:strCache>
                <c:ptCount val="1"/>
                <c:pt idx="0">
                  <c:v>Сумма по полю ПВ, %</c:v>
                </c:pt>
              </c:strCache>
            </c:strRef>
          </c:tx>
          <c:spPr>
            <a:solidFill>
              <a:srgbClr val="70AD47"/>
            </a:solidFill>
            <a:ln>
              <a:noFill/>
              <a:prstDash val="solid"/>
            </a:ln>
          </c:spPr>
          <c:invertIfNegative val="0"/>
          <c:dLbls>
            <c:spPr>
              <a:noFill/>
              <a:ln>
                <a:noFill/>
                <a:prstDash val="solid"/>
              </a:ln>
            </c:spPr>
            <c:txPr>
              <a:bodyPr rot="-5400000" spcFirstLastPara="1" vertOverflow="ellipsis" wrap="square" anchor="ctr" anchorCtr="1"/>
              <a:lstStyle/>
              <a:p>
                <a:pPr>
                  <a:defRPr sz="1600" b="1" i="0" strike="noStrike" kern="1200" baseline="0">
                    <a:solidFill>
                      <a:schemeClr val="bg1">
                        <a:lumMod val="95000"/>
                      </a:schemeClr>
                    </a:solidFill>
                    <a:latin typeface="Century Gothic" panose="020B0502020202020204" pitchFamily="34" charset="0"/>
                    <a:ea typeface="+mn-ea"/>
                    <a:cs typeface="+mn-cs"/>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БВ_вахт!$A$5:$A$21</c:f>
              <c:strCache>
                <c:ptCount val="16"/>
                <c:pt idx="0">
                  <c:v>
</c:v>
                </c:pt>
                <c:pt idx="1">
                  <c:v>Жабин П.П.
</c:v>
                </c:pt>
                <c:pt idx="2">
                  <c:v>Вдовин И.О.
Жангазиев С.К.</c:v>
                </c:pt>
                <c:pt idx="3">
                  <c:v>Жабин П.П.
Керимов Н.К.</c:v>
                </c:pt>
                <c:pt idx="4">
                  <c:v>Тарасов А.С.
Жангазиев С.К.</c:v>
                </c:pt>
                <c:pt idx="5">
                  <c:v>Жабин П.П.
Жангазиев С.К.</c:v>
                </c:pt>
                <c:pt idx="6">
                  <c:v>Тарасов А.С.
Штыкин А.А.</c:v>
                </c:pt>
                <c:pt idx="7">
                  <c:v>Епифанов Д.Б.
Жангазиев С.К.</c:v>
                </c:pt>
                <c:pt idx="8">
                  <c:v>
Шипунов С.И.</c:v>
                </c:pt>
                <c:pt idx="9">
                  <c:v>Епифанов Д.Б.
Хохряков В.Я.</c:v>
                </c:pt>
                <c:pt idx="10">
                  <c:v>Епифанов Д.Б.
Шипунов С.И.</c:v>
                </c:pt>
                <c:pt idx="11">
                  <c:v>
Хохряков В.Я.</c:v>
                </c:pt>
                <c:pt idx="12">
                  <c:v>Жабин П.П.
Титов А.А.</c:v>
                </c:pt>
                <c:pt idx="13">
                  <c:v>
Арбузов А.В.</c:v>
                </c:pt>
                <c:pt idx="14">
                  <c:v>
Титов А.А.</c:v>
                </c:pt>
                <c:pt idx="15">
                  <c:v>Жабин П.П.
Арбузов А.В.</c:v>
                </c:pt>
              </c:strCache>
            </c:strRef>
          </c:cat>
          <c:val>
            <c:numRef>
              <c:f>БВ_вахт!$B$5:$B$21</c:f>
              <c:numCache>
                <c:formatCode>0%</c:formatCode>
                <c:ptCount val="16"/>
                <c:pt idx="0">
                  <c:v>0.63190476190476186</c:v>
                </c:pt>
                <c:pt idx="1">
                  <c:v>0</c:v>
                </c:pt>
                <c:pt idx="2">
                  <c:v>0.40804579070003033</c:v>
                </c:pt>
                <c:pt idx="3">
                  <c:v>0.29399619270757066</c:v>
                </c:pt>
                <c:pt idx="4">
                  <c:v>0.26566153846153845</c:v>
                </c:pt>
                <c:pt idx="5">
                  <c:v>0.41666666666666669</c:v>
                </c:pt>
                <c:pt idx="6">
                  <c:v>0.57499534883720926</c:v>
                </c:pt>
                <c:pt idx="7">
                  <c:v>0.33105454545454543</c:v>
                </c:pt>
                <c:pt idx="8">
                  <c:v>0.46875</c:v>
                </c:pt>
                <c:pt idx="9">
                  <c:v>0.2287499999999999</c:v>
                </c:pt>
                <c:pt idx="10">
                  <c:v>0.30760416666666668</c:v>
                </c:pt>
                <c:pt idx="11">
                  <c:v>0.18739583333333334</c:v>
                </c:pt>
                <c:pt idx="12">
                  <c:v>0</c:v>
                </c:pt>
                <c:pt idx="13">
                  <c:v>0</c:v>
                </c:pt>
                <c:pt idx="14">
                  <c:v>0</c:v>
                </c:pt>
                <c:pt idx="15">
                  <c:v>0</c:v>
                </c:pt>
              </c:numCache>
            </c:numRef>
          </c:val>
          <c:extLst>
            <c:ext xmlns:c16="http://schemas.microsoft.com/office/drawing/2014/chart" uri="{C3380CC4-5D6E-409C-BE32-E72D297353CC}">
              <c16:uniqueId val="{00000000-3BAB-4548-A17F-BD7449BB41A7}"/>
            </c:ext>
          </c:extLst>
        </c:ser>
        <c:ser>
          <c:idx val="1"/>
          <c:order val="1"/>
          <c:tx>
            <c:strRef>
              <c:f>БВ_вахт!$C$3:$C$4</c:f>
              <c:strCache>
                <c:ptCount val="1"/>
                <c:pt idx="0">
                  <c:v>Сумма по полю ПНВ, %</c:v>
                </c:pt>
              </c:strCache>
            </c:strRef>
          </c:tx>
          <c:spPr>
            <a:solidFill>
              <a:srgbClr val="FFC000"/>
            </a:solidFill>
            <a:ln>
              <a:noFill/>
              <a:prstDash val="solid"/>
            </a:ln>
          </c:spPr>
          <c:invertIfNegative val="0"/>
          <c:dLbls>
            <c:spPr>
              <a:noFill/>
              <a:ln>
                <a:noFill/>
                <a:prstDash val="solid"/>
              </a:ln>
            </c:spPr>
            <c:txPr>
              <a:bodyPr rot="-5400000" spcFirstLastPara="1" vertOverflow="ellipsis" wrap="square" lIns="38100" tIns="19050" rIns="38100" bIns="19050" anchor="ctr" anchorCtr="1">
                <a:spAutoFit/>
              </a:bodyPr>
              <a:lstStyle/>
              <a:p>
                <a:pPr>
                  <a:defRPr sz="1600" b="1" i="0" strike="noStrike" kern="1200" baseline="0">
                    <a:solidFill>
                      <a:schemeClr val="bg1">
                        <a:lumMod val="50000"/>
                      </a:schemeClr>
                    </a:solidFill>
                    <a:latin typeface="Century Gothic" panose="020B0502020202020204" pitchFamily="34" charset="0"/>
                    <a:ea typeface="+mn-ea"/>
                    <a:cs typeface="+mn-cs"/>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БВ_вахт!$A$5:$A$21</c:f>
              <c:strCache>
                <c:ptCount val="16"/>
                <c:pt idx="0">
                  <c:v>
</c:v>
                </c:pt>
                <c:pt idx="1">
                  <c:v>Жабин П.П.
</c:v>
                </c:pt>
                <c:pt idx="2">
                  <c:v>Вдовин И.О.
Жангазиев С.К.</c:v>
                </c:pt>
                <c:pt idx="3">
                  <c:v>Жабин П.П.
Керимов Н.К.</c:v>
                </c:pt>
                <c:pt idx="4">
                  <c:v>Тарасов А.С.
Жангазиев С.К.</c:v>
                </c:pt>
                <c:pt idx="5">
                  <c:v>Жабин П.П.
Жангазиев С.К.</c:v>
                </c:pt>
                <c:pt idx="6">
                  <c:v>Тарасов А.С.
Штыкин А.А.</c:v>
                </c:pt>
                <c:pt idx="7">
                  <c:v>Епифанов Д.Б.
Жангазиев С.К.</c:v>
                </c:pt>
                <c:pt idx="8">
                  <c:v>
Шипунов С.И.</c:v>
                </c:pt>
                <c:pt idx="9">
                  <c:v>Епифанов Д.Б.
Хохряков В.Я.</c:v>
                </c:pt>
                <c:pt idx="10">
                  <c:v>Епифанов Д.Б.
Шипунов С.И.</c:v>
                </c:pt>
                <c:pt idx="11">
                  <c:v>
Хохряков В.Я.</c:v>
                </c:pt>
                <c:pt idx="12">
                  <c:v>Жабин П.П.
Титов А.А.</c:v>
                </c:pt>
                <c:pt idx="13">
                  <c:v>
Арбузов А.В.</c:v>
                </c:pt>
                <c:pt idx="14">
                  <c:v>
Титов А.А.</c:v>
                </c:pt>
                <c:pt idx="15">
                  <c:v>Жабин П.П.
Арбузов А.В.</c:v>
                </c:pt>
              </c:strCache>
            </c:strRef>
          </c:cat>
          <c:val>
            <c:numRef>
              <c:f>БВ_вахт!$C$5:$C$21</c:f>
              <c:numCache>
                <c:formatCode>0%</c:formatCode>
                <c:ptCount val="16"/>
                <c:pt idx="0">
                  <c:v>0.36809523809523814</c:v>
                </c:pt>
                <c:pt idx="1">
                  <c:v>0</c:v>
                </c:pt>
                <c:pt idx="2">
                  <c:v>0.45012460743592347</c:v>
                </c:pt>
                <c:pt idx="3">
                  <c:v>0.37652657782984328</c:v>
                </c:pt>
                <c:pt idx="4">
                  <c:v>0.13818461538461538</c:v>
                </c:pt>
                <c:pt idx="5">
                  <c:v>0</c:v>
                </c:pt>
                <c:pt idx="6">
                  <c:v>0.15922392026578072</c:v>
                </c:pt>
                <c:pt idx="7">
                  <c:v>0.52712727272727267</c:v>
                </c:pt>
                <c:pt idx="8">
                  <c:v>0.32291666666666669</c:v>
                </c:pt>
                <c:pt idx="9">
                  <c:v>0.59416666666666673</c:v>
                </c:pt>
                <c:pt idx="10">
                  <c:v>0.52572916666666669</c:v>
                </c:pt>
                <c:pt idx="11">
                  <c:v>0.62510416666666668</c:v>
                </c:pt>
                <c:pt idx="12">
                  <c:v>0</c:v>
                </c:pt>
                <c:pt idx="13">
                  <c:v>0</c:v>
                </c:pt>
                <c:pt idx="14">
                  <c:v>0</c:v>
                </c:pt>
                <c:pt idx="15">
                  <c:v>0</c:v>
                </c:pt>
              </c:numCache>
            </c:numRef>
          </c:val>
          <c:extLst>
            <c:ext xmlns:c16="http://schemas.microsoft.com/office/drawing/2014/chart" uri="{C3380CC4-5D6E-409C-BE32-E72D297353CC}">
              <c16:uniqueId val="{00000001-3BAB-4548-A17F-BD7449BB41A7}"/>
            </c:ext>
          </c:extLst>
        </c:ser>
        <c:ser>
          <c:idx val="2"/>
          <c:order val="2"/>
          <c:tx>
            <c:strRef>
              <c:f>БВ_вахт!$D$3:$D$4</c:f>
              <c:strCache>
                <c:ptCount val="1"/>
                <c:pt idx="0">
                  <c:v>Сумма по полю НПВ, %</c:v>
                </c:pt>
              </c:strCache>
            </c:strRef>
          </c:tx>
          <c:spPr>
            <a:solidFill>
              <a:srgbClr val="C00000"/>
            </a:solidFill>
            <a:ln>
              <a:noFill/>
              <a:prstDash val="solid"/>
            </a:ln>
          </c:spPr>
          <c:invertIfNegative val="0"/>
          <c:dLbls>
            <c:spPr>
              <a:noFill/>
              <a:ln>
                <a:noFill/>
                <a:prstDash val="solid"/>
              </a:ln>
            </c:spPr>
            <c:txPr>
              <a:bodyPr rot="-5400000" spcFirstLastPara="1" vertOverflow="ellipsis" wrap="square" anchor="ctr" anchorCtr="1"/>
              <a:lstStyle/>
              <a:p>
                <a:pPr>
                  <a:defRPr sz="1600" b="1" i="0" strike="noStrike" kern="1200" baseline="0">
                    <a:solidFill>
                      <a:schemeClr val="bg1">
                        <a:lumMod val="95000"/>
                      </a:schemeClr>
                    </a:solidFill>
                    <a:latin typeface="Century Gothic" panose="020B0502020202020204" pitchFamily="34" charset="0"/>
                    <a:ea typeface="+mn-ea"/>
                    <a:cs typeface="+mn-cs"/>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БВ_вахт!$A$5:$A$21</c:f>
              <c:strCache>
                <c:ptCount val="16"/>
                <c:pt idx="0">
                  <c:v>
</c:v>
                </c:pt>
                <c:pt idx="1">
                  <c:v>Жабин П.П.
</c:v>
                </c:pt>
                <c:pt idx="2">
                  <c:v>Вдовин И.О.
Жангазиев С.К.</c:v>
                </c:pt>
                <c:pt idx="3">
                  <c:v>Жабин П.П.
Керимов Н.К.</c:v>
                </c:pt>
                <c:pt idx="4">
                  <c:v>Тарасов А.С.
Жангазиев С.К.</c:v>
                </c:pt>
                <c:pt idx="5">
                  <c:v>Жабин П.П.
Жангазиев С.К.</c:v>
                </c:pt>
                <c:pt idx="6">
                  <c:v>Тарасов А.С.
Штыкин А.А.</c:v>
                </c:pt>
                <c:pt idx="7">
                  <c:v>Епифанов Д.Б.
Жангазиев С.К.</c:v>
                </c:pt>
                <c:pt idx="8">
                  <c:v>
Шипунов С.И.</c:v>
                </c:pt>
                <c:pt idx="9">
                  <c:v>Епифанов Д.Б.
Хохряков В.Я.</c:v>
                </c:pt>
                <c:pt idx="10">
                  <c:v>Епифанов Д.Б.
Шипунов С.И.</c:v>
                </c:pt>
                <c:pt idx="11">
                  <c:v>
Хохряков В.Я.</c:v>
                </c:pt>
                <c:pt idx="12">
                  <c:v>Жабин П.П.
Титов А.А.</c:v>
                </c:pt>
                <c:pt idx="13">
                  <c:v>
Арбузов А.В.</c:v>
                </c:pt>
                <c:pt idx="14">
                  <c:v>
Титов А.А.</c:v>
                </c:pt>
                <c:pt idx="15">
                  <c:v>Жабин П.П.
Арбузов А.В.</c:v>
                </c:pt>
              </c:strCache>
            </c:strRef>
          </c:cat>
          <c:val>
            <c:numRef>
              <c:f>БВ_вахт!$D$5:$D$21</c:f>
              <c:numCache>
                <c:formatCode>0%</c:formatCode>
                <c:ptCount val="16"/>
                <c:pt idx="0">
                  <c:v>0</c:v>
                </c:pt>
                <c:pt idx="1">
                  <c:v>1</c:v>
                </c:pt>
                <c:pt idx="2">
                  <c:v>0.1418296018640462</c:v>
                </c:pt>
                <c:pt idx="3">
                  <c:v>0.32947722946258601</c:v>
                </c:pt>
                <c:pt idx="4">
                  <c:v>0.59615384615384615</c:v>
                </c:pt>
                <c:pt idx="5">
                  <c:v>0.58333333333333337</c:v>
                </c:pt>
                <c:pt idx="6">
                  <c:v>0.26578073089700999</c:v>
                </c:pt>
                <c:pt idx="7">
                  <c:v>0.14181818181818182</c:v>
                </c:pt>
                <c:pt idx="8">
                  <c:v>0.20833333333333334</c:v>
                </c:pt>
                <c:pt idx="9">
                  <c:v>0.17708333333333334</c:v>
                </c:pt>
                <c:pt idx="10">
                  <c:v>0.16666666666666666</c:v>
                </c:pt>
                <c:pt idx="11">
                  <c:v>0.1875</c:v>
                </c:pt>
                <c:pt idx="12">
                  <c:v>1</c:v>
                </c:pt>
                <c:pt idx="13">
                  <c:v>1</c:v>
                </c:pt>
                <c:pt idx="14">
                  <c:v>1</c:v>
                </c:pt>
                <c:pt idx="15">
                  <c:v>1</c:v>
                </c:pt>
              </c:numCache>
            </c:numRef>
          </c:val>
          <c:extLst>
            <c:ext xmlns:c16="http://schemas.microsoft.com/office/drawing/2014/chart" uri="{C3380CC4-5D6E-409C-BE32-E72D297353CC}">
              <c16:uniqueId val="{00000002-3BAB-4548-A17F-BD7449BB41A7}"/>
            </c:ext>
          </c:extLst>
        </c:ser>
        <c:dLbls>
          <c:dLblPos val="ctr"/>
          <c:showLegendKey val="0"/>
          <c:showVal val="1"/>
          <c:showCatName val="0"/>
          <c:showSerName val="0"/>
          <c:showPercent val="0"/>
          <c:showBubbleSize val="0"/>
        </c:dLbls>
        <c:gapWidth val="300"/>
        <c:overlap val="100"/>
        <c:axId val="192346111"/>
        <c:axId val="192344319"/>
      </c:barChart>
      <c:catAx>
        <c:axId val="192346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1100" b="0" i="0" strike="noStrike" kern="1200" baseline="0">
                <a:solidFill>
                  <a:schemeClr val="tx1"/>
                </a:solidFill>
                <a:latin typeface="Century Gothic" panose="020B0502020202020204" pitchFamily="34" charset="0"/>
                <a:ea typeface="+mn-ea"/>
                <a:cs typeface="+mn-cs"/>
              </a:defRPr>
            </a:pPr>
            <a:endParaRPr lang="ru-RU"/>
          </a:p>
        </c:txPr>
        <c:crossAx val="192344319"/>
        <c:crosses val="autoZero"/>
        <c:auto val="1"/>
        <c:lblAlgn val="ctr"/>
        <c:lblOffset val="100"/>
        <c:noMultiLvlLbl val="0"/>
      </c:catAx>
      <c:valAx>
        <c:axId val="192344319"/>
        <c:scaling>
          <c:orientation val="minMax"/>
        </c:scaling>
        <c:delete val="1"/>
        <c:axPos val="l"/>
        <c:numFmt formatCode="0%" sourceLinked="1"/>
        <c:majorTickMark val="out"/>
        <c:minorTickMark val="none"/>
        <c:tickLblPos val="nextTo"/>
        <c:crossAx val="192346111"/>
        <c:crosses val="autoZero"/>
        <c:crossBetween val="between"/>
        <c:majorUnit val="0.2"/>
      </c:valAx>
    </c:plotArea>
    <c:plotVisOnly val="1"/>
    <c:dispBlanksAs val="gap"/>
    <c:showDLblsOverMax val="1"/>
  </c:chart>
  <c:spPr>
    <a:solidFill>
      <a:schemeClr val="bg1">
        <a:lumMod val="95000"/>
      </a:schemeClr>
    </a:solidFill>
    <a:ln w="9525" cap="flat" cmpd="sng" algn="ctr">
      <a:noFill/>
      <a:prstDash val="solid"/>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pivotSource>
    <c:name>[КРС-3 обнова планирование.xlsx]БВ_по_дням!БВ_по_дням</c:name>
    <c:fmtId val="11"/>
  </c:pivotSource>
  <c:chart>
    <c:title>
      <c:tx>
        <c:rich>
          <a:bodyPr rot="0" spcFirstLastPara="1" vertOverflow="ellipsis" vert="horz" wrap="square" anchor="ctr" anchorCtr="1"/>
          <a:lstStyle/>
          <a:p>
            <a:pPr>
              <a:defRPr sz="1400" b="0" i="0" strike="noStrike" kern="1200" spc="0" baseline="0">
                <a:solidFill>
                  <a:schemeClr val="tx1"/>
                </a:solidFill>
                <a:latin typeface="Century Gothic" panose="020B0502020202020204" pitchFamily="34" charset="0"/>
                <a:ea typeface="+mn-ea"/>
                <a:cs typeface="+mn-cs"/>
              </a:defRPr>
            </a:pPr>
            <a:r>
              <a:rPr lang="ru-RU" sz="1400" b="0" i="0" strike="noStrike" kern="1200" spc="0" baseline="0">
                <a:solidFill>
                  <a:sysClr val="windowText" lastClr="000000"/>
                </a:solidFill>
                <a:latin typeface="Century Gothic" panose="020B0502020202020204" pitchFamily="34" charset="0"/>
              </a:rPr>
              <a:t>Баланс времени по дням строительства</a:t>
            </a:r>
          </a:p>
        </c:rich>
      </c:tx>
      <c:overlay val="0"/>
      <c:spPr>
        <a:noFill/>
        <a:ln>
          <a:noFill/>
          <a:prstDash val="solid"/>
        </a:ln>
      </c:spPr>
    </c:title>
    <c:autoTitleDeleted val="0"/>
    <c:pivotFmts>
      <c:pivotFmt>
        <c:idx val="0"/>
        <c:spPr>
          <a:solidFill>
            <a:srgbClr val="C00000"/>
          </a:solidFill>
          <a:ln>
            <a:noFill/>
            <a:prstDash val="solid"/>
          </a:ln>
        </c:spPr>
        <c:marker>
          <c:symbol val="none"/>
        </c:marker>
        <c:dLbl>
          <c:idx val="0"/>
          <c:spPr>
            <a:noFill/>
            <a:ln>
              <a:noFill/>
              <a:prstDash val="solid"/>
            </a:ln>
          </c:spPr>
          <c:txPr>
            <a:bodyPr rot="0" spcFirstLastPara="1" vertOverflow="ellipsis" vert="horz" wrap="square" anchor="ctr" anchorCtr="1"/>
            <a:lstStyle/>
            <a:p>
              <a:pPr>
                <a:defRPr sz="900" b="1" i="0" strike="noStrike" kern="1200" baseline="0">
                  <a:solidFill>
                    <a:schemeClr val="tx1"/>
                  </a:solidFill>
                  <a:latin typeface="Century Gothic" panose="020B0502020202020204" pitchFamily="34" charset="0"/>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prstDash val="solid"/>
          </a:ln>
        </c:spPr>
        <c:marker>
          <c:symbol val="none"/>
        </c:marker>
        <c:dLbl>
          <c:idx val="0"/>
          <c:spPr>
            <a:noFill/>
            <a:ln>
              <a:noFill/>
              <a:prstDash val="solid"/>
            </a:ln>
          </c:spPr>
          <c:txPr>
            <a:bodyPr rot="0" spcFirstLastPara="1" vertOverflow="ellipsis" vert="horz" wrap="square" anchor="ctr" anchorCtr="1"/>
            <a:lstStyle/>
            <a:p>
              <a:pPr>
                <a:defRPr sz="900" b="1" i="0" strike="noStrike" kern="1200" baseline="0">
                  <a:solidFill>
                    <a:schemeClr val="tx1"/>
                  </a:solidFill>
                  <a:latin typeface="Century Gothic" panose="020B0502020202020204" pitchFamily="34" charset="0"/>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prstDash val="solid"/>
          </a:ln>
        </c:spPr>
        <c:marker>
          <c:symbol val="none"/>
        </c:marker>
        <c:dLbl>
          <c:idx val="0"/>
          <c:spPr>
            <a:noFill/>
            <a:ln>
              <a:noFill/>
              <a:prstDash val="solid"/>
            </a:ln>
          </c:spPr>
          <c:txPr>
            <a:bodyPr rot="0" spcFirstLastPara="1" vertOverflow="ellipsis" vert="horz" wrap="square" anchor="ctr" anchorCtr="1"/>
            <a:lstStyle/>
            <a:p>
              <a:pPr>
                <a:defRPr sz="900" b="1" i="0" strike="noStrike" kern="1200" baseline="0">
                  <a:solidFill>
                    <a:schemeClr val="tx1"/>
                  </a:solidFill>
                  <a:latin typeface="Century Gothic" panose="020B0502020202020204" pitchFamily="34" charset="0"/>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70AD47"/>
          </a:solidFill>
          <a:ln>
            <a:noFill/>
            <a:prstDash val="solid"/>
          </a:ln>
        </c:spPr>
        <c:marker>
          <c:symbol val="none"/>
        </c:marker>
        <c:dLbl>
          <c:idx val="0"/>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FFC000"/>
          </a:solidFill>
          <a:ln>
            <a:noFill/>
            <a:prstDash val="solid"/>
          </a:ln>
        </c:spPr>
        <c:marker>
          <c:symbol val="none"/>
        </c:marker>
        <c:dLbl>
          <c:idx val="0"/>
          <c:showLegendKey val="1"/>
          <c:showVal val="1"/>
          <c:showCatName val="1"/>
          <c:showSerName val="1"/>
          <c:showPercent val="1"/>
          <c:showBubbleSize val="1"/>
          <c:extLst>
            <c:ext xmlns:c15="http://schemas.microsoft.com/office/drawing/2012/chart" uri="{CE6537A1-D6FC-4f65-9D91-7224C49458BB}"/>
          </c:extLst>
        </c:dLbl>
      </c:pivotFmt>
      <c:pivotFmt>
        <c:idx val="5"/>
        <c:spPr>
          <a:solidFill>
            <a:srgbClr val="C00000"/>
          </a:solidFill>
          <a:ln>
            <a:noFill/>
            <a:prstDash val="solid"/>
          </a:ln>
        </c:spPr>
        <c:marker>
          <c:symbol val="none"/>
        </c:marker>
        <c:dLbl>
          <c:idx val="0"/>
          <c:showLegendKey val="1"/>
          <c:showVal val="1"/>
          <c:showCatName val="1"/>
          <c:showSerName val="1"/>
          <c:showPercent val="1"/>
          <c:showBubbleSize val="1"/>
          <c:extLst>
            <c:ext xmlns:c15="http://schemas.microsoft.com/office/drawing/2012/chart" uri="{CE6537A1-D6FC-4f65-9D91-7224C49458BB}"/>
          </c:extLst>
        </c:dLbl>
      </c:pivotFmt>
      <c:pivotFmt>
        <c:idx val="6"/>
        <c:spPr>
          <a:solidFill>
            <a:srgbClr val="70AD47"/>
          </a:solidFill>
          <a:ln>
            <a:noFill/>
            <a:prstDash val="solid"/>
          </a:ln>
        </c:spPr>
        <c:marker>
          <c:symbol val="none"/>
        </c:marker>
        <c:dLbl>
          <c:idx val="0"/>
          <c:showLegendKey val="1"/>
          <c:showVal val="1"/>
          <c:showCatName val="1"/>
          <c:showSerName val="1"/>
          <c:showPercent val="1"/>
          <c:showBubbleSize val="1"/>
          <c:extLst>
            <c:ext xmlns:c15="http://schemas.microsoft.com/office/drawing/2012/chart" uri="{CE6537A1-D6FC-4f65-9D91-7224C49458BB}"/>
          </c:extLst>
        </c:dLbl>
      </c:pivotFmt>
      <c:pivotFmt>
        <c:idx val="7"/>
        <c:spPr>
          <a:solidFill>
            <a:srgbClr val="FFC000"/>
          </a:solidFill>
          <a:ln>
            <a:noFill/>
            <a:prstDash val="solid"/>
          </a:ln>
        </c:spPr>
        <c:marker>
          <c:symbol val="none"/>
        </c:marker>
        <c:dLbl>
          <c:idx val="0"/>
          <c:showLegendKey val="1"/>
          <c:showVal val="1"/>
          <c:showCatName val="1"/>
          <c:showSerName val="1"/>
          <c:showPercent val="1"/>
          <c:showBubbleSize val="1"/>
          <c:extLst>
            <c:ext xmlns:c15="http://schemas.microsoft.com/office/drawing/2012/chart" uri="{CE6537A1-D6FC-4f65-9D91-7224C49458BB}"/>
          </c:extLst>
        </c:dLbl>
      </c:pivotFmt>
      <c:pivotFmt>
        <c:idx val="8"/>
        <c:spPr>
          <a:solidFill>
            <a:srgbClr val="C00000"/>
          </a:solidFill>
          <a:ln>
            <a:noFill/>
            <a:prstDash val="solid"/>
          </a:ln>
        </c:spPr>
        <c:marker>
          <c:symbol val="none"/>
        </c:marker>
        <c:dLbl>
          <c:idx val="0"/>
          <c:showLegendKey val="1"/>
          <c:showVal val="1"/>
          <c:showCatName val="1"/>
          <c:showSerName val="1"/>
          <c:showPercent val="1"/>
          <c:showBubbleSize val="1"/>
          <c:extLst>
            <c:ext xmlns:c15="http://schemas.microsoft.com/office/drawing/2012/chart" uri="{CE6537A1-D6FC-4f65-9D91-7224C49458BB}"/>
          </c:extLst>
        </c:dLbl>
      </c:pivotFmt>
      <c:pivotFmt>
        <c:idx val="9"/>
        <c:spPr>
          <a:solidFill>
            <a:srgbClr val="70AD47"/>
          </a:solidFill>
          <a:ln>
            <a:noFill/>
            <a:prstDash val="solid"/>
          </a:ln>
        </c:spPr>
        <c:marker>
          <c:symbol val="none"/>
        </c:marker>
        <c:dLbl>
          <c:idx val="0"/>
          <c:showLegendKey val="1"/>
          <c:showVal val="1"/>
          <c:showCatName val="1"/>
          <c:showSerName val="1"/>
          <c:showPercent val="1"/>
          <c:showBubbleSize val="1"/>
          <c:extLst>
            <c:ext xmlns:c15="http://schemas.microsoft.com/office/drawing/2012/chart" uri="{CE6537A1-D6FC-4f65-9D91-7224C49458BB}"/>
          </c:extLst>
        </c:dLbl>
      </c:pivotFmt>
      <c:pivotFmt>
        <c:idx val="10"/>
        <c:spPr>
          <a:solidFill>
            <a:srgbClr val="FFC000"/>
          </a:solidFill>
          <a:ln>
            <a:noFill/>
            <a:prstDash val="solid"/>
          </a:ln>
        </c:spPr>
        <c:marker>
          <c:symbol val="none"/>
        </c:marker>
        <c:dLbl>
          <c:idx val="0"/>
          <c:showLegendKey val="1"/>
          <c:showVal val="1"/>
          <c:showCatName val="1"/>
          <c:showSerName val="1"/>
          <c:showPercent val="1"/>
          <c:showBubbleSize val="1"/>
          <c:extLst>
            <c:ext xmlns:c15="http://schemas.microsoft.com/office/drawing/2012/chart" uri="{CE6537A1-D6FC-4f65-9D91-7224C49458BB}"/>
          </c:extLst>
        </c:dLbl>
      </c:pivotFmt>
      <c:pivotFmt>
        <c:idx val="11"/>
        <c:spPr>
          <a:solidFill>
            <a:srgbClr val="C00000"/>
          </a:solidFill>
          <a:ln>
            <a:noFill/>
            <a:prstDash val="solid"/>
          </a:ln>
        </c:spPr>
        <c:marker>
          <c:symbol val="none"/>
        </c:marker>
        <c:dLbl>
          <c:idx val="0"/>
          <c:showLegendKey val="1"/>
          <c:showVal val="1"/>
          <c:showCatName val="1"/>
          <c:showSerName val="1"/>
          <c:showPercent val="1"/>
          <c:showBubbleSize val="1"/>
          <c:extLst>
            <c:ext xmlns:c15="http://schemas.microsoft.com/office/drawing/2012/chart" uri="{CE6537A1-D6FC-4f65-9D91-7224C49458BB}"/>
          </c:extLst>
        </c:dLbl>
      </c:pivotFmt>
      <c:pivotFmt>
        <c:idx val="12"/>
        <c:spPr>
          <a:solidFill>
            <a:srgbClr val="70AD47"/>
          </a:solidFill>
          <a:ln>
            <a:noFill/>
            <a:prstDash val="solid"/>
          </a:ln>
        </c:spPr>
        <c:marker>
          <c:symbol val="none"/>
        </c:marker>
        <c:dLbl>
          <c:idx val="0"/>
          <c:showLegendKey val="1"/>
          <c:showVal val="1"/>
          <c:showCatName val="1"/>
          <c:showSerName val="1"/>
          <c:showPercent val="1"/>
          <c:showBubbleSize val="1"/>
          <c:extLst>
            <c:ext xmlns:c15="http://schemas.microsoft.com/office/drawing/2012/chart" uri="{CE6537A1-D6FC-4f65-9D91-7224C49458BB}"/>
          </c:extLst>
        </c:dLbl>
      </c:pivotFmt>
      <c:pivotFmt>
        <c:idx val="13"/>
        <c:spPr>
          <a:solidFill>
            <a:srgbClr val="FFC000"/>
          </a:solidFill>
          <a:ln>
            <a:noFill/>
            <a:prstDash val="solid"/>
          </a:ln>
        </c:spPr>
        <c:marker>
          <c:symbol val="none"/>
        </c:marker>
        <c:dLbl>
          <c:idx val="0"/>
          <c:showLegendKey val="1"/>
          <c:showVal val="1"/>
          <c:showCatName val="1"/>
          <c:showSerName val="1"/>
          <c:showPercent val="1"/>
          <c:showBubbleSize val="1"/>
          <c:extLst>
            <c:ext xmlns:c15="http://schemas.microsoft.com/office/drawing/2012/chart" uri="{CE6537A1-D6FC-4f65-9D91-7224C49458BB}"/>
          </c:extLst>
        </c:dLbl>
      </c:pivotFmt>
      <c:pivotFmt>
        <c:idx val="14"/>
        <c:spPr>
          <a:solidFill>
            <a:srgbClr val="C00000"/>
          </a:solidFill>
          <a:ln>
            <a:noFill/>
            <a:prstDash val="solid"/>
          </a:ln>
        </c:spPr>
        <c:marker>
          <c:symbol val="none"/>
        </c:marker>
        <c:dLbl>
          <c:idx val="0"/>
          <c:showLegendKey val="1"/>
          <c:showVal val="1"/>
          <c:showCatName val="1"/>
          <c:showSerName val="1"/>
          <c:showPercent val="1"/>
          <c:showBubbleSize val="1"/>
          <c:extLst>
            <c:ext xmlns:c15="http://schemas.microsoft.com/office/drawing/2012/chart" uri="{CE6537A1-D6FC-4f65-9D91-7224C49458BB}"/>
          </c:extLst>
        </c:dLbl>
      </c:pivotFmt>
      <c:pivotFmt>
        <c:idx val="15"/>
        <c:spPr>
          <a:solidFill>
            <a:srgbClr val="70AD47"/>
          </a:solidFill>
          <a:ln>
            <a:noFill/>
            <a:prstDash val="solid"/>
          </a:ln>
        </c:spPr>
        <c:marker>
          <c:symbol val="none"/>
        </c:marker>
        <c:dLbl>
          <c:idx val="0"/>
          <c:showLegendKey val="1"/>
          <c:showVal val="1"/>
          <c:showCatName val="1"/>
          <c:showSerName val="1"/>
          <c:showPercent val="1"/>
          <c:showBubbleSize val="1"/>
          <c:extLst>
            <c:ext xmlns:c15="http://schemas.microsoft.com/office/drawing/2012/chart" uri="{CE6537A1-D6FC-4f65-9D91-7224C49458BB}"/>
          </c:extLst>
        </c:dLbl>
      </c:pivotFmt>
      <c:pivotFmt>
        <c:idx val="16"/>
        <c:spPr>
          <a:solidFill>
            <a:srgbClr val="FFC000"/>
          </a:solidFill>
          <a:ln>
            <a:noFill/>
            <a:prstDash val="solid"/>
          </a:ln>
        </c:spPr>
        <c:marker>
          <c:symbol val="none"/>
        </c:marker>
        <c:dLbl>
          <c:idx val="0"/>
          <c:showLegendKey val="1"/>
          <c:showVal val="1"/>
          <c:showCatName val="1"/>
          <c:showSerName val="1"/>
          <c:showPercent val="1"/>
          <c:showBubbleSize val="1"/>
          <c:extLst>
            <c:ext xmlns:c15="http://schemas.microsoft.com/office/drawing/2012/chart" uri="{CE6537A1-D6FC-4f65-9D91-7224C49458BB}"/>
          </c:extLst>
        </c:dLbl>
      </c:pivotFmt>
      <c:pivotFmt>
        <c:idx val="17"/>
        <c:spPr>
          <a:solidFill>
            <a:srgbClr val="C00000"/>
          </a:solidFill>
          <a:ln>
            <a:noFill/>
            <a:prstDash val="solid"/>
          </a:ln>
        </c:spPr>
        <c:marker>
          <c:symbol val="none"/>
        </c:marker>
        <c:dLbl>
          <c:idx val="0"/>
          <c:showLegendKey val="1"/>
          <c:showVal val="1"/>
          <c:showCatName val="1"/>
          <c:showSerName val="1"/>
          <c:showPercent val="1"/>
          <c:showBubbleSize val="1"/>
          <c:extLst>
            <c:ext xmlns:c15="http://schemas.microsoft.com/office/drawing/2012/chart" uri="{CE6537A1-D6FC-4f65-9D91-7224C49458BB}"/>
          </c:extLst>
        </c:dLbl>
      </c:pivotFmt>
      <c:pivotFmt>
        <c:idx val="18"/>
        <c:spPr>
          <a:solidFill>
            <a:srgbClr val="70AD47"/>
          </a:solidFill>
          <a:ln>
            <a:noFill/>
            <a:prstDash val="solid"/>
          </a:ln>
        </c:spPr>
        <c:marker>
          <c:symbol val="none"/>
        </c:marker>
        <c:dLbl>
          <c:idx val="0"/>
          <c:showLegendKey val="1"/>
          <c:showVal val="1"/>
          <c:showCatName val="1"/>
          <c:showSerName val="1"/>
          <c:showPercent val="1"/>
          <c:showBubbleSize val="1"/>
          <c:extLst>
            <c:ext xmlns:c15="http://schemas.microsoft.com/office/drawing/2012/chart" uri="{CE6537A1-D6FC-4f65-9D91-7224C49458BB}"/>
          </c:extLst>
        </c:dLbl>
      </c:pivotFmt>
      <c:pivotFmt>
        <c:idx val="19"/>
        <c:spPr>
          <a:solidFill>
            <a:srgbClr val="FFC000"/>
          </a:solidFill>
          <a:ln>
            <a:noFill/>
            <a:prstDash val="solid"/>
          </a:ln>
        </c:spPr>
        <c:marker>
          <c:symbol val="none"/>
        </c:marker>
        <c:dLbl>
          <c:idx val="0"/>
          <c:showLegendKey val="1"/>
          <c:showVal val="1"/>
          <c:showCatName val="1"/>
          <c:showSerName val="1"/>
          <c:showPercent val="1"/>
          <c:showBubbleSize val="1"/>
          <c:extLst>
            <c:ext xmlns:c15="http://schemas.microsoft.com/office/drawing/2012/chart" uri="{CE6537A1-D6FC-4f65-9D91-7224C49458BB}"/>
          </c:extLst>
        </c:dLbl>
      </c:pivotFmt>
      <c:pivotFmt>
        <c:idx val="20"/>
        <c:spPr>
          <a:solidFill>
            <a:srgbClr val="C00000"/>
          </a:solidFill>
          <a:ln>
            <a:noFill/>
            <a:prstDash val="solid"/>
          </a:ln>
        </c:spPr>
        <c:marker>
          <c:symbol val="none"/>
        </c:marker>
        <c:dLbl>
          <c:idx val="0"/>
          <c:showLegendKey val="1"/>
          <c:showVal val="1"/>
          <c:showCatName val="1"/>
          <c:showSerName val="1"/>
          <c:showPercent val="1"/>
          <c:showBubbleSize val="1"/>
          <c:extLst>
            <c:ext xmlns:c15="http://schemas.microsoft.com/office/drawing/2012/chart" uri="{CE6537A1-D6FC-4f65-9D91-7224C49458BB}"/>
          </c:extLst>
        </c:dLbl>
      </c:pivotFmt>
      <c:pivotFmt>
        <c:idx val="21"/>
        <c:spPr>
          <a:solidFill>
            <a:srgbClr val="70AD47"/>
          </a:solidFill>
          <a:ln>
            <a:noFill/>
            <a:prstDash val="solid"/>
          </a:ln>
        </c:spPr>
        <c:marker>
          <c:symbol val="none"/>
        </c:marker>
        <c:dLbl>
          <c:idx val="0"/>
          <c:delete val="1"/>
          <c:extLst>
            <c:ext xmlns:c15="http://schemas.microsoft.com/office/drawing/2012/chart" uri="{CE6537A1-D6FC-4f65-9D91-7224C49458BB}"/>
          </c:extLst>
        </c:dLbl>
      </c:pivotFmt>
      <c:pivotFmt>
        <c:idx val="22"/>
        <c:spPr>
          <a:solidFill>
            <a:srgbClr val="FFC000"/>
          </a:solidFill>
          <a:ln>
            <a:noFill/>
            <a:prstDash val="solid"/>
          </a:ln>
        </c:spPr>
        <c:marker>
          <c:symbol val="none"/>
        </c:marker>
        <c:dLbl>
          <c:idx val="0"/>
          <c:delete val="1"/>
          <c:extLst>
            <c:ext xmlns:c15="http://schemas.microsoft.com/office/drawing/2012/chart" uri="{CE6537A1-D6FC-4f65-9D91-7224C49458BB}"/>
          </c:extLst>
        </c:dLbl>
      </c:pivotFmt>
      <c:pivotFmt>
        <c:idx val="23"/>
        <c:spPr>
          <a:solidFill>
            <a:srgbClr val="C00000"/>
          </a:solidFill>
          <a:ln>
            <a:noFill/>
            <a:prstDash val="solid"/>
          </a:ln>
        </c:spPr>
        <c:marker>
          <c:symbol val="none"/>
        </c:marker>
        <c:dLbl>
          <c:idx val="0"/>
          <c:delete val="1"/>
          <c:extLst>
            <c:ext xmlns:c15="http://schemas.microsoft.com/office/drawing/2012/chart" uri="{CE6537A1-D6FC-4f65-9D91-7224C49458BB}"/>
          </c:extLst>
        </c:dLbl>
      </c:pivotFmt>
    </c:pivotFmts>
    <c:plotArea>
      <c:layout/>
      <c:barChart>
        <c:barDir val="col"/>
        <c:grouping val="percentStacked"/>
        <c:varyColors val="0"/>
        <c:ser>
          <c:idx val="0"/>
          <c:order val="0"/>
          <c:tx>
            <c:strRef>
              <c:f>БВ_по_дням!$B$3:$B$4</c:f>
              <c:strCache>
                <c:ptCount val="1"/>
                <c:pt idx="0">
                  <c:v>Сумма по полю ПВ</c:v>
                </c:pt>
              </c:strCache>
            </c:strRef>
          </c:tx>
          <c:spPr>
            <a:solidFill>
              <a:srgbClr val="70AD47"/>
            </a:solidFill>
            <a:ln>
              <a:noFill/>
              <a:prstDash val="solid"/>
            </a:ln>
          </c:spPr>
          <c:invertIfNegative val="0"/>
          <c:cat>
            <c:multiLvlStrRef>
              <c:f>БВ_по_дням!$A$5:$A$67</c:f>
              <c:multiLvlStrCache>
                <c:ptCount val="58"/>
                <c:lvl>
                  <c:pt idx="0">
                    <c:v>15 мая 2026 г.</c:v>
                  </c:pt>
                  <c:pt idx="1">
                    <c:v>16 мая 2026 г.</c:v>
                  </c:pt>
                  <c:pt idx="2">
                    <c:v>17 мая 2026 г.</c:v>
                  </c:pt>
                  <c:pt idx="3">
                    <c:v>18 мая 2026 г.</c:v>
                  </c:pt>
                  <c:pt idx="4">
                    <c:v>20 мая 2026 г.</c:v>
                  </c:pt>
                  <c:pt idx="5">
                    <c:v>21 мая 2026 г.</c:v>
                  </c:pt>
                  <c:pt idx="6">
                    <c:v>22 мая 2026 г.</c:v>
                  </c:pt>
                  <c:pt idx="7">
                    <c:v>24 мая 2026 г.</c:v>
                  </c:pt>
                  <c:pt idx="8">
                    <c:v>25 мая 2026 г.</c:v>
                  </c:pt>
                  <c:pt idx="9">
                    <c:v>26 мая 2026 г.</c:v>
                  </c:pt>
                  <c:pt idx="10">
                    <c:v>27 мая 2026 г.</c:v>
                  </c:pt>
                  <c:pt idx="11">
                    <c:v>28 мая 2026 г.</c:v>
                  </c:pt>
                  <c:pt idx="12">
                    <c:v>29 мая 2026 г.</c:v>
                  </c:pt>
                  <c:pt idx="13">
                    <c:v>30 мая 2026 г.</c:v>
                  </c:pt>
                  <c:pt idx="14">
                    <c:v>31 мая 2026 г.</c:v>
                  </c:pt>
                  <c:pt idx="15">
                    <c:v>20 мая 2026 г.</c:v>
                  </c:pt>
                  <c:pt idx="16">
                    <c:v>21 мая 2026 г.</c:v>
                  </c:pt>
                  <c:pt idx="17">
                    <c:v>22 мая 2026 г.</c:v>
                  </c:pt>
                  <c:pt idx="18">
                    <c:v>23 мая 2026 г.</c:v>
                  </c:pt>
                  <c:pt idx="19">
                    <c:v>24 мая 2026 г.</c:v>
                  </c:pt>
                  <c:pt idx="20">
                    <c:v>25 мая 2026 г.</c:v>
                  </c:pt>
                  <c:pt idx="21">
                    <c:v>26 мая 2026 г.</c:v>
                  </c:pt>
                  <c:pt idx="22">
                    <c:v>27 мая 2026 г.</c:v>
                  </c:pt>
                  <c:pt idx="23">
                    <c:v>28 мая 2026 г.</c:v>
                  </c:pt>
                  <c:pt idx="24">
                    <c:v>29 мая 2026 г.</c:v>
                  </c:pt>
                  <c:pt idx="25">
                    <c:v>30 мая 2026 г.</c:v>
                  </c:pt>
                  <c:pt idx="26">
                    <c:v>31 мая 2026 г.</c:v>
                  </c:pt>
                  <c:pt idx="27">
                    <c:v>03 мая 2026 г.</c:v>
                  </c:pt>
                  <c:pt idx="28">
                    <c:v>04 мая 2026 г.</c:v>
                  </c:pt>
                  <c:pt idx="29">
                    <c:v>05 мая 2026 г.</c:v>
                  </c:pt>
                  <c:pt idx="30">
                    <c:v>06 мая 2026 г.</c:v>
                  </c:pt>
                  <c:pt idx="31">
                    <c:v>07 мая 2026 г.</c:v>
                  </c:pt>
                  <c:pt idx="32">
                    <c:v>08 мая 2026 г.</c:v>
                  </c:pt>
                  <c:pt idx="33">
                    <c:v>09 мая 2026 г.</c:v>
                  </c:pt>
                  <c:pt idx="34">
                    <c:v>10 мая 2026 г.</c:v>
                  </c:pt>
                  <c:pt idx="35">
                    <c:v>11 мая 2026 г.</c:v>
                  </c:pt>
                  <c:pt idx="36">
                    <c:v>12 мая 2026 г.</c:v>
                  </c:pt>
                  <c:pt idx="37">
                    <c:v>13 мая 2026 г.</c:v>
                  </c:pt>
                  <c:pt idx="38">
                    <c:v>14 мая 2026 г.</c:v>
                  </c:pt>
                  <c:pt idx="39">
                    <c:v>15 мая 2026 г.</c:v>
                  </c:pt>
                  <c:pt idx="40">
                    <c:v>16 мая 2026 г.</c:v>
                  </c:pt>
                  <c:pt idx="41">
                    <c:v>17 мая 2026 г.</c:v>
                  </c:pt>
                  <c:pt idx="42">
                    <c:v>18 мая 2026 г.</c:v>
                  </c:pt>
                  <c:pt idx="43">
                    <c:v>19 мая 2026 г.</c:v>
                  </c:pt>
                  <c:pt idx="44">
                    <c:v>20 мая 2026 г.</c:v>
                  </c:pt>
                  <c:pt idx="45">
                    <c:v>02 мая 2026 г.</c:v>
                  </c:pt>
                  <c:pt idx="46">
                    <c:v>03 мая 2026 г.</c:v>
                  </c:pt>
                  <c:pt idx="47">
                    <c:v>04 мая 2026 г.</c:v>
                  </c:pt>
                  <c:pt idx="48">
                    <c:v>05 мая 2026 г.</c:v>
                  </c:pt>
                  <c:pt idx="49">
                    <c:v>06 мая 2026 г.</c:v>
                  </c:pt>
                  <c:pt idx="50">
                    <c:v>07 мая 2026 г.</c:v>
                  </c:pt>
                  <c:pt idx="51">
                    <c:v>08 мая 2026 г.</c:v>
                  </c:pt>
                  <c:pt idx="52">
                    <c:v>09 мая 2026 г.</c:v>
                  </c:pt>
                  <c:pt idx="53">
                    <c:v>10 мая 2026 г.</c:v>
                  </c:pt>
                  <c:pt idx="54">
                    <c:v>11 мая 2026 г.</c:v>
                  </c:pt>
                  <c:pt idx="55">
                    <c:v>12 мая 2026 г.</c:v>
                  </c:pt>
                  <c:pt idx="56">
                    <c:v>13 мая 2026 г.</c:v>
                  </c:pt>
                  <c:pt idx="57">
                    <c:v>14 мая 2026 г.</c:v>
                  </c:pt>
                </c:lvl>
                <c:lvl>
                  <c:pt idx="0">
                    <c:v>Тарасов А.С.</c:v>
                  </c:pt>
                  <c:pt idx="15">
                    <c:v>Епифанов Д.Б.</c:v>
                  </c:pt>
                  <c:pt idx="27">
                    <c:v>Жабин П.П.</c:v>
                  </c:pt>
                  <c:pt idx="45">
                    <c:v>Вдовин И.О.</c:v>
                  </c:pt>
                </c:lvl>
              </c:multiLvlStrCache>
            </c:multiLvlStrRef>
          </c:cat>
          <c:val>
            <c:numRef>
              <c:f>БВ_по_дням!$B$5:$B$67</c:f>
              <c:numCache>
                <c:formatCode>0</c:formatCode>
                <c:ptCount val="58"/>
                <c:pt idx="0">
                  <c:v>0.97440000000000015</c:v>
                </c:pt>
                <c:pt idx="1">
                  <c:v>4.84</c:v>
                </c:pt>
                <c:pt idx="2">
                  <c:v>0</c:v>
                </c:pt>
                <c:pt idx="3">
                  <c:v>8</c:v>
                </c:pt>
                <c:pt idx="4">
                  <c:v>3.0199999999999996</c:v>
                </c:pt>
                <c:pt idx="5">
                  <c:v>8.9980000000000011</c:v>
                </c:pt>
                <c:pt idx="6">
                  <c:v>10.868799999999998</c:v>
                </c:pt>
                <c:pt idx="7">
                  <c:v>15.71</c:v>
                </c:pt>
                <c:pt idx="8">
                  <c:v>8.11</c:v>
                </c:pt>
                <c:pt idx="9">
                  <c:v>3.64</c:v>
                </c:pt>
                <c:pt idx="10">
                  <c:v>8.1900000000000013</c:v>
                </c:pt>
                <c:pt idx="11">
                  <c:v>7</c:v>
                </c:pt>
                <c:pt idx="12">
                  <c:v>2.5</c:v>
                </c:pt>
                <c:pt idx="13">
                  <c:v>14.5</c:v>
                </c:pt>
                <c:pt idx="14">
                  <c:v>4</c:v>
                </c:pt>
                <c:pt idx="15">
                  <c:v>0</c:v>
                </c:pt>
                <c:pt idx="16">
                  <c:v>2</c:v>
                </c:pt>
                <c:pt idx="17">
                  <c:v>10</c:v>
                </c:pt>
                <c:pt idx="18">
                  <c:v>0</c:v>
                </c:pt>
                <c:pt idx="19">
                  <c:v>0.87000000000000011</c:v>
                </c:pt>
                <c:pt idx="20">
                  <c:v>3.5500000000000007</c:v>
                </c:pt>
                <c:pt idx="21">
                  <c:v>0.97</c:v>
                </c:pt>
                <c:pt idx="22">
                  <c:v>0</c:v>
                </c:pt>
                <c:pt idx="23">
                  <c:v>8</c:v>
                </c:pt>
                <c:pt idx="24">
                  <c:v>5.43</c:v>
                </c:pt>
                <c:pt idx="25">
                  <c:v>6</c:v>
                </c:pt>
                <c:pt idx="26">
                  <c:v>8</c:v>
                </c:pt>
                <c:pt idx="27">
                  <c:v>6.41</c:v>
                </c:pt>
                <c:pt idx="28">
                  <c:v>1.48</c:v>
                </c:pt>
                <c:pt idx="29">
                  <c:v>6.83</c:v>
                </c:pt>
                <c:pt idx="30">
                  <c:v>10.93</c:v>
                </c:pt>
                <c:pt idx="31">
                  <c:v>7</c:v>
                </c:pt>
                <c:pt idx="32">
                  <c:v>0</c:v>
                </c:pt>
                <c:pt idx="33">
                  <c:v>0</c:v>
                </c:pt>
                <c:pt idx="34">
                  <c:v>0</c:v>
                </c:pt>
                <c:pt idx="35">
                  <c:v>8.8817841970012523E-16</c:v>
                </c:pt>
                <c:pt idx="36">
                  <c:v>0.50399999999999956</c:v>
                </c:pt>
                <c:pt idx="37">
                  <c:v>0</c:v>
                </c:pt>
                <c:pt idx="38">
                  <c:v>7</c:v>
                </c:pt>
                <c:pt idx="39">
                  <c:v>8.8817841970012523E-16</c:v>
                </c:pt>
                <c:pt idx="40">
                  <c:v>0</c:v>
                </c:pt>
                <c:pt idx="41">
                  <c:v>0</c:v>
                </c:pt>
                <c:pt idx="42">
                  <c:v>0</c:v>
                </c:pt>
                <c:pt idx="43">
                  <c:v>0</c:v>
                </c:pt>
                <c:pt idx="44">
                  <c:v>5</c:v>
                </c:pt>
                <c:pt idx="45">
                  <c:v>4</c:v>
                </c:pt>
                <c:pt idx="46">
                  <c:v>8.09</c:v>
                </c:pt>
                <c:pt idx="47">
                  <c:v>11.96</c:v>
                </c:pt>
                <c:pt idx="48">
                  <c:v>12.559999999999999</c:v>
                </c:pt>
                <c:pt idx="49">
                  <c:v>2.5</c:v>
                </c:pt>
                <c:pt idx="50">
                  <c:v>6.9699999999999989</c:v>
                </c:pt>
                <c:pt idx="51">
                  <c:v>0</c:v>
                </c:pt>
                <c:pt idx="52">
                  <c:v>8.94</c:v>
                </c:pt>
                <c:pt idx="53">
                  <c:v>6.0419999999999989</c:v>
                </c:pt>
                <c:pt idx="54">
                  <c:v>0.45440000000000014</c:v>
                </c:pt>
                <c:pt idx="55">
                  <c:v>0</c:v>
                </c:pt>
                <c:pt idx="56">
                  <c:v>9.74</c:v>
                </c:pt>
                <c:pt idx="57">
                  <c:v>9.3000000000000007</c:v>
                </c:pt>
              </c:numCache>
            </c:numRef>
          </c:val>
          <c:extLst>
            <c:ext xmlns:c16="http://schemas.microsoft.com/office/drawing/2014/chart" uri="{C3380CC4-5D6E-409C-BE32-E72D297353CC}">
              <c16:uniqueId val="{00000000-18D5-40EE-8A61-2DABFFFD4823}"/>
            </c:ext>
          </c:extLst>
        </c:ser>
        <c:ser>
          <c:idx val="1"/>
          <c:order val="1"/>
          <c:tx>
            <c:strRef>
              <c:f>БВ_по_дням!$C$3:$C$4</c:f>
              <c:strCache>
                <c:ptCount val="1"/>
                <c:pt idx="0">
                  <c:v>Сумма по полю ПНВ</c:v>
                </c:pt>
              </c:strCache>
            </c:strRef>
          </c:tx>
          <c:spPr>
            <a:solidFill>
              <a:srgbClr val="FFC000"/>
            </a:solidFill>
            <a:ln>
              <a:noFill/>
              <a:prstDash val="solid"/>
            </a:ln>
          </c:spPr>
          <c:invertIfNegative val="0"/>
          <c:cat>
            <c:multiLvlStrRef>
              <c:f>БВ_по_дням!$A$5:$A$67</c:f>
              <c:multiLvlStrCache>
                <c:ptCount val="58"/>
                <c:lvl>
                  <c:pt idx="0">
                    <c:v>15 мая 2026 г.</c:v>
                  </c:pt>
                  <c:pt idx="1">
                    <c:v>16 мая 2026 г.</c:v>
                  </c:pt>
                  <c:pt idx="2">
                    <c:v>17 мая 2026 г.</c:v>
                  </c:pt>
                  <c:pt idx="3">
                    <c:v>18 мая 2026 г.</c:v>
                  </c:pt>
                  <c:pt idx="4">
                    <c:v>20 мая 2026 г.</c:v>
                  </c:pt>
                  <c:pt idx="5">
                    <c:v>21 мая 2026 г.</c:v>
                  </c:pt>
                  <c:pt idx="6">
                    <c:v>22 мая 2026 г.</c:v>
                  </c:pt>
                  <c:pt idx="7">
                    <c:v>24 мая 2026 г.</c:v>
                  </c:pt>
                  <c:pt idx="8">
                    <c:v>25 мая 2026 г.</c:v>
                  </c:pt>
                  <c:pt idx="9">
                    <c:v>26 мая 2026 г.</c:v>
                  </c:pt>
                  <c:pt idx="10">
                    <c:v>27 мая 2026 г.</c:v>
                  </c:pt>
                  <c:pt idx="11">
                    <c:v>28 мая 2026 г.</c:v>
                  </c:pt>
                  <c:pt idx="12">
                    <c:v>29 мая 2026 г.</c:v>
                  </c:pt>
                  <c:pt idx="13">
                    <c:v>30 мая 2026 г.</c:v>
                  </c:pt>
                  <c:pt idx="14">
                    <c:v>31 мая 2026 г.</c:v>
                  </c:pt>
                  <c:pt idx="15">
                    <c:v>20 мая 2026 г.</c:v>
                  </c:pt>
                  <c:pt idx="16">
                    <c:v>21 мая 2026 г.</c:v>
                  </c:pt>
                  <c:pt idx="17">
                    <c:v>22 мая 2026 г.</c:v>
                  </c:pt>
                  <c:pt idx="18">
                    <c:v>23 мая 2026 г.</c:v>
                  </c:pt>
                  <c:pt idx="19">
                    <c:v>24 мая 2026 г.</c:v>
                  </c:pt>
                  <c:pt idx="20">
                    <c:v>25 мая 2026 г.</c:v>
                  </c:pt>
                  <c:pt idx="21">
                    <c:v>26 мая 2026 г.</c:v>
                  </c:pt>
                  <c:pt idx="22">
                    <c:v>27 мая 2026 г.</c:v>
                  </c:pt>
                  <c:pt idx="23">
                    <c:v>28 мая 2026 г.</c:v>
                  </c:pt>
                  <c:pt idx="24">
                    <c:v>29 мая 2026 г.</c:v>
                  </c:pt>
                  <c:pt idx="25">
                    <c:v>30 мая 2026 г.</c:v>
                  </c:pt>
                  <c:pt idx="26">
                    <c:v>31 мая 2026 г.</c:v>
                  </c:pt>
                  <c:pt idx="27">
                    <c:v>03 мая 2026 г.</c:v>
                  </c:pt>
                  <c:pt idx="28">
                    <c:v>04 мая 2026 г.</c:v>
                  </c:pt>
                  <c:pt idx="29">
                    <c:v>05 мая 2026 г.</c:v>
                  </c:pt>
                  <c:pt idx="30">
                    <c:v>06 мая 2026 г.</c:v>
                  </c:pt>
                  <c:pt idx="31">
                    <c:v>07 мая 2026 г.</c:v>
                  </c:pt>
                  <c:pt idx="32">
                    <c:v>08 мая 2026 г.</c:v>
                  </c:pt>
                  <c:pt idx="33">
                    <c:v>09 мая 2026 г.</c:v>
                  </c:pt>
                  <c:pt idx="34">
                    <c:v>10 мая 2026 г.</c:v>
                  </c:pt>
                  <c:pt idx="35">
                    <c:v>11 мая 2026 г.</c:v>
                  </c:pt>
                  <c:pt idx="36">
                    <c:v>12 мая 2026 г.</c:v>
                  </c:pt>
                  <c:pt idx="37">
                    <c:v>13 мая 2026 г.</c:v>
                  </c:pt>
                  <c:pt idx="38">
                    <c:v>14 мая 2026 г.</c:v>
                  </c:pt>
                  <c:pt idx="39">
                    <c:v>15 мая 2026 г.</c:v>
                  </c:pt>
                  <c:pt idx="40">
                    <c:v>16 мая 2026 г.</c:v>
                  </c:pt>
                  <c:pt idx="41">
                    <c:v>17 мая 2026 г.</c:v>
                  </c:pt>
                  <c:pt idx="42">
                    <c:v>18 мая 2026 г.</c:v>
                  </c:pt>
                  <c:pt idx="43">
                    <c:v>19 мая 2026 г.</c:v>
                  </c:pt>
                  <c:pt idx="44">
                    <c:v>20 мая 2026 г.</c:v>
                  </c:pt>
                  <c:pt idx="45">
                    <c:v>02 мая 2026 г.</c:v>
                  </c:pt>
                  <c:pt idx="46">
                    <c:v>03 мая 2026 г.</c:v>
                  </c:pt>
                  <c:pt idx="47">
                    <c:v>04 мая 2026 г.</c:v>
                  </c:pt>
                  <c:pt idx="48">
                    <c:v>05 мая 2026 г.</c:v>
                  </c:pt>
                  <c:pt idx="49">
                    <c:v>06 мая 2026 г.</c:v>
                  </c:pt>
                  <c:pt idx="50">
                    <c:v>07 мая 2026 г.</c:v>
                  </c:pt>
                  <c:pt idx="51">
                    <c:v>08 мая 2026 г.</c:v>
                  </c:pt>
                  <c:pt idx="52">
                    <c:v>09 мая 2026 г.</c:v>
                  </c:pt>
                  <c:pt idx="53">
                    <c:v>10 мая 2026 г.</c:v>
                  </c:pt>
                  <c:pt idx="54">
                    <c:v>11 мая 2026 г.</c:v>
                  </c:pt>
                  <c:pt idx="55">
                    <c:v>12 мая 2026 г.</c:v>
                  </c:pt>
                  <c:pt idx="56">
                    <c:v>13 мая 2026 г.</c:v>
                  </c:pt>
                  <c:pt idx="57">
                    <c:v>14 мая 2026 г.</c:v>
                  </c:pt>
                </c:lvl>
                <c:lvl>
                  <c:pt idx="0">
                    <c:v>Тарасов А.С.</c:v>
                  </c:pt>
                  <c:pt idx="15">
                    <c:v>Епифанов Д.Б.</c:v>
                  </c:pt>
                  <c:pt idx="27">
                    <c:v>Жабин П.П.</c:v>
                  </c:pt>
                  <c:pt idx="45">
                    <c:v>Вдовин И.О.</c:v>
                  </c:pt>
                </c:lvl>
              </c:multiLvlStrCache>
            </c:multiLvlStrRef>
          </c:cat>
          <c:val>
            <c:numRef>
              <c:f>БВ_по_дням!$C$5:$C$67</c:f>
              <c:numCache>
                <c:formatCode>0</c:formatCode>
                <c:ptCount val="58"/>
                <c:pt idx="0">
                  <c:v>4.0255999999999998</c:v>
                </c:pt>
                <c:pt idx="1">
                  <c:v>3.16</c:v>
                </c:pt>
                <c:pt idx="2">
                  <c:v>0</c:v>
                </c:pt>
                <c:pt idx="3">
                  <c:v>0</c:v>
                </c:pt>
                <c:pt idx="4">
                  <c:v>8.98</c:v>
                </c:pt>
                <c:pt idx="5">
                  <c:v>3.0019999999999998</c:v>
                </c:pt>
                <c:pt idx="6">
                  <c:v>3.1312000000000015</c:v>
                </c:pt>
                <c:pt idx="7">
                  <c:v>0.29000000000000004</c:v>
                </c:pt>
                <c:pt idx="8">
                  <c:v>2.3900000000000006</c:v>
                </c:pt>
                <c:pt idx="9">
                  <c:v>0.35999999999999988</c:v>
                </c:pt>
                <c:pt idx="10">
                  <c:v>5.81</c:v>
                </c:pt>
                <c:pt idx="11">
                  <c:v>0</c:v>
                </c:pt>
                <c:pt idx="12">
                  <c:v>0</c:v>
                </c:pt>
                <c:pt idx="13">
                  <c:v>0</c:v>
                </c:pt>
                <c:pt idx="14">
                  <c:v>0</c:v>
                </c:pt>
                <c:pt idx="15">
                  <c:v>2</c:v>
                </c:pt>
                <c:pt idx="16">
                  <c:v>10</c:v>
                </c:pt>
                <c:pt idx="17">
                  <c:v>0</c:v>
                </c:pt>
                <c:pt idx="18">
                  <c:v>24</c:v>
                </c:pt>
                <c:pt idx="19">
                  <c:v>7.13</c:v>
                </c:pt>
                <c:pt idx="20">
                  <c:v>4.4499999999999993</c:v>
                </c:pt>
                <c:pt idx="21">
                  <c:v>1.03</c:v>
                </c:pt>
                <c:pt idx="22">
                  <c:v>0</c:v>
                </c:pt>
                <c:pt idx="23">
                  <c:v>0</c:v>
                </c:pt>
                <c:pt idx="24">
                  <c:v>16.07</c:v>
                </c:pt>
                <c:pt idx="25">
                  <c:v>0</c:v>
                </c:pt>
                <c:pt idx="26">
                  <c:v>0</c:v>
                </c:pt>
                <c:pt idx="27">
                  <c:v>0.33999999999999986</c:v>
                </c:pt>
                <c:pt idx="28">
                  <c:v>3.52</c:v>
                </c:pt>
                <c:pt idx="29">
                  <c:v>0</c:v>
                </c:pt>
                <c:pt idx="30">
                  <c:v>6.07</c:v>
                </c:pt>
                <c:pt idx="31">
                  <c:v>0</c:v>
                </c:pt>
                <c:pt idx="32">
                  <c:v>7</c:v>
                </c:pt>
                <c:pt idx="33">
                  <c:v>7</c:v>
                </c:pt>
                <c:pt idx="34">
                  <c:v>7</c:v>
                </c:pt>
                <c:pt idx="35">
                  <c:v>6.9999999999999991</c:v>
                </c:pt>
                <c:pt idx="36">
                  <c:v>6.4960000000000004</c:v>
                </c:pt>
                <c:pt idx="37">
                  <c:v>0</c:v>
                </c:pt>
                <c:pt idx="38">
                  <c:v>0</c:v>
                </c:pt>
                <c:pt idx="39">
                  <c:v>6.9999999999999991</c:v>
                </c:pt>
                <c:pt idx="40">
                  <c:v>0</c:v>
                </c:pt>
                <c:pt idx="41">
                  <c:v>0</c:v>
                </c:pt>
                <c:pt idx="42">
                  <c:v>0</c:v>
                </c:pt>
                <c:pt idx="43">
                  <c:v>0</c:v>
                </c:pt>
                <c:pt idx="44">
                  <c:v>0</c:v>
                </c:pt>
                <c:pt idx="45">
                  <c:v>0</c:v>
                </c:pt>
                <c:pt idx="46">
                  <c:v>3.16</c:v>
                </c:pt>
                <c:pt idx="47">
                  <c:v>4.04</c:v>
                </c:pt>
                <c:pt idx="48">
                  <c:v>4.6100000000000003</c:v>
                </c:pt>
                <c:pt idx="49">
                  <c:v>4.5</c:v>
                </c:pt>
                <c:pt idx="50">
                  <c:v>10.030000000000001</c:v>
                </c:pt>
                <c:pt idx="51">
                  <c:v>17</c:v>
                </c:pt>
                <c:pt idx="52">
                  <c:v>4.0600000000000005</c:v>
                </c:pt>
                <c:pt idx="53">
                  <c:v>10.958000000000002</c:v>
                </c:pt>
                <c:pt idx="54">
                  <c:v>16.5456</c:v>
                </c:pt>
                <c:pt idx="55">
                  <c:v>8</c:v>
                </c:pt>
                <c:pt idx="56">
                  <c:v>2.2599999999999998</c:v>
                </c:pt>
                <c:pt idx="57">
                  <c:v>3.7</c:v>
                </c:pt>
              </c:numCache>
            </c:numRef>
          </c:val>
          <c:extLst>
            <c:ext xmlns:c16="http://schemas.microsoft.com/office/drawing/2014/chart" uri="{C3380CC4-5D6E-409C-BE32-E72D297353CC}">
              <c16:uniqueId val="{00000001-18D5-40EE-8A61-2DABFFFD4823}"/>
            </c:ext>
          </c:extLst>
        </c:ser>
        <c:ser>
          <c:idx val="2"/>
          <c:order val="2"/>
          <c:tx>
            <c:strRef>
              <c:f>БВ_по_дням!$D$3:$D$4</c:f>
              <c:strCache>
                <c:ptCount val="1"/>
                <c:pt idx="0">
                  <c:v>Сумма по полю НПВ</c:v>
                </c:pt>
              </c:strCache>
            </c:strRef>
          </c:tx>
          <c:spPr>
            <a:solidFill>
              <a:srgbClr val="C00000"/>
            </a:solidFill>
            <a:ln>
              <a:noFill/>
              <a:prstDash val="solid"/>
            </a:ln>
          </c:spPr>
          <c:invertIfNegative val="0"/>
          <c:cat>
            <c:multiLvlStrRef>
              <c:f>БВ_по_дням!$A$5:$A$67</c:f>
              <c:multiLvlStrCache>
                <c:ptCount val="58"/>
                <c:lvl>
                  <c:pt idx="0">
                    <c:v>15 мая 2026 г.</c:v>
                  </c:pt>
                  <c:pt idx="1">
                    <c:v>16 мая 2026 г.</c:v>
                  </c:pt>
                  <c:pt idx="2">
                    <c:v>17 мая 2026 г.</c:v>
                  </c:pt>
                  <c:pt idx="3">
                    <c:v>18 мая 2026 г.</c:v>
                  </c:pt>
                  <c:pt idx="4">
                    <c:v>20 мая 2026 г.</c:v>
                  </c:pt>
                  <c:pt idx="5">
                    <c:v>21 мая 2026 г.</c:v>
                  </c:pt>
                  <c:pt idx="6">
                    <c:v>22 мая 2026 г.</c:v>
                  </c:pt>
                  <c:pt idx="7">
                    <c:v>24 мая 2026 г.</c:v>
                  </c:pt>
                  <c:pt idx="8">
                    <c:v>25 мая 2026 г.</c:v>
                  </c:pt>
                  <c:pt idx="9">
                    <c:v>26 мая 2026 г.</c:v>
                  </c:pt>
                  <c:pt idx="10">
                    <c:v>27 мая 2026 г.</c:v>
                  </c:pt>
                  <c:pt idx="11">
                    <c:v>28 мая 2026 г.</c:v>
                  </c:pt>
                  <c:pt idx="12">
                    <c:v>29 мая 2026 г.</c:v>
                  </c:pt>
                  <c:pt idx="13">
                    <c:v>30 мая 2026 г.</c:v>
                  </c:pt>
                  <c:pt idx="14">
                    <c:v>31 мая 2026 г.</c:v>
                  </c:pt>
                  <c:pt idx="15">
                    <c:v>20 мая 2026 г.</c:v>
                  </c:pt>
                  <c:pt idx="16">
                    <c:v>21 мая 2026 г.</c:v>
                  </c:pt>
                  <c:pt idx="17">
                    <c:v>22 мая 2026 г.</c:v>
                  </c:pt>
                  <c:pt idx="18">
                    <c:v>23 мая 2026 г.</c:v>
                  </c:pt>
                  <c:pt idx="19">
                    <c:v>24 мая 2026 г.</c:v>
                  </c:pt>
                  <c:pt idx="20">
                    <c:v>25 мая 2026 г.</c:v>
                  </c:pt>
                  <c:pt idx="21">
                    <c:v>26 мая 2026 г.</c:v>
                  </c:pt>
                  <c:pt idx="22">
                    <c:v>27 мая 2026 г.</c:v>
                  </c:pt>
                  <c:pt idx="23">
                    <c:v>28 мая 2026 г.</c:v>
                  </c:pt>
                  <c:pt idx="24">
                    <c:v>29 мая 2026 г.</c:v>
                  </c:pt>
                  <c:pt idx="25">
                    <c:v>30 мая 2026 г.</c:v>
                  </c:pt>
                  <c:pt idx="26">
                    <c:v>31 мая 2026 г.</c:v>
                  </c:pt>
                  <c:pt idx="27">
                    <c:v>03 мая 2026 г.</c:v>
                  </c:pt>
                  <c:pt idx="28">
                    <c:v>04 мая 2026 г.</c:v>
                  </c:pt>
                  <c:pt idx="29">
                    <c:v>05 мая 2026 г.</c:v>
                  </c:pt>
                  <c:pt idx="30">
                    <c:v>06 мая 2026 г.</c:v>
                  </c:pt>
                  <c:pt idx="31">
                    <c:v>07 мая 2026 г.</c:v>
                  </c:pt>
                  <c:pt idx="32">
                    <c:v>08 мая 2026 г.</c:v>
                  </c:pt>
                  <c:pt idx="33">
                    <c:v>09 мая 2026 г.</c:v>
                  </c:pt>
                  <c:pt idx="34">
                    <c:v>10 мая 2026 г.</c:v>
                  </c:pt>
                  <c:pt idx="35">
                    <c:v>11 мая 2026 г.</c:v>
                  </c:pt>
                  <c:pt idx="36">
                    <c:v>12 мая 2026 г.</c:v>
                  </c:pt>
                  <c:pt idx="37">
                    <c:v>13 мая 2026 г.</c:v>
                  </c:pt>
                  <c:pt idx="38">
                    <c:v>14 мая 2026 г.</c:v>
                  </c:pt>
                  <c:pt idx="39">
                    <c:v>15 мая 2026 г.</c:v>
                  </c:pt>
                  <c:pt idx="40">
                    <c:v>16 мая 2026 г.</c:v>
                  </c:pt>
                  <c:pt idx="41">
                    <c:v>17 мая 2026 г.</c:v>
                  </c:pt>
                  <c:pt idx="42">
                    <c:v>18 мая 2026 г.</c:v>
                  </c:pt>
                  <c:pt idx="43">
                    <c:v>19 мая 2026 г.</c:v>
                  </c:pt>
                  <c:pt idx="44">
                    <c:v>20 мая 2026 г.</c:v>
                  </c:pt>
                  <c:pt idx="45">
                    <c:v>02 мая 2026 г.</c:v>
                  </c:pt>
                  <c:pt idx="46">
                    <c:v>03 мая 2026 г.</c:v>
                  </c:pt>
                  <c:pt idx="47">
                    <c:v>04 мая 2026 г.</c:v>
                  </c:pt>
                  <c:pt idx="48">
                    <c:v>05 мая 2026 г.</c:v>
                  </c:pt>
                  <c:pt idx="49">
                    <c:v>06 мая 2026 г.</c:v>
                  </c:pt>
                  <c:pt idx="50">
                    <c:v>07 мая 2026 г.</c:v>
                  </c:pt>
                  <c:pt idx="51">
                    <c:v>08 мая 2026 г.</c:v>
                  </c:pt>
                  <c:pt idx="52">
                    <c:v>09 мая 2026 г.</c:v>
                  </c:pt>
                  <c:pt idx="53">
                    <c:v>10 мая 2026 г.</c:v>
                  </c:pt>
                  <c:pt idx="54">
                    <c:v>11 мая 2026 г.</c:v>
                  </c:pt>
                  <c:pt idx="55">
                    <c:v>12 мая 2026 г.</c:v>
                  </c:pt>
                  <c:pt idx="56">
                    <c:v>13 мая 2026 г.</c:v>
                  </c:pt>
                  <c:pt idx="57">
                    <c:v>14 мая 2026 г.</c:v>
                  </c:pt>
                </c:lvl>
                <c:lvl>
                  <c:pt idx="0">
                    <c:v>Тарасов А.С.</c:v>
                  </c:pt>
                  <c:pt idx="15">
                    <c:v>Епифанов Д.Б.</c:v>
                  </c:pt>
                  <c:pt idx="27">
                    <c:v>Жабин П.П.</c:v>
                  </c:pt>
                  <c:pt idx="45">
                    <c:v>Вдовин И.О.</c:v>
                  </c:pt>
                </c:lvl>
              </c:multiLvlStrCache>
            </c:multiLvlStrRef>
          </c:cat>
          <c:val>
            <c:numRef>
              <c:f>БВ_по_дням!$D$5:$D$67</c:f>
              <c:numCache>
                <c:formatCode>0</c:formatCode>
                <c:ptCount val="58"/>
                <c:pt idx="0">
                  <c:v>12</c:v>
                </c:pt>
                <c:pt idx="1">
                  <c:v>0</c:v>
                </c:pt>
                <c:pt idx="2">
                  <c:v>17</c:v>
                </c:pt>
                <c:pt idx="3">
                  <c:v>2</c:v>
                </c:pt>
                <c:pt idx="4">
                  <c:v>0</c:v>
                </c:pt>
                <c:pt idx="5">
                  <c:v>0</c:v>
                </c:pt>
                <c:pt idx="6">
                  <c:v>0</c:v>
                </c:pt>
                <c:pt idx="7">
                  <c:v>0</c:v>
                </c:pt>
                <c:pt idx="8">
                  <c:v>5.5</c:v>
                </c:pt>
                <c:pt idx="9">
                  <c:v>10</c:v>
                </c:pt>
                <c:pt idx="10">
                  <c:v>0</c:v>
                </c:pt>
                <c:pt idx="11">
                  <c:v>9</c:v>
                </c:pt>
                <c:pt idx="12">
                  <c:v>0</c:v>
                </c:pt>
                <c:pt idx="13">
                  <c:v>3.5</c:v>
                </c:pt>
                <c:pt idx="14">
                  <c:v>12</c:v>
                </c:pt>
                <c:pt idx="15">
                  <c:v>0</c:v>
                </c:pt>
                <c:pt idx="16">
                  <c:v>0</c:v>
                </c:pt>
                <c:pt idx="17">
                  <c:v>0</c:v>
                </c:pt>
                <c:pt idx="18">
                  <c:v>0</c:v>
                </c:pt>
                <c:pt idx="19">
                  <c:v>0</c:v>
                </c:pt>
                <c:pt idx="20">
                  <c:v>0</c:v>
                </c:pt>
                <c:pt idx="21">
                  <c:v>8</c:v>
                </c:pt>
                <c:pt idx="22">
                  <c:v>10</c:v>
                </c:pt>
                <c:pt idx="23">
                  <c:v>0</c:v>
                </c:pt>
                <c:pt idx="24">
                  <c:v>0</c:v>
                </c:pt>
                <c:pt idx="25">
                  <c:v>0</c:v>
                </c:pt>
                <c:pt idx="26">
                  <c:v>0</c:v>
                </c:pt>
                <c:pt idx="27">
                  <c:v>0</c:v>
                </c:pt>
                <c:pt idx="28">
                  <c:v>3</c:v>
                </c:pt>
                <c:pt idx="29">
                  <c:v>0</c:v>
                </c:pt>
                <c:pt idx="30">
                  <c:v>0</c:v>
                </c:pt>
                <c:pt idx="31">
                  <c:v>0</c:v>
                </c:pt>
                <c:pt idx="32">
                  <c:v>0</c:v>
                </c:pt>
                <c:pt idx="33">
                  <c:v>0</c:v>
                </c:pt>
                <c:pt idx="34">
                  <c:v>0</c:v>
                </c:pt>
                <c:pt idx="35">
                  <c:v>0</c:v>
                </c:pt>
                <c:pt idx="36">
                  <c:v>0</c:v>
                </c:pt>
                <c:pt idx="37">
                  <c:v>7</c:v>
                </c:pt>
                <c:pt idx="38">
                  <c:v>0</c:v>
                </c:pt>
                <c:pt idx="39">
                  <c:v>0</c:v>
                </c:pt>
                <c:pt idx="40">
                  <c:v>16</c:v>
                </c:pt>
                <c:pt idx="41">
                  <c:v>7</c:v>
                </c:pt>
                <c:pt idx="42">
                  <c:v>14</c:v>
                </c:pt>
                <c:pt idx="43">
                  <c:v>24</c:v>
                </c:pt>
                <c:pt idx="44">
                  <c:v>5</c:v>
                </c:pt>
                <c:pt idx="45">
                  <c:v>0</c:v>
                </c:pt>
                <c:pt idx="46">
                  <c:v>6</c:v>
                </c:pt>
                <c:pt idx="47">
                  <c:v>0</c:v>
                </c:pt>
                <c:pt idx="48">
                  <c:v>0</c:v>
                </c:pt>
                <c:pt idx="49">
                  <c:v>0</c:v>
                </c:pt>
                <c:pt idx="50">
                  <c:v>0</c:v>
                </c:pt>
                <c:pt idx="51">
                  <c:v>0</c:v>
                </c:pt>
                <c:pt idx="52">
                  <c:v>4</c:v>
                </c:pt>
                <c:pt idx="53">
                  <c:v>0</c:v>
                </c:pt>
                <c:pt idx="54">
                  <c:v>0</c:v>
                </c:pt>
                <c:pt idx="55">
                  <c:v>9</c:v>
                </c:pt>
                <c:pt idx="56">
                  <c:v>5</c:v>
                </c:pt>
                <c:pt idx="57">
                  <c:v>4</c:v>
                </c:pt>
              </c:numCache>
            </c:numRef>
          </c:val>
          <c:extLst>
            <c:ext xmlns:c16="http://schemas.microsoft.com/office/drawing/2014/chart" uri="{C3380CC4-5D6E-409C-BE32-E72D297353CC}">
              <c16:uniqueId val="{00000002-18D5-40EE-8A61-2DABFFFD4823}"/>
            </c:ext>
          </c:extLst>
        </c:ser>
        <c:dLbls>
          <c:showLegendKey val="0"/>
          <c:showVal val="0"/>
          <c:showCatName val="0"/>
          <c:showSerName val="0"/>
          <c:showPercent val="0"/>
          <c:showBubbleSize val="0"/>
        </c:dLbls>
        <c:gapWidth val="0"/>
        <c:overlap val="100"/>
        <c:axId val="644149295"/>
        <c:axId val="458405087"/>
      </c:barChart>
      <c:catAx>
        <c:axId val="644149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1100" b="0" i="0" strike="noStrike" kern="1200" baseline="0">
                <a:solidFill>
                  <a:schemeClr val="tx1"/>
                </a:solidFill>
                <a:latin typeface="Century Gothic" panose="020B0502020202020204" pitchFamily="34" charset="0"/>
                <a:ea typeface="+mn-ea"/>
                <a:cs typeface="+mn-cs"/>
              </a:defRPr>
            </a:pPr>
            <a:endParaRPr lang="ru-RU"/>
          </a:p>
        </c:txPr>
        <c:crossAx val="458405087"/>
        <c:crosses val="autoZero"/>
        <c:auto val="1"/>
        <c:lblAlgn val="ctr"/>
        <c:lblOffset val="100"/>
        <c:noMultiLvlLbl val="0"/>
      </c:catAx>
      <c:valAx>
        <c:axId val="458405087"/>
        <c:scaling>
          <c:orientation val="minMax"/>
        </c:scaling>
        <c:delete val="1"/>
        <c:axPos val="l"/>
        <c:numFmt formatCode="0%" sourceLinked="1"/>
        <c:majorTickMark val="none"/>
        <c:minorTickMark val="none"/>
        <c:tickLblPos val="nextTo"/>
        <c:crossAx val="644149295"/>
        <c:crosses val="autoZero"/>
        <c:crossBetween val="between"/>
      </c:valAx>
    </c:plotArea>
    <c:plotVisOnly val="1"/>
    <c:dispBlanksAs val="gap"/>
    <c:showDLblsOverMax val="1"/>
  </c:chart>
  <c:spPr>
    <a:solidFill>
      <a:schemeClr val="bg1">
        <a:lumMod val="95000"/>
      </a:schemeClr>
    </a:solidFill>
    <a:ln w="9525" cap="flat" cmpd="sng" algn="ctr">
      <a:noFill/>
      <a:prstDash val="solid"/>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pivotSource>
    <c:name>[КРС-3 обнова планирование.xlsx]Топ_ПНВ!Топ_НПВ_по_группам</c:name>
    <c:fmtId val="8"/>
  </c:pivotSource>
  <c:chart>
    <c:title>
      <c:tx>
        <c:rich>
          <a:bodyPr rot="0" spcFirstLastPara="1" vertOverflow="ellipsis" vert="horz" wrap="square" anchor="ctr" anchorCtr="1"/>
          <a:lstStyle/>
          <a:p>
            <a:pPr>
              <a:defRPr sz="1400" b="0" i="0" strike="noStrike" kern="1200" spc="0" baseline="0">
                <a:solidFill>
                  <a:schemeClr val="tx1"/>
                </a:solidFill>
                <a:latin typeface="Century Gothic" panose="020B0502020202020204" pitchFamily="34" charset="0"/>
                <a:ea typeface="+mn-ea"/>
                <a:cs typeface="+mn-cs"/>
              </a:defRPr>
            </a:pPr>
            <a:r>
              <a:rPr lang="ru-RU"/>
              <a:t>Топ ПНВ по группам, часы</a:t>
            </a:r>
          </a:p>
        </c:rich>
      </c:tx>
      <c:overlay val="0"/>
      <c:spPr>
        <a:noFill/>
        <a:ln>
          <a:noFill/>
          <a:prstDash val="solid"/>
        </a:ln>
      </c:spPr>
    </c:title>
    <c:autoTitleDeleted val="0"/>
    <c:pivotFmts>
      <c:pivotFmt>
        <c:idx val="0"/>
        <c:spPr>
          <a:solidFill>
            <a:srgbClr val="C00000"/>
          </a:solidFill>
          <a:ln>
            <a:noFill/>
            <a:prstDash val="solid"/>
          </a:ln>
        </c:spPr>
        <c:marker>
          <c:symbol val="none"/>
        </c:marker>
        <c:dLbl>
          <c:idx val="0"/>
          <c:spPr>
            <a:noFill/>
            <a:ln>
              <a:noFill/>
              <a:prstDash val="solid"/>
            </a:ln>
          </c:spPr>
          <c:txPr>
            <a:bodyPr rot="0" spcFirstLastPara="1" vertOverflow="ellipsis" vert="horz" wrap="square" anchor="ctr" anchorCtr="1"/>
            <a:lstStyle/>
            <a:p>
              <a:pPr>
                <a:defRPr sz="900" b="1" i="0" strike="noStrike" kern="1200" baseline="0">
                  <a:solidFill>
                    <a:schemeClr val="tx1"/>
                  </a:solidFill>
                  <a:latin typeface="Century Gothic" panose="020B0502020202020204" pitchFamily="34" charset="0"/>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prstDash val="solid"/>
          </a:ln>
        </c:spPr>
        <c:marker>
          <c:symbol val="none"/>
        </c:marker>
        <c:dLbl>
          <c:idx val="0"/>
          <c:spPr>
            <a:noFill/>
            <a:ln>
              <a:noFill/>
              <a:prstDash val="solid"/>
            </a:ln>
          </c:spPr>
          <c:txPr>
            <a:bodyPr rot="0" spcFirstLastPara="1" vertOverflow="ellipsis" vert="horz" wrap="square" anchor="ctr" anchorCtr="1"/>
            <a:lstStyle/>
            <a:p>
              <a:pPr>
                <a:defRPr sz="900" b="1" i="0" strike="noStrike" kern="1200" baseline="0">
                  <a:solidFill>
                    <a:schemeClr val="tx1"/>
                  </a:solidFill>
                  <a:latin typeface="Century Gothic" panose="020B0502020202020204" pitchFamily="34" charset="0"/>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prstDash val="solid"/>
          </a:ln>
        </c:spPr>
        <c:marker>
          <c:symbol val="none"/>
        </c:marker>
        <c:dLbl>
          <c:idx val="0"/>
          <c:spPr>
            <a:noFill/>
            <a:ln>
              <a:noFill/>
              <a:prstDash val="solid"/>
            </a:ln>
          </c:spPr>
          <c:txPr>
            <a:bodyPr rot="0" spcFirstLastPara="1" vertOverflow="ellipsis" vert="horz" wrap="square" anchor="ctr" anchorCtr="1"/>
            <a:lstStyle/>
            <a:p>
              <a:pPr>
                <a:defRPr sz="900" b="1" i="0" strike="noStrike" kern="1200" baseline="0">
                  <a:solidFill>
                    <a:schemeClr val="tx1"/>
                  </a:solidFill>
                  <a:latin typeface="Century Gothic" panose="020B0502020202020204" pitchFamily="34" charset="0"/>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00000"/>
          </a:solidFill>
          <a:ln>
            <a:noFill/>
            <a:prstDash val="solid"/>
          </a:ln>
        </c:spPr>
        <c:marker>
          <c:symbol val="none"/>
        </c:marker>
        <c:dLbl>
          <c:idx val="0"/>
          <c:spPr>
            <a:noFill/>
            <a:ln>
              <a:noFill/>
              <a:prstDash val="solid"/>
            </a:ln>
          </c:spPr>
          <c:txPr>
            <a:bodyPr rot="0" spcFirstLastPara="1" vertOverflow="ellipsis" vert="horz" wrap="square" anchor="ctr" anchorCtr="1"/>
            <a:lstStyle/>
            <a:p>
              <a:pPr>
                <a:defRPr sz="900" b="1" i="0" strike="noStrike" kern="1200" baseline="0">
                  <a:solidFill>
                    <a:schemeClr val="tx1"/>
                  </a:solidFill>
                  <a:latin typeface="Century Gothic" panose="020B0502020202020204" pitchFamily="34" charset="0"/>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C000"/>
          </a:solidFill>
          <a:ln>
            <a:noFill/>
            <a:prstDash val="solid"/>
          </a:ln>
        </c:spPr>
        <c:marker>
          <c:symbol val="none"/>
        </c:marker>
        <c:dLbl>
          <c:idx val="0"/>
          <c:spPr>
            <a:noFill/>
            <a:ln>
              <a:noFill/>
              <a:prstDash val="solid"/>
            </a:ln>
          </c:spPr>
          <c:txPr>
            <a:bodyPr rot="0" spcFirstLastPara="1" vertOverflow="ellipsis" vert="horz" wrap="square" anchor="ctr" anchorCtr="1"/>
            <a:lstStyle/>
            <a:p>
              <a:pPr>
                <a:defRPr sz="1600" b="1" i="0" strike="noStrike" kern="1200" baseline="0">
                  <a:solidFill>
                    <a:schemeClr val="tx1"/>
                  </a:solidFill>
                  <a:latin typeface="Century Gothic" panose="020B0502020202020204" pitchFamily="34" charset="0"/>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Топ_ПНВ!$B$3</c:f>
              <c:strCache>
                <c:ptCount val="1"/>
                <c:pt idx="0">
                  <c:v>Итог</c:v>
                </c:pt>
              </c:strCache>
            </c:strRef>
          </c:tx>
          <c:spPr>
            <a:solidFill>
              <a:srgbClr val="FFC000"/>
            </a:solidFill>
            <a:ln>
              <a:noFill/>
              <a:prstDash val="solid"/>
            </a:ln>
          </c:spPr>
          <c:invertIfNegative val="0"/>
          <c:dLbls>
            <c:spPr>
              <a:noFill/>
              <a:ln>
                <a:noFill/>
                <a:prstDash val="solid"/>
              </a:ln>
            </c:spPr>
            <c:txPr>
              <a:bodyPr rot="0" spcFirstLastPara="1" vertOverflow="ellipsis" vert="horz" wrap="square" anchor="ctr" anchorCtr="1"/>
              <a:lstStyle/>
              <a:p>
                <a:pPr>
                  <a:defRPr sz="1600" b="1" i="0" strike="noStrike" kern="1200" baseline="0">
                    <a:solidFill>
                      <a:schemeClr val="tx1"/>
                    </a:solidFill>
                    <a:latin typeface="Century Gothic" panose="020B0502020202020204" pitchFamily="34" charset="0"/>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Топ_ПНВ!$A$4:$A$7</c:f>
              <c:strCache>
                <c:ptCount val="3"/>
                <c:pt idx="0">
                  <c:v>Циркуляция</c:v>
                </c:pt>
                <c:pt idx="1">
                  <c:v>Монтаж_демонтаж</c:v>
                </c:pt>
                <c:pt idx="2">
                  <c:v>СПО</c:v>
                </c:pt>
              </c:strCache>
            </c:strRef>
          </c:cat>
          <c:val>
            <c:numRef>
              <c:f>Топ_ПНВ!$B$4:$B$7</c:f>
              <c:numCache>
                <c:formatCode>0</c:formatCode>
                <c:ptCount val="3"/>
                <c:pt idx="0">
                  <c:v>149.31</c:v>
                </c:pt>
                <c:pt idx="1">
                  <c:v>141.41400000000002</c:v>
                </c:pt>
                <c:pt idx="2">
                  <c:v>55.861999999999995</c:v>
                </c:pt>
              </c:numCache>
            </c:numRef>
          </c:val>
          <c:extLst>
            <c:ext xmlns:c16="http://schemas.microsoft.com/office/drawing/2014/chart" uri="{C3380CC4-5D6E-409C-BE32-E72D297353CC}">
              <c16:uniqueId val="{00000000-8BE9-428E-A375-DF3CC4B32007}"/>
            </c:ext>
          </c:extLst>
        </c:ser>
        <c:dLbls>
          <c:showLegendKey val="0"/>
          <c:showVal val="0"/>
          <c:showCatName val="0"/>
          <c:showSerName val="0"/>
          <c:showPercent val="0"/>
          <c:showBubbleSize val="0"/>
        </c:dLbls>
        <c:gapWidth val="219"/>
        <c:axId val="644149295"/>
        <c:axId val="458405087"/>
      </c:barChart>
      <c:catAx>
        <c:axId val="64414929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1000" b="0" i="0" strike="noStrike" kern="1200" baseline="0">
                <a:solidFill>
                  <a:schemeClr val="tx1"/>
                </a:solidFill>
                <a:latin typeface="Century Gothic" panose="020B0502020202020204" pitchFamily="34" charset="0"/>
                <a:ea typeface="+mn-ea"/>
                <a:cs typeface="+mn-cs"/>
              </a:defRPr>
            </a:pPr>
            <a:endParaRPr lang="ru-RU"/>
          </a:p>
        </c:txPr>
        <c:crossAx val="458405087"/>
        <c:crosses val="autoZero"/>
        <c:auto val="1"/>
        <c:lblAlgn val="ctr"/>
        <c:lblOffset val="100"/>
        <c:noMultiLvlLbl val="0"/>
      </c:catAx>
      <c:valAx>
        <c:axId val="458405087"/>
        <c:scaling>
          <c:orientation val="minMax"/>
        </c:scaling>
        <c:delete val="1"/>
        <c:axPos val="t"/>
        <c:numFmt formatCode="0" sourceLinked="1"/>
        <c:majorTickMark val="none"/>
        <c:minorTickMark val="none"/>
        <c:tickLblPos val="nextTo"/>
        <c:crossAx val="644149295"/>
        <c:crosses val="autoZero"/>
        <c:crossBetween val="between"/>
      </c:valAx>
    </c:plotArea>
    <c:plotVisOnly val="1"/>
    <c:dispBlanksAs val="gap"/>
    <c:showDLblsOverMax val="1"/>
  </c:chart>
  <c:spPr>
    <a:solidFill>
      <a:schemeClr val="bg1">
        <a:lumMod val="95000"/>
      </a:schemeClr>
    </a:solidFill>
    <a:ln w="9525" cap="flat" cmpd="sng" algn="ctr">
      <a:noFill/>
      <a:prstDash val="solid"/>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title>
      <c:tx>
        <c:rich>
          <a:bodyPr rot="0" spcFirstLastPara="1" vertOverflow="ellipsis" vert="horz" wrap="square" anchor="ctr" anchorCtr="1"/>
          <a:lstStyle/>
          <a:p>
            <a:pPr>
              <a:defRPr sz="1400" b="0" i="0" strike="noStrike" kern="1200" spc="0" baseline="0">
                <a:solidFill>
                  <a:schemeClr val="tx1"/>
                </a:solidFill>
                <a:latin typeface="Century Gothic" panose="020B0502020202020204" pitchFamily="34" charset="0"/>
                <a:ea typeface="+mn-ea"/>
                <a:cs typeface="+mn-cs"/>
              </a:defRPr>
            </a:pPr>
            <a:r>
              <a:rPr lang="ru-RU"/>
              <a:t>Анализ расхода</a:t>
            </a:r>
            <a:r>
              <a:rPr lang="ru-RU" baseline="0"/>
              <a:t> ДТ, М3</a:t>
            </a:r>
            <a:endParaRPr lang="ru-RU"/>
          </a:p>
        </c:rich>
      </c:tx>
      <c:overlay val="0"/>
      <c:spPr>
        <a:noFill/>
        <a:ln>
          <a:noFill/>
          <a:prstDash val="solid"/>
        </a:ln>
      </c:spPr>
    </c:title>
    <c:autoTitleDeleted val="0"/>
    <c:plotArea>
      <c:layout/>
      <c:pieChart>
        <c:varyColors val="1"/>
        <c:ser>
          <c:idx val="0"/>
          <c:order val="0"/>
          <c:spPr>
            <a:ln>
              <a:noFill/>
              <a:prstDash val="solid"/>
            </a:ln>
          </c:spPr>
          <c:dPt>
            <c:idx val="0"/>
            <c:bubble3D val="0"/>
            <c:spPr>
              <a:solidFill>
                <a:srgbClr val="434C4F"/>
              </a:solidFill>
              <a:ln w="19050">
                <a:noFill/>
                <a:prstDash val="solid"/>
              </a:ln>
            </c:spPr>
            <c:extLst>
              <c:ext xmlns:c16="http://schemas.microsoft.com/office/drawing/2014/chart" uri="{C3380CC4-5D6E-409C-BE32-E72D297353CC}">
                <c16:uniqueId val="{00000001-E637-48E4-AB9D-B2918FD0D8B1}"/>
              </c:ext>
            </c:extLst>
          </c:dPt>
          <c:dPt>
            <c:idx val="1"/>
            <c:bubble3D val="0"/>
            <c:spPr>
              <a:solidFill>
                <a:schemeClr val="bg1">
                  <a:lumMod val="50000"/>
                </a:schemeClr>
              </a:solidFill>
              <a:ln w="19050">
                <a:noFill/>
                <a:prstDash val="solid"/>
              </a:ln>
            </c:spPr>
            <c:extLst>
              <c:ext xmlns:c16="http://schemas.microsoft.com/office/drawing/2014/chart" uri="{C3380CC4-5D6E-409C-BE32-E72D297353CC}">
                <c16:uniqueId val="{00000003-E637-48E4-AB9D-B2918FD0D8B1}"/>
              </c:ext>
            </c:extLst>
          </c:dPt>
          <c:dPt>
            <c:idx val="2"/>
            <c:bubble3D val="0"/>
            <c:spPr>
              <a:solidFill>
                <a:srgbClr val="C00000"/>
              </a:solidFill>
              <a:ln w="19050">
                <a:noFill/>
                <a:prstDash val="solid"/>
              </a:ln>
            </c:spPr>
            <c:extLst>
              <c:ext xmlns:c16="http://schemas.microsoft.com/office/drawing/2014/chart" uri="{C3380CC4-5D6E-409C-BE32-E72D297353CC}">
                <c16:uniqueId val="{00000005-E637-48E4-AB9D-B2918FD0D8B1}"/>
              </c:ext>
            </c:extLst>
          </c:dPt>
          <c:dLbls>
            <c:spPr>
              <a:noFill/>
              <a:ln>
                <a:noFill/>
                <a:prstDash val="solid"/>
              </a:ln>
            </c:spPr>
            <c:txPr>
              <a:bodyPr rot="0" spcFirstLastPara="1" vertOverflow="ellipsis" vert="horz" wrap="square" lIns="38100" tIns="19050" rIns="38100" bIns="19050" anchor="ctr" anchorCtr="1">
                <a:spAutoFit/>
              </a:bodyPr>
              <a:lstStyle/>
              <a:p>
                <a:pPr>
                  <a:defRPr sz="1600" b="1" i="0" strike="noStrike" kern="1200" baseline="0">
                    <a:solidFill>
                      <a:schemeClr val="bg1"/>
                    </a:solidFill>
                    <a:latin typeface="Century Gothic" panose="020B0502020202020204" pitchFamily="34" charset="0"/>
                    <a:ea typeface="+mn-ea"/>
                    <a:cs typeface="+mn-cs"/>
                  </a:defRPr>
                </a:pPr>
                <a:endParaRPr lang="ru-RU"/>
              </a:p>
            </c:txPr>
            <c:dLblPos val="inEnd"/>
            <c:showLegendKey val="0"/>
            <c:showVal val="1"/>
            <c:showCatName val="0"/>
            <c:showSerName val="0"/>
            <c:showPercent val="0"/>
            <c:showBubbleSize val="0"/>
            <c:showLeaderLines val="1"/>
            <c:extLst>
              <c:ext xmlns:c15="http://schemas.microsoft.com/office/drawing/2012/chart" uri="{CE6537A1-D6FC-4f65-9D91-7224C49458BB}"/>
            </c:extLst>
          </c:dLbls>
          <c:cat>
            <c:strRef>
              <c:f>'Анализ ДТ'!$G$15:$G$17</c:f>
              <c:strCache>
                <c:ptCount val="3"/>
                <c:pt idx="0">
                  <c:v>Остаток ДТ</c:v>
                </c:pt>
                <c:pt idx="1">
                  <c:v>Нормативный
расход ДТ</c:v>
                </c:pt>
                <c:pt idx="2">
                  <c:v>Перерасход ДТ</c:v>
                </c:pt>
              </c:strCache>
            </c:strRef>
          </c:cat>
          <c:val>
            <c:numRef>
              <c:f>'Анализ ДТ'!$H$15:$H$17</c:f>
              <c:numCache>
                <c:formatCode>0</c:formatCode>
                <c:ptCount val="3"/>
                <c:pt idx="0">
                  <c:v>0</c:v>
                </c:pt>
                <c:pt idx="1">
                  <c:v>0</c:v>
                </c:pt>
                <c:pt idx="2">
                  <c:v>0</c:v>
                </c:pt>
              </c:numCache>
            </c:numRef>
          </c:val>
          <c:extLst>
            <c:ext xmlns:c16="http://schemas.microsoft.com/office/drawing/2014/chart" uri="{C3380CC4-5D6E-409C-BE32-E72D297353CC}">
              <c16:uniqueId val="{00000006-E637-48E4-AB9D-B2918FD0D8B1}"/>
            </c:ext>
          </c:extLst>
        </c:ser>
        <c:dLbls>
          <c:showLegendKey val="0"/>
          <c:showVal val="0"/>
          <c:showCatName val="0"/>
          <c:showSerName val="0"/>
          <c:showPercent val="0"/>
          <c:showBubbleSize val="0"/>
          <c:showLeaderLines val="1"/>
        </c:dLbls>
        <c:firstSliceAng val="0"/>
      </c:pieChart>
    </c:plotArea>
    <c:legend>
      <c:legendPos val="t"/>
      <c:overlay val="0"/>
      <c:spPr>
        <a:noFill/>
        <a:ln>
          <a:noFill/>
          <a:prstDash val="solid"/>
        </a:ln>
      </c:spPr>
      <c:txPr>
        <a:bodyPr rot="0" spcFirstLastPara="1" vertOverflow="ellipsis" vert="horz" wrap="square" anchor="ctr" anchorCtr="1"/>
        <a:lstStyle/>
        <a:p>
          <a:pPr>
            <a:defRPr sz="900" b="0" i="0" strike="noStrike" kern="1200" baseline="0">
              <a:solidFill>
                <a:schemeClr val="tx1"/>
              </a:solidFill>
              <a:latin typeface="Century Gothic" panose="020B0502020202020204" pitchFamily="34" charset="0"/>
              <a:ea typeface="+mn-ea"/>
              <a:cs typeface="+mn-cs"/>
            </a:defRPr>
          </a:pPr>
          <a:endParaRPr lang="ru-RU"/>
        </a:p>
      </c:txPr>
    </c:legend>
    <c:plotVisOnly val="1"/>
    <c:dispBlanksAs val="gap"/>
    <c:showDLblsOverMax val="1"/>
  </c:chart>
  <c:spPr>
    <a:solidFill>
      <a:schemeClr val="bg1">
        <a:lumMod val="95000"/>
      </a:schemeClr>
    </a:solidFill>
    <a:ln w="9525" cap="flat" cmpd="sng" algn="ctr">
      <a:noFill/>
      <a:prstDash val="solid"/>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pivotSource>
    <c:name>[КРС-3 обнова планирование.xlsx]Динамика_НПВ_ПНВ!Динамика_НПВ_ПНВ</c:name>
    <c:fmtId val="6"/>
  </c:pivotSource>
  <c:chart>
    <c:title>
      <c:tx>
        <c:rich>
          <a:bodyPr rot="0" spcFirstLastPara="1" vertOverflow="ellipsis" vert="horz" wrap="square" anchor="ctr" anchorCtr="1"/>
          <a:lstStyle/>
          <a:p>
            <a:pPr>
              <a:defRPr sz="1400" b="0" i="0" strike="noStrike" kern="1200" spc="0" baseline="0">
                <a:solidFill>
                  <a:schemeClr val="tx1"/>
                </a:solidFill>
                <a:latin typeface="Century Gothic" panose="020B0502020202020204" pitchFamily="34" charset="0"/>
                <a:ea typeface="+mn-ea"/>
                <a:cs typeface="+mn-cs"/>
              </a:defRPr>
            </a:pPr>
            <a:r>
              <a:rPr lang="ru-RU"/>
              <a:t>Динамика НПВ и ПНВ</a:t>
            </a:r>
          </a:p>
        </c:rich>
      </c:tx>
      <c:overlay val="0"/>
      <c:spPr>
        <a:noFill/>
        <a:ln>
          <a:noFill/>
          <a:prstDash val="solid"/>
        </a:ln>
      </c:spPr>
    </c:title>
    <c:autoTitleDeleted val="0"/>
    <c:pivotFmts>
      <c:pivotFmt>
        <c:idx val="0"/>
        <c:spPr>
          <a:solidFill>
            <a:schemeClr val="accent1"/>
          </a:solidFill>
          <a:ln w="38100" cap="rnd">
            <a:solidFill>
              <a:srgbClr val="C00000"/>
            </a:solidFill>
            <a:prstDash val="solid"/>
            <a:round/>
          </a:ln>
        </c:spPr>
        <c:marker>
          <c:symbol val="none"/>
        </c:marker>
        <c:dLbl>
          <c:idx val="0"/>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38100" cap="rnd">
            <a:solidFill>
              <a:schemeClr val="accent4"/>
            </a:solidFill>
            <a:prstDash val="solid"/>
            <a:round/>
          </a:ln>
        </c:spPr>
        <c:marker>
          <c:symbol val="none"/>
        </c:marker>
        <c:dLbl>
          <c:idx val="0"/>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38100" cap="rnd">
            <a:solidFill>
              <a:srgbClr val="C00000"/>
            </a:solidFill>
            <a:prstDash val="solid"/>
            <a:round/>
          </a:ln>
        </c:spPr>
        <c:marker>
          <c:symbol val="none"/>
        </c:marker>
        <c:dLbl>
          <c:idx val="0"/>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38100" cap="rnd">
            <a:solidFill>
              <a:schemeClr val="accent4"/>
            </a:solidFill>
            <a:prstDash val="solid"/>
            <a:round/>
          </a:ln>
        </c:spPr>
        <c:marker>
          <c:symbol val="none"/>
        </c:marker>
        <c:dLbl>
          <c:idx val="0"/>
          <c:showLegendKey val="1"/>
          <c:showVal val="1"/>
          <c:showCatName val="1"/>
          <c:showSerName val="1"/>
          <c:showPercent val="1"/>
          <c:showBubbleSize val="1"/>
          <c:extLst>
            <c:ext xmlns:c15="http://schemas.microsoft.com/office/drawing/2012/chart" uri="{CE6537A1-D6FC-4f65-9D91-7224C49458BB}"/>
          </c:extLst>
        </c:dLbl>
      </c:pivotFmt>
      <c:pivotFmt>
        <c:idx val="4"/>
        <c:spPr>
          <a:ln w="38100" cap="rnd">
            <a:solidFill>
              <a:srgbClr val="C00000"/>
            </a:solidFill>
            <a:prstDash val="solid"/>
            <a:round/>
          </a:ln>
        </c:spPr>
        <c:marker>
          <c:symbol val="none"/>
        </c:marker>
        <c:dLbl>
          <c:idx val="0"/>
          <c:delete val="1"/>
          <c:extLst>
            <c:ext xmlns:c15="http://schemas.microsoft.com/office/drawing/2012/chart" uri="{CE6537A1-D6FC-4f65-9D91-7224C49458BB}"/>
          </c:extLst>
        </c:dLbl>
      </c:pivotFmt>
      <c:pivotFmt>
        <c:idx val="5"/>
        <c:spPr>
          <a:ln w="38100" cap="rnd">
            <a:solidFill>
              <a:schemeClr val="accent4"/>
            </a:solidFill>
            <a:prstDash val="solid"/>
            <a:round/>
          </a:ln>
        </c:spPr>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Динамика_НПВ_ПНВ!$B$3:$B$4</c:f>
              <c:strCache>
                <c:ptCount val="1"/>
                <c:pt idx="0">
                  <c:v>НПВ </c:v>
                </c:pt>
              </c:strCache>
            </c:strRef>
          </c:tx>
          <c:spPr>
            <a:ln w="38100" cap="rnd">
              <a:solidFill>
                <a:srgbClr val="C00000"/>
              </a:solidFill>
              <a:prstDash val="solid"/>
              <a:round/>
            </a:ln>
          </c:spPr>
          <c:marker>
            <c:symbol val="none"/>
          </c:marker>
          <c:cat>
            <c:strRef>
              <c:f>Динамика_НПВ_ПНВ!$A$5:$A$35</c:f>
              <c:strCache>
                <c:ptCount val="30"/>
                <c:pt idx="0">
                  <c:v>02 мая 2026 г.</c:v>
                </c:pt>
                <c:pt idx="1">
                  <c:v>03 мая 2026 г.</c:v>
                </c:pt>
                <c:pt idx="2">
                  <c:v>04 мая 2026 г.</c:v>
                </c:pt>
                <c:pt idx="3">
                  <c:v>05 мая 2026 г.</c:v>
                </c:pt>
                <c:pt idx="4">
                  <c:v>06 мая 2026 г.</c:v>
                </c:pt>
                <c:pt idx="5">
                  <c:v>07 мая 2026 г.</c:v>
                </c:pt>
                <c:pt idx="6">
                  <c:v>08 мая 2026 г.</c:v>
                </c:pt>
                <c:pt idx="7">
                  <c:v>09 мая 2026 г.</c:v>
                </c:pt>
                <c:pt idx="8">
                  <c:v>10 мая 2026 г.</c:v>
                </c:pt>
                <c:pt idx="9">
                  <c:v>11 мая 2026 г.</c:v>
                </c:pt>
                <c:pt idx="10">
                  <c:v>12 мая 2026 г.</c:v>
                </c:pt>
                <c:pt idx="11">
                  <c:v>13 мая 2026 г.</c:v>
                </c:pt>
                <c:pt idx="12">
                  <c:v>14 мая 2026 г.</c:v>
                </c:pt>
                <c:pt idx="13">
                  <c:v>15 мая 2026 г.</c:v>
                </c:pt>
                <c:pt idx="14">
                  <c:v>16 мая 2026 г.</c:v>
                </c:pt>
                <c:pt idx="15">
                  <c:v>17 мая 2026 г.</c:v>
                </c:pt>
                <c:pt idx="16">
                  <c:v>18 мая 2026 г.</c:v>
                </c:pt>
                <c:pt idx="17">
                  <c:v>19 мая 2026 г.</c:v>
                </c:pt>
                <c:pt idx="18">
                  <c:v>20 мая 2026 г.</c:v>
                </c:pt>
                <c:pt idx="19">
                  <c:v>21 мая 2026 г.</c:v>
                </c:pt>
                <c:pt idx="20">
                  <c:v>22 мая 2026 г.</c:v>
                </c:pt>
                <c:pt idx="21">
                  <c:v>23 мая 2026 г.</c:v>
                </c:pt>
                <c:pt idx="22">
                  <c:v>24 мая 2026 г.</c:v>
                </c:pt>
                <c:pt idx="23">
                  <c:v>25 мая 2026 г.</c:v>
                </c:pt>
                <c:pt idx="24">
                  <c:v>26 мая 2026 г.</c:v>
                </c:pt>
                <c:pt idx="25">
                  <c:v>27 мая 2026 г.</c:v>
                </c:pt>
                <c:pt idx="26">
                  <c:v>28 мая 2026 г.</c:v>
                </c:pt>
                <c:pt idx="27">
                  <c:v>29 мая 2026 г.</c:v>
                </c:pt>
                <c:pt idx="28">
                  <c:v>30 мая 2026 г.</c:v>
                </c:pt>
                <c:pt idx="29">
                  <c:v>31 мая 2026 г.</c:v>
                </c:pt>
              </c:strCache>
            </c:strRef>
          </c:cat>
          <c:val>
            <c:numRef>
              <c:f>Динамика_НПВ_ПНВ!$B$5:$B$35</c:f>
              <c:numCache>
                <c:formatCode>0</c:formatCode>
                <c:ptCount val="30"/>
                <c:pt idx="0">
                  <c:v>0</c:v>
                </c:pt>
                <c:pt idx="1">
                  <c:v>6</c:v>
                </c:pt>
                <c:pt idx="2">
                  <c:v>9</c:v>
                </c:pt>
                <c:pt idx="3">
                  <c:v>9</c:v>
                </c:pt>
                <c:pt idx="4">
                  <c:v>9</c:v>
                </c:pt>
                <c:pt idx="5">
                  <c:v>0</c:v>
                </c:pt>
                <c:pt idx="6">
                  <c:v>0</c:v>
                </c:pt>
                <c:pt idx="7">
                  <c:v>4</c:v>
                </c:pt>
                <c:pt idx="8">
                  <c:v>4</c:v>
                </c:pt>
                <c:pt idx="9">
                  <c:v>4</c:v>
                </c:pt>
                <c:pt idx="10">
                  <c:v>13</c:v>
                </c:pt>
                <c:pt idx="11">
                  <c:v>25</c:v>
                </c:pt>
                <c:pt idx="12">
                  <c:v>29</c:v>
                </c:pt>
                <c:pt idx="13">
                  <c:v>41</c:v>
                </c:pt>
                <c:pt idx="14">
                  <c:v>57</c:v>
                </c:pt>
                <c:pt idx="15">
                  <c:v>81</c:v>
                </c:pt>
                <c:pt idx="16">
                  <c:v>97</c:v>
                </c:pt>
                <c:pt idx="17">
                  <c:v>121</c:v>
                </c:pt>
                <c:pt idx="18">
                  <c:v>126</c:v>
                </c:pt>
                <c:pt idx="19">
                  <c:v>126</c:v>
                </c:pt>
                <c:pt idx="20">
                  <c:v>126</c:v>
                </c:pt>
                <c:pt idx="21">
                  <c:v>126</c:v>
                </c:pt>
                <c:pt idx="22">
                  <c:v>126</c:v>
                </c:pt>
                <c:pt idx="23">
                  <c:v>5.5</c:v>
                </c:pt>
                <c:pt idx="24">
                  <c:v>23.5</c:v>
                </c:pt>
                <c:pt idx="25">
                  <c:v>33.5</c:v>
                </c:pt>
                <c:pt idx="26">
                  <c:v>42.5</c:v>
                </c:pt>
                <c:pt idx="27">
                  <c:v>42.5</c:v>
                </c:pt>
                <c:pt idx="28">
                  <c:v>46</c:v>
                </c:pt>
                <c:pt idx="29">
                  <c:v>58</c:v>
                </c:pt>
              </c:numCache>
            </c:numRef>
          </c:val>
          <c:smooth val="0"/>
          <c:extLst>
            <c:ext xmlns:c16="http://schemas.microsoft.com/office/drawing/2014/chart" uri="{C3380CC4-5D6E-409C-BE32-E72D297353CC}">
              <c16:uniqueId val="{00000000-0E9B-4D65-91D5-D319963D025A}"/>
            </c:ext>
          </c:extLst>
        </c:ser>
        <c:ser>
          <c:idx val="1"/>
          <c:order val="1"/>
          <c:tx>
            <c:strRef>
              <c:f>Динамика_НПВ_ПНВ!$C$3:$C$4</c:f>
              <c:strCache>
                <c:ptCount val="1"/>
                <c:pt idx="0">
                  <c:v>ПНВ </c:v>
                </c:pt>
              </c:strCache>
            </c:strRef>
          </c:tx>
          <c:spPr>
            <a:ln w="38100" cap="rnd">
              <a:solidFill>
                <a:schemeClr val="accent4"/>
              </a:solidFill>
              <a:prstDash val="solid"/>
              <a:round/>
            </a:ln>
          </c:spPr>
          <c:marker>
            <c:symbol val="none"/>
          </c:marker>
          <c:cat>
            <c:strRef>
              <c:f>Динамика_НПВ_ПНВ!$A$5:$A$35</c:f>
              <c:strCache>
                <c:ptCount val="30"/>
                <c:pt idx="0">
                  <c:v>02 мая 2026 г.</c:v>
                </c:pt>
                <c:pt idx="1">
                  <c:v>03 мая 2026 г.</c:v>
                </c:pt>
                <c:pt idx="2">
                  <c:v>04 мая 2026 г.</c:v>
                </c:pt>
                <c:pt idx="3">
                  <c:v>05 мая 2026 г.</c:v>
                </c:pt>
                <c:pt idx="4">
                  <c:v>06 мая 2026 г.</c:v>
                </c:pt>
                <c:pt idx="5">
                  <c:v>07 мая 2026 г.</c:v>
                </c:pt>
                <c:pt idx="6">
                  <c:v>08 мая 2026 г.</c:v>
                </c:pt>
                <c:pt idx="7">
                  <c:v>09 мая 2026 г.</c:v>
                </c:pt>
                <c:pt idx="8">
                  <c:v>10 мая 2026 г.</c:v>
                </c:pt>
                <c:pt idx="9">
                  <c:v>11 мая 2026 г.</c:v>
                </c:pt>
                <c:pt idx="10">
                  <c:v>12 мая 2026 г.</c:v>
                </c:pt>
                <c:pt idx="11">
                  <c:v>13 мая 2026 г.</c:v>
                </c:pt>
                <c:pt idx="12">
                  <c:v>14 мая 2026 г.</c:v>
                </c:pt>
                <c:pt idx="13">
                  <c:v>15 мая 2026 г.</c:v>
                </c:pt>
                <c:pt idx="14">
                  <c:v>16 мая 2026 г.</c:v>
                </c:pt>
                <c:pt idx="15">
                  <c:v>17 мая 2026 г.</c:v>
                </c:pt>
                <c:pt idx="16">
                  <c:v>18 мая 2026 г.</c:v>
                </c:pt>
                <c:pt idx="17">
                  <c:v>19 мая 2026 г.</c:v>
                </c:pt>
                <c:pt idx="18">
                  <c:v>20 мая 2026 г.</c:v>
                </c:pt>
                <c:pt idx="19">
                  <c:v>21 мая 2026 г.</c:v>
                </c:pt>
                <c:pt idx="20">
                  <c:v>22 мая 2026 г.</c:v>
                </c:pt>
                <c:pt idx="21">
                  <c:v>23 мая 2026 г.</c:v>
                </c:pt>
                <c:pt idx="22">
                  <c:v>24 мая 2026 г.</c:v>
                </c:pt>
                <c:pt idx="23">
                  <c:v>25 мая 2026 г.</c:v>
                </c:pt>
                <c:pt idx="24">
                  <c:v>26 мая 2026 г.</c:v>
                </c:pt>
                <c:pt idx="25">
                  <c:v>27 мая 2026 г.</c:v>
                </c:pt>
                <c:pt idx="26">
                  <c:v>28 мая 2026 г.</c:v>
                </c:pt>
                <c:pt idx="27">
                  <c:v>29 мая 2026 г.</c:v>
                </c:pt>
                <c:pt idx="28">
                  <c:v>30 мая 2026 г.</c:v>
                </c:pt>
                <c:pt idx="29">
                  <c:v>31 мая 2026 г.</c:v>
                </c:pt>
              </c:strCache>
            </c:strRef>
          </c:cat>
          <c:val>
            <c:numRef>
              <c:f>Динамика_НПВ_ПНВ!$C$5:$C$35</c:f>
              <c:numCache>
                <c:formatCode>0</c:formatCode>
                <c:ptCount val="30"/>
                <c:pt idx="0">
                  <c:v>0</c:v>
                </c:pt>
                <c:pt idx="1">
                  <c:v>3.5</c:v>
                </c:pt>
                <c:pt idx="2">
                  <c:v>11.059999999999999</c:v>
                </c:pt>
                <c:pt idx="3">
                  <c:v>15.669999999999998</c:v>
                </c:pt>
                <c:pt idx="4">
                  <c:v>26.24</c:v>
                </c:pt>
                <c:pt idx="5">
                  <c:v>10.030000000000001</c:v>
                </c:pt>
                <c:pt idx="6">
                  <c:v>34.03</c:v>
                </c:pt>
                <c:pt idx="7">
                  <c:v>45.09</c:v>
                </c:pt>
                <c:pt idx="8">
                  <c:v>63.048000000000009</c:v>
                </c:pt>
                <c:pt idx="9">
                  <c:v>86.593599999999995</c:v>
                </c:pt>
                <c:pt idx="10">
                  <c:v>101.08959999999999</c:v>
                </c:pt>
                <c:pt idx="11">
                  <c:v>103.3496</c:v>
                </c:pt>
                <c:pt idx="12">
                  <c:v>107.0496</c:v>
                </c:pt>
                <c:pt idx="13">
                  <c:v>118.0752</c:v>
                </c:pt>
                <c:pt idx="14">
                  <c:v>121.23519999999999</c:v>
                </c:pt>
                <c:pt idx="15">
                  <c:v>121.23519999999999</c:v>
                </c:pt>
                <c:pt idx="16">
                  <c:v>121.23519999999999</c:v>
                </c:pt>
                <c:pt idx="17">
                  <c:v>121.23519999999999</c:v>
                </c:pt>
                <c:pt idx="18">
                  <c:v>132.21519999999998</c:v>
                </c:pt>
                <c:pt idx="19">
                  <c:v>145.21719999999999</c:v>
                </c:pt>
                <c:pt idx="20">
                  <c:v>148.34839999999997</c:v>
                </c:pt>
                <c:pt idx="21">
                  <c:v>172.34839999999997</c:v>
                </c:pt>
                <c:pt idx="22">
                  <c:v>176.84839999999997</c:v>
                </c:pt>
                <c:pt idx="23">
                  <c:v>9.76</c:v>
                </c:pt>
                <c:pt idx="24">
                  <c:v>11.149999999999999</c:v>
                </c:pt>
                <c:pt idx="25">
                  <c:v>16.959999999999997</c:v>
                </c:pt>
                <c:pt idx="26">
                  <c:v>16.959999999999997</c:v>
                </c:pt>
                <c:pt idx="27">
                  <c:v>33.03</c:v>
                </c:pt>
                <c:pt idx="28">
                  <c:v>33.03</c:v>
                </c:pt>
                <c:pt idx="29">
                  <c:v>33.03</c:v>
                </c:pt>
              </c:numCache>
            </c:numRef>
          </c:val>
          <c:smooth val="0"/>
          <c:extLst>
            <c:ext xmlns:c16="http://schemas.microsoft.com/office/drawing/2014/chart" uri="{C3380CC4-5D6E-409C-BE32-E72D297353CC}">
              <c16:uniqueId val="{00000001-0E9B-4D65-91D5-D319963D025A}"/>
            </c:ext>
          </c:extLst>
        </c:ser>
        <c:dLbls>
          <c:showLegendKey val="0"/>
          <c:showVal val="0"/>
          <c:showCatName val="0"/>
          <c:showSerName val="0"/>
          <c:showPercent val="0"/>
          <c:showBubbleSize val="0"/>
        </c:dLbls>
        <c:smooth val="0"/>
        <c:axId val="876018559"/>
        <c:axId val="1136342591"/>
      </c:lineChart>
      <c:catAx>
        <c:axId val="876018559"/>
        <c:scaling>
          <c:orientation val="minMax"/>
        </c:scaling>
        <c:delete val="0"/>
        <c:axPos val="b"/>
        <c:majorGridlines>
          <c:spPr>
            <a:ln w="9525" cap="flat" cmpd="sng" algn="ctr">
              <a:solidFill>
                <a:schemeClr val="tx1">
                  <a:lumMod val="15000"/>
                  <a:lumOff val="85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5400000" spcFirstLastPara="1" vertOverflow="ellipsis" wrap="square" anchor="ctr" anchorCtr="1"/>
          <a:lstStyle/>
          <a:p>
            <a:pPr>
              <a:defRPr sz="1400" b="0" i="0" strike="noStrike" kern="1200" baseline="0">
                <a:solidFill>
                  <a:schemeClr val="tx1"/>
                </a:solidFill>
                <a:latin typeface="Century Gothic" panose="020B0502020202020204" pitchFamily="34" charset="0"/>
                <a:ea typeface="+mn-ea"/>
                <a:cs typeface="+mn-cs"/>
              </a:defRPr>
            </a:pPr>
            <a:endParaRPr lang="ru-RU"/>
          </a:p>
        </c:txPr>
        <c:crossAx val="1136342591"/>
        <c:crosses val="autoZero"/>
        <c:auto val="1"/>
        <c:lblAlgn val="ctr"/>
        <c:lblOffset val="100"/>
        <c:noMultiLvlLbl val="1"/>
      </c:catAx>
      <c:valAx>
        <c:axId val="113634259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1400" b="0" i="0" strike="noStrike" kern="1200" baseline="0">
                <a:solidFill>
                  <a:schemeClr val="tx1"/>
                </a:solidFill>
                <a:latin typeface="Century Gothic" panose="020B0502020202020204" pitchFamily="34" charset="0"/>
                <a:ea typeface="+mn-ea"/>
                <a:cs typeface="+mn-cs"/>
              </a:defRPr>
            </a:pPr>
            <a:endParaRPr lang="ru-RU"/>
          </a:p>
        </c:txPr>
        <c:crossAx val="876018559"/>
        <c:crosses val="autoZero"/>
        <c:crossBetween val="between"/>
      </c:valAx>
    </c:plotArea>
    <c:legend>
      <c:legendPos val="t"/>
      <c:overlay val="0"/>
      <c:spPr>
        <a:noFill/>
        <a:ln>
          <a:noFill/>
          <a:prstDash val="solid"/>
        </a:ln>
      </c:spPr>
      <c:txPr>
        <a:bodyPr rot="0" spcFirstLastPara="1" vertOverflow="ellipsis" vert="horz" wrap="square" anchor="ctr" anchorCtr="1"/>
        <a:lstStyle/>
        <a:p>
          <a:pPr>
            <a:defRPr sz="1200" b="0" i="0" strike="noStrike" kern="1200" baseline="0">
              <a:solidFill>
                <a:schemeClr val="tx1"/>
              </a:solidFill>
              <a:latin typeface="Century Gothic" panose="020B0502020202020204" pitchFamily="34" charset="0"/>
              <a:ea typeface="+mn-ea"/>
              <a:cs typeface="+mn-cs"/>
            </a:defRPr>
          </a:pPr>
          <a:endParaRPr lang="ru-RU"/>
        </a:p>
      </c:txPr>
    </c:legend>
    <c:plotVisOnly val="1"/>
    <c:dispBlanksAs val="gap"/>
    <c:showDLblsOverMax val="1"/>
  </c:chart>
  <c:spPr>
    <a:solidFill>
      <a:schemeClr val="bg1">
        <a:lumMod val="95000"/>
      </a:schemeClr>
    </a:solidFill>
    <a:ln w="9525" cap="flat" cmpd="sng" algn="ctr">
      <a:noFill/>
      <a:prstDash val="solid"/>
      <a:roun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pivotSource>
    <c:name>[КРС-3 обнова планирование.xlsx]БВ_общий!БВ_общий</c:name>
    <c:fmtId val="11"/>
  </c:pivotSource>
  <c:chart>
    <c:title>
      <c:tx>
        <c:rich>
          <a:bodyPr rot="0" spcFirstLastPara="1" vertOverflow="ellipsis" vert="horz" wrap="square" anchor="ctr" anchorCtr="1"/>
          <a:lstStyle/>
          <a:p>
            <a:pPr>
              <a:defRPr sz="1400" b="0" i="0" strike="noStrike" kern="1200" spc="0" baseline="0">
                <a:solidFill>
                  <a:schemeClr val="tx1"/>
                </a:solidFill>
                <a:latin typeface="Century Gothic" panose="020B0502020202020204" pitchFamily="34" charset="0"/>
                <a:ea typeface="+mn-ea"/>
                <a:cs typeface="+mn-cs"/>
              </a:defRPr>
            </a:pPr>
            <a:r>
              <a:rPr lang="ru-RU"/>
              <a:t>Общий КПВ, %</a:t>
            </a:r>
          </a:p>
        </c:rich>
      </c:tx>
      <c:overlay val="0"/>
      <c:spPr>
        <a:noFill/>
        <a:ln>
          <a:noFill/>
          <a:prstDash val="solid"/>
        </a:ln>
      </c:spPr>
    </c:title>
    <c:autoTitleDeleted val="0"/>
    <c:pivotFmts>
      <c:pivotFmt>
        <c:idx val="0"/>
        <c:spPr>
          <a:solidFill>
            <a:schemeClr val="accent1"/>
          </a:solidFill>
          <a:ln w="19050">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1600" b="1" i="0" strike="noStrike" kern="1200" baseline="0">
                  <a:solidFill>
                    <a:schemeClr val="bg1"/>
                  </a:solidFill>
                  <a:latin typeface="Century Gothic" panose="020B0502020202020204" pitchFamily="34" charset="0"/>
                  <a:ea typeface="+mn-ea"/>
                  <a:cs typeface="+mn-cs"/>
                </a:defRPr>
              </a:pPr>
              <a:endParaRPr lang="ru-RU"/>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70AD47"/>
          </a:solidFill>
          <a:ln w="19050">
            <a:noFill/>
            <a:prstDash val="solid"/>
          </a:ln>
        </c:spPr>
      </c:pivotFmt>
      <c:pivotFmt>
        <c:idx val="2"/>
        <c:spPr>
          <a:solidFill>
            <a:srgbClr val="FFC000"/>
          </a:solidFill>
          <a:ln w="19050">
            <a:noFill/>
            <a:prstDash val="solid"/>
          </a:ln>
        </c:spPr>
      </c:pivotFmt>
      <c:pivotFmt>
        <c:idx val="3"/>
        <c:spPr>
          <a:solidFill>
            <a:srgbClr val="C00000"/>
          </a:solidFill>
          <a:ln w="19050">
            <a:noFill/>
            <a:prstDash val="solid"/>
          </a:ln>
        </c:spPr>
      </c:pivotFmt>
      <c:pivotFmt>
        <c:idx val="4"/>
        <c:spPr>
          <a:solidFill>
            <a:schemeClr val="accent1"/>
          </a:solidFill>
          <a:ln w="19050">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1600" b="1" i="0" strike="noStrike" kern="1200" baseline="0">
                  <a:solidFill>
                    <a:schemeClr val="bg1"/>
                  </a:solidFill>
                  <a:latin typeface="Century Gothic" panose="020B0502020202020204" pitchFamily="34" charset="0"/>
                  <a:ea typeface="+mn-ea"/>
                  <a:cs typeface="+mn-cs"/>
                </a:defRPr>
              </a:pPr>
              <a:endParaRPr lang="ru-RU"/>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70AD47"/>
          </a:solidFill>
          <a:ln w="19050">
            <a:noFill/>
            <a:prstDash val="solid"/>
          </a:ln>
        </c:spPr>
      </c:pivotFmt>
      <c:pivotFmt>
        <c:idx val="6"/>
        <c:spPr>
          <a:solidFill>
            <a:srgbClr val="FFC000"/>
          </a:solidFill>
          <a:ln w="19050">
            <a:noFill/>
            <a:prstDash val="solid"/>
          </a:ln>
        </c:spPr>
      </c:pivotFmt>
      <c:pivotFmt>
        <c:idx val="7"/>
        <c:spPr>
          <a:solidFill>
            <a:srgbClr val="C00000"/>
          </a:solidFill>
          <a:ln w="19050">
            <a:noFill/>
            <a:prstDash val="solid"/>
          </a:ln>
        </c:spPr>
      </c:pivotFmt>
      <c:pivotFmt>
        <c:idx val="8"/>
        <c:spPr>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1600" b="1" i="0" strike="noStrike" kern="1200" baseline="0">
                  <a:solidFill>
                    <a:schemeClr val="bg1"/>
                  </a:solidFill>
                  <a:latin typeface="Century Gothic" panose="020B0502020202020204" pitchFamily="34" charset="0"/>
                  <a:ea typeface="+mn-ea"/>
                  <a:cs typeface="+mn-cs"/>
                </a:defRPr>
              </a:pPr>
              <a:endParaRPr lang="ru-RU"/>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
        <c:spPr>
          <a:solidFill>
            <a:srgbClr val="70AD47"/>
          </a:solidFill>
          <a:ln w="19050">
            <a:noFill/>
            <a:prstDash val="solid"/>
          </a:ln>
        </c:spPr>
      </c:pivotFmt>
      <c:pivotFmt>
        <c:idx val="10"/>
        <c:spPr>
          <a:solidFill>
            <a:srgbClr val="FFC000"/>
          </a:solidFill>
          <a:ln w="19050">
            <a:noFill/>
            <a:prstDash val="solid"/>
          </a:ln>
        </c:spPr>
      </c:pivotFmt>
      <c:pivotFmt>
        <c:idx val="11"/>
        <c:spPr>
          <a:solidFill>
            <a:srgbClr val="C00000"/>
          </a:solidFill>
          <a:ln w="19050">
            <a:noFill/>
            <a:prstDash val="solid"/>
          </a:ln>
        </c:spPr>
      </c:pivotFmt>
    </c:pivotFmts>
    <c:plotArea>
      <c:layout/>
      <c:pieChart>
        <c:varyColors val="1"/>
        <c:ser>
          <c:idx val="0"/>
          <c:order val="0"/>
          <c:tx>
            <c:strRef>
              <c:f>БВ_общий!$B$3</c:f>
              <c:strCache>
                <c:ptCount val="1"/>
                <c:pt idx="0">
                  <c:v>Итог</c:v>
                </c:pt>
              </c:strCache>
            </c:strRef>
          </c:tx>
          <c:spPr>
            <a:ln>
              <a:noFill/>
              <a:prstDash val="solid"/>
            </a:ln>
          </c:spPr>
          <c:dPt>
            <c:idx val="0"/>
            <c:bubble3D val="0"/>
            <c:spPr>
              <a:solidFill>
                <a:srgbClr val="70AD47"/>
              </a:solidFill>
              <a:ln w="19050">
                <a:noFill/>
                <a:prstDash val="solid"/>
              </a:ln>
            </c:spPr>
            <c:extLst>
              <c:ext xmlns:c16="http://schemas.microsoft.com/office/drawing/2014/chart" uri="{C3380CC4-5D6E-409C-BE32-E72D297353CC}">
                <c16:uniqueId val="{00000001-FA15-4715-8306-304C1ADE95FD}"/>
              </c:ext>
            </c:extLst>
          </c:dPt>
          <c:dPt>
            <c:idx val="1"/>
            <c:bubble3D val="0"/>
            <c:spPr>
              <a:solidFill>
                <a:srgbClr val="FFC000"/>
              </a:solidFill>
              <a:ln w="19050">
                <a:noFill/>
                <a:prstDash val="solid"/>
              </a:ln>
            </c:spPr>
            <c:extLst>
              <c:ext xmlns:c16="http://schemas.microsoft.com/office/drawing/2014/chart" uri="{C3380CC4-5D6E-409C-BE32-E72D297353CC}">
                <c16:uniqueId val="{00000003-FA15-4715-8306-304C1ADE95FD}"/>
              </c:ext>
            </c:extLst>
          </c:dPt>
          <c:dPt>
            <c:idx val="2"/>
            <c:bubble3D val="0"/>
            <c:spPr>
              <a:solidFill>
                <a:srgbClr val="C00000"/>
              </a:solidFill>
              <a:ln w="19050">
                <a:noFill/>
                <a:prstDash val="solid"/>
              </a:ln>
            </c:spPr>
            <c:extLst>
              <c:ext xmlns:c16="http://schemas.microsoft.com/office/drawing/2014/chart" uri="{C3380CC4-5D6E-409C-BE32-E72D297353CC}">
                <c16:uniqueId val="{00000005-FA15-4715-8306-304C1ADE95FD}"/>
              </c:ext>
            </c:extLst>
          </c:dPt>
          <c:dLbls>
            <c:spPr>
              <a:noFill/>
              <a:ln>
                <a:noFill/>
                <a:prstDash val="solid"/>
              </a:ln>
            </c:spPr>
            <c:txPr>
              <a:bodyPr rot="0" spcFirstLastPara="1" vertOverflow="ellipsis" vert="horz" wrap="square" lIns="38100" tIns="19050" rIns="38100" bIns="19050" anchor="ctr" anchorCtr="1">
                <a:spAutoFit/>
              </a:bodyPr>
              <a:lstStyle/>
              <a:p>
                <a:pPr>
                  <a:defRPr sz="1600" b="1" i="0" strike="noStrike" kern="1200" baseline="0">
                    <a:solidFill>
                      <a:schemeClr val="bg1"/>
                    </a:solidFill>
                    <a:latin typeface="Century Gothic" panose="020B0502020202020204" pitchFamily="34" charset="0"/>
                    <a:ea typeface="+mn-ea"/>
                    <a:cs typeface="+mn-cs"/>
                  </a:defRPr>
                </a:pPr>
                <a:endParaRPr lang="ru-RU"/>
              </a:p>
            </c:txPr>
            <c:dLblPos val="inEnd"/>
            <c:showLegendKey val="0"/>
            <c:showVal val="0"/>
            <c:showCatName val="0"/>
            <c:showSerName val="0"/>
            <c:showPercent val="1"/>
            <c:showBubbleSize val="0"/>
            <c:showLeaderLines val="1"/>
            <c:extLst>
              <c:ext xmlns:c15="http://schemas.microsoft.com/office/drawing/2012/chart" uri="{CE6537A1-D6FC-4f65-9D91-7224C49458BB}"/>
            </c:extLst>
          </c:dLbls>
          <c:cat>
            <c:strRef>
              <c:f>БВ_общий!$A$4:$A$6</c:f>
              <c:strCache>
                <c:ptCount val="3"/>
                <c:pt idx="0">
                  <c:v>Сумма по полю ПВ</c:v>
                </c:pt>
                <c:pt idx="1">
                  <c:v>Сумма по полю ПНВ</c:v>
                </c:pt>
                <c:pt idx="2">
                  <c:v>Сумма по полю НПВ</c:v>
                </c:pt>
              </c:strCache>
            </c:strRef>
          </c:cat>
          <c:val>
            <c:numRef>
              <c:f>БВ_общий!$B$4:$B$6</c:f>
              <c:numCache>
                <c:formatCode>0</c:formatCode>
                <c:ptCount val="3"/>
                <c:pt idx="0">
                  <c:v>399.33159999999987</c:v>
                </c:pt>
                <c:pt idx="1">
                  <c:v>450.16839999999991</c:v>
                </c:pt>
                <c:pt idx="2">
                  <c:v>366.5</c:v>
                </c:pt>
              </c:numCache>
            </c:numRef>
          </c:val>
          <c:extLst>
            <c:ext xmlns:c16="http://schemas.microsoft.com/office/drawing/2014/chart" uri="{C3380CC4-5D6E-409C-BE32-E72D297353CC}">
              <c16:uniqueId val="{00000006-FA15-4715-8306-304C1ADE95FD}"/>
            </c:ext>
          </c:extLst>
        </c:ser>
        <c:dLbls>
          <c:showLegendKey val="0"/>
          <c:showVal val="0"/>
          <c:showCatName val="0"/>
          <c:showSerName val="0"/>
          <c:showPercent val="0"/>
          <c:showBubbleSize val="0"/>
          <c:showLeaderLines val="1"/>
        </c:dLbls>
        <c:firstSliceAng val="0"/>
      </c:pieChart>
    </c:plotArea>
    <c:plotVisOnly val="1"/>
    <c:dispBlanksAs val="gap"/>
    <c:showDLblsOverMax val="1"/>
  </c:chart>
  <c:spPr>
    <a:solidFill>
      <a:schemeClr val="bg1">
        <a:lumMod val="95000"/>
      </a:schemeClr>
    </a:solidFill>
    <a:ln w="9525" cap="flat" cmpd="sng" algn="ctr">
      <a:noFill/>
      <a:prstDash val="solid"/>
      <a:roun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pivotSource>
    <c:name>[КРС-3 обнова планирование.xlsx]НПВ_по_отв.!НПВ_по_отв</c:name>
    <c:fmtId val="6"/>
  </c:pivotSource>
  <c:chart>
    <c:title>
      <c:tx>
        <c:rich>
          <a:bodyPr rot="0" spcFirstLastPara="1" vertOverflow="ellipsis" vert="horz" wrap="square" anchor="ctr" anchorCtr="1"/>
          <a:lstStyle/>
          <a:p>
            <a:pPr>
              <a:defRPr sz="1400" b="0" i="0" strike="noStrike" kern="1200" spc="0" baseline="0">
                <a:solidFill>
                  <a:schemeClr val="tx1"/>
                </a:solidFill>
                <a:latin typeface="Century Gothic" panose="020B0502020202020204" pitchFamily="34" charset="0"/>
                <a:ea typeface="+mn-ea"/>
                <a:cs typeface="+mn-cs"/>
              </a:defRPr>
            </a:pPr>
            <a:r>
              <a:rPr lang="ru-RU"/>
              <a:t>Топ</a:t>
            </a:r>
            <a:r>
              <a:rPr lang="ru-RU" baseline="0"/>
              <a:t> причин НПВ</a:t>
            </a:r>
            <a:endParaRPr lang="ru-RU"/>
          </a:p>
        </c:rich>
      </c:tx>
      <c:overlay val="0"/>
      <c:spPr>
        <a:noFill/>
        <a:ln>
          <a:noFill/>
          <a:prstDash val="solid"/>
        </a:ln>
      </c:spPr>
    </c:title>
    <c:autoTitleDeleted val="0"/>
    <c:pivotFmts>
      <c:pivotFmt>
        <c:idx val="0"/>
        <c:spPr>
          <a:solidFill>
            <a:schemeClr val="accent1"/>
          </a:solidFill>
          <a:ln w="19050">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1600" b="1" i="0" strike="noStrike" kern="1200" baseline="0">
                  <a:solidFill>
                    <a:schemeClr val="bg1"/>
                  </a:solidFill>
                  <a:latin typeface="Century Gothic" panose="020B0502020202020204" pitchFamily="34" charset="0"/>
                  <a:ea typeface="+mn-ea"/>
                  <a:cs typeface="+mn-cs"/>
                </a:defRPr>
              </a:pPr>
              <a:endParaRPr lang="ru-RU"/>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70AD47"/>
          </a:solidFill>
          <a:ln w="19050">
            <a:noFill/>
            <a:prstDash val="solid"/>
          </a:ln>
        </c:spPr>
      </c:pivotFmt>
      <c:pivotFmt>
        <c:idx val="2"/>
        <c:spPr>
          <a:solidFill>
            <a:srgbClr val="FFC000"/>
          </a:solidFill>
          <a:ln w="19050">
            <a:noFill/>
            <a:prstDash val="solid"/>
          </a:ln>
        </c:spPr>
      </c:pivotFmt>
      <c:pivotFmt>
        <c:idx val="3"/>
        <c:spPr>
          <a:solidFill>
            <a:srgbClr val="C00000"/>
          </a:solidFill>
          <a:ln w="19050">
            <a:noFill/>
            <a:prstDash val="solid"/>
          </a:ln>
        </c:spPr>
      </c:pivotFmt>
      <c:pivotFmt>
        <c:idx val="4"/>
        <c:spPr>
          <a:solidFill>
            <a:schemeClr val="accent1"/>
          </a:solidFill>
          <a:ln w="19050">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1600" b="1" i="0" strike="noStrike" kern="1200" baseline="0">
                  <a:solidFill>
                    <a:schemeClr val="bg1"/>
                  </a:solidFill>
                  <a:latin typeface="Century Gothic" panose="020B0502020202020204" pitchFamily="34" charset="0"/>
                  <a:ea typeface="+mn-ea"/>
                  <a:cs typeface="+mn-cs"/>
                </a:defRPr>
              </a:pPr>
              <a:endParaRPr lang="ru-RU"/>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70AD47"/>
          </a:solidFill>
          <a:ln w="19050">
            <a:noFill/>
            <a:prstDash val="solid"/>
          </a:ln>
        </c:spPr>
      </c:pivotFmt>
      <c:pivotFmt>
        <c:idx val="6"/>
        <c:spPr>
          <a:solidFill>
            <a:srgbClr val="FFC000"/>
          </a:solidFill>
          <a:ln w="19050">
            <a:noFill/>
            <a:prstDash val="solid"/>
          </a:ln>
        </c:spPr>
      </c:pivotFmt>
      <c:pivotFmt>
        <c:idx val="7"/>
        <c:spPr>
          <a:solidFill>
            <a:srgbClr val="C00000"/>
          </a:solidFill>
          <a:ln w="19050">
            <a:noFill/>
            <a:prstDash val="solid"/>
          </a:ln>
        </c:spPr>
      </c:pivotFmt>
      <c:pivotFmt>
        <c:idx val="8"/>
        <c:spPr>
          <a:solidFill>
            <a:srgbClr val="C00000"/>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1600" b="1" i="0" strike="noStrike" kern="1200" baseline="0">
                  <a:solidFill>
                    <a:schemeClr val="bg1"/>
                  </a:solidFill>
                  <a:latin typeface="Century Gothic" panose="020B0502020202020204" pitchFamily="34" charset="0"/>
                  <a:ea typeface="+mn-ea"/>
                  <a:cs typeface="+mn-cs"/>
                </a:defRPr>
              </a:pPr>
              <a:endParaRPr lang="ru-RU"/>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
        <c:spPr>
          <a:solidFill>
            <a:srgbClr val="FFC000"/>
          </a:solidFill>
          <a:ln w="19050">
            <a:noFill/>
            <a:prstDash val="solid"/>
          </a:ln>
        </c:spPr>
      </c:pivotFmt>
      <c:pivotFmt>
        <c:idx val="10"/>
        <c:spPr>
          <a:solidFill>
            <a:srgbClr val="FFC000"/>
          </a:solidFill>
          <a:ln w="19050">
            <a:noFill/>
            <a:prstDash val="solid"/>
          </a:ln>
        </c:spPr>
      </c:pivotFmt>
      <c:pivotFmt>
        <c:idx val="11"/>
        <c:spPr>
          <a:solidFill>
            <a:srgbClr val="C00000"/>
          </a:solidFill>
          <a:ln w="19050">
            <a:noFill/>
            <a:prstDash val="solid"/>
          </a:ln>
        </c:spPr>
        <c:dLbl>
          <c:idx val="0"/>
          <c:spPr>
            <a:noFill/>
            <a:ln>
              <a:noFill/>
              <a:prstDash val="solid"/>
            </a:ln>
          </c:spPr>
          <c:txPr>
            <a:bodyPr rot="0" spcFirstLastPara="1" vertOverflow="ellipsis" vert="horz" wrap="square" lIns="38100" tIns="19050" rIns="38100" bIns="19050" anchor="ctr" anchorCtr="1">
              <a:spAutoFit/>
            </a:bodyPr>
            <a:lstStyle/>
            <a:p>
              <a:pPr>
                <a:defRPr sz="1600" b="1" i="0" strike="noStrike" kern="1200" baseline="0">
                  <a:solidFill>
                    <a:schemeClr val="bg1"/>
                  </a:solidFill>
                  <a:latin typeface="Century Gothic" panose="020B0502020202020204" pitchFamily="34" charset="0"/>
                  <a:ea typeface="+mn-ea"/>
                  <a:cs typeface="+mn-cs"/>
                </a:defRPr>
              </a:pPr>
              <a:endParaRPr lang="ru-RU"/>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2"/>
        <c:spPr>
          <a:solidFill>
            <a:srgbClr val="FFC000"/>
          </a:solidFill>
          <a:ln w="19050">
            <a:noFill/>
            <a:prstDash val="solid"/>
          </a:ln>
        </c:spPr>
      </c:pivotFmt>
      <c:pivotFmt>
        <c:idx val="13"/>
        <c:spPr>
          <a:solidFill>
            <a:srgbClr val="C00000"/>
          </a:solidFill>
          <a:ln w="19050">
            <a:noFill/>
            <a:prstDash val="solid"/>
          </a:ln>
        </c:spPr>
      </c:pivotFmt>
      <c:pivotFmt>
        <c:idx val="14"/>
        <c:spPr>
          <a:solidFill>
            <a:srgbClr val="C00000"/>
          </a:solidFill>
          <a:ln w="19050">
            <a:noFill/>
            <a:prstDash val="solid"/>
          </a:ln>
        </c:spPr>
      </c:pivotFmt>
      <c:pivotFmt>
        <c:idx val="15"/>
        <c:spPr>
          <a:solidFill>
            <a:srgbClr val="C00000"/>
          </a:solidFill>
          <a:ln w="19050">
            <a:noFill/>
            <a:prstDash val="solid"/>
          </a:ln>
        </c:spPr>
      </c:pivotFmt>
      <c:pivotFmt>
        <c:idx val="16"/>
      </c:pivotFmt>
    </c:pivotFmts>
    <c:plotArea>
      <c:layout/>
      <c:pieChart>
        <c:varyColors val="1"/>
        <c:ser>
          <c:idx val="0"/>
          <c:order val="0"/>
          <c:tx>
            <c:strRef>
              <c:f>НПВ_по_отв.!$B$3</c:f>
              <c:strCache>
                <c:ptCount val="1"/>
                <c:pt idx="0">
                  <c:v>Итог</c:v>
                </c:pt>
              </c:strCache>
            </c:strRef>
          </c:tx>
          <c:spPr>
            <a:solidFill>
              <a:srgbClr val="C00000"/>
            </a:solidFill>
            <a:ln>
              <a:noFill/>
              <a:prstDash val="solid"/>
            </a:ln>
          </c:spPr>
          <c:dPt>
            <c:idx val="0"/>
            <c:bubble3D val="0"/>
            <c:spPr>
              <a:solidFill>
                <a:srgbClr val="FFC000"/>
              </a:solidFill>
              <a:ln w="19050">
                <a:noFill/>
                <a:prstDash val="solid"/>
              </a:ln>
            </c:spPr>
            <c:extLst>
              <c:ext xmlns:c16="http://schemas.microsoft.com/office/drawing/2014/chart" uri="{C3380CC4-5D6E-409C-BE32-E72D297353CC}">
                <c16:uniqueId val="{00000001-4395-454F-BFBD-F3231E53B730}"/>
              </c:ext>
            </c:extLst>
          </c:dPt>
          <c:dPt>
            <c:idx val="1"/>
            <c:bubble3D val="0"/>
            <c:spPr>
              <a:solidFill>
                <a:srgbClr val="C00000"/>
              </a:solidFill>
              <a:ln w="19050">
                <a:noFill/>
                <a:prstDash val="solid"/>
              </a:ln>
            </c:spPr>
            <c:extLst>
              <c:ext xmlns:c16="http://schemas.microsoft.com/office/drawing/2014/chart" uri="{C3380CC4-5D6E-409C-BE32-E72D297353CC}">
                <c16:uniqueId val="{00000003-4395-454F-BFBD-F3231E53B730}"/>
              </c:ext>
            </c:extLst>
          </c:dPt>
          <c:dPt>
            <c:idx val="2"/>
            <c:bubble3D val="0"/>
            <c:extLst>
              <c:ext xmlns:c16="http://schemas.microsoft.com/office/drawing/2014/chart" uri="{C3380CC4-5D6E-409C-BE32-E72D297353CC}">
                <c16:uniqueId val="{00000005-4395-454F-BFBD-F3231E53B730}"/>
              </c:ext>
            </c:extLst>
          </c:dPt>
          <c:dLbls>
            <c:spPr>
              <a:noFill/>
              <a:ln>
                <a:noFill/>
                <a:prstDash val="solid"/>
              </a:ln>
            </c:spPr>
            <c:txPr>
              <a:bodyPr rot="0" spcFirstLastPara="1" vertOverflow="ellipsis" vert="horz" wrap="square" lIns="38100" tIns="19050" rIns="38100" bIns="19050" anchor="ctr" anchorCtr="1">
                <a:spAutoFit/>
              </a:bodyPr>
              <a:lstStyle/>
              <a:p>
                <a:pPr>
                  <a:defRPr sz="1600" b="1" i="0" strike="noStrike" kern="1200" baseline="0">
                    <a:solidFill>
                      <a:schemeClr val="bg1"/>
                    </a:solidFill>
                    <a:latin typeface="Century Gothic" panose="020B0502020202020204" pitchFamily="34" charset="0"/>
                    <a:ea typeface="+mn-ea"/>
                    <a:cs typeface="+mn-cs"/>
                  </a:defRPr>
                </a:pPr>
                <a:endParaRPr lang="ru-RU"/>
              </a:p>
            </c:txPr>
            <c:dLblPos val="inEnd"/>
            <c:showLegendKey val="0"/>
            <c:showVal val="0"/>
            <c:showCatName val="0"/>
            <c:showSerName val="0"/>
            <c:showPercent val="1"/>
            <c:showBubbleSize val="0"/>
            <c:showLeaderLines val="1"/>
            <c:extLst>
              <c:ext xmlns:c15="http://schemas.microsoft.com/office/drawing/2012/chart" uri="{CE6537A1-D6FC-4f65-9D91-7224C49458BB}"/>
            </c:extLst>
          </c:dLbls>
          <c:cat>
            <c:strRef>
              <c:f>НПВ_по_отв.!$A$4:$A$7</c:f>
              <c:strCache>
                <c:ptCount val="3"/>
                <c:pt idx="0">
                  <c:v>(пусто)</c:v>
                </c:pt>
                <c:pt idx="1">
                  <c:v>Организационные</c:v>
                </c:pt>
                <c:pt idx="2">
                  <c:v>Технические</c:v>
                </c:pt>
              </c:strCache>
            </c:strRef>
          </c:cat>
          <c:val>
            <c:numRef>
              <c:f>НПВ_по_отв.!$B$4:$B$7</c:f>
              <c:numCache>
                <c:formatCode>0.0</c:formatCode>
                <c:ptCount val="3"/>
                <c:pt idx="0">
                  <c:v>231.5</c:v>
                </c:pt>
                <c:pt idx="1">
                  <c:v>126</c:v>
                </c:pt>
                <c:pt idx="2">
                  <c:v>9</c:v>
                </c:pt>
              </c:numCache>
            </c:numRef>
          </c:val>
          <c:extLst>
            <c:ext xmlns:c16="http://schemas.microsoft.com/office/drawing/2014/chart" uri="{C3380CC4-5D6E-409C-BE32-E72D297353CC}">
              <c16:uniqueId val="{00000006-4395-454F-BFBD-F3231E53B730}"/>
            </c:ext>
          </c:extLst>
        </c:ser>
        <c:dLbls>
          <c:showLegendKey val="0"/>
          <c:showVal val="0"/>
          <c:showCatName val="0"/>
          <c:showSerName val="0"/>
          <c:showPercent val="0"/>
          <c:showBubbleSize val="0"/>
          <c:showLeaderLines val="1"/>
        </c:dLbls>
        <c:firstSliceAng val="0"/>
      </c:pieChart>
    </c:plotArea>
    <c:legend>
      <c:legendPos val="t"/>
      <c:overlay val="0"/>
      <c:spPr>
        <a:noFill/>
        <a:ln>
          <a:noFill/>
          <a:prstDash val="solid"/>
        </a:ln>
      </c:spPr>
      <c:txPr>
        <a:bodyPr rot="0" spcFirstLastPara="1" vertOverflow="ellipsis" vert="horz" wrap="square" anchor="ctr" anchorCtr="1"/>
        <a:lstStyle/>
        <a:p>
          <a:pPr rtl="0">
            <a:defRPr sz="900" b="0" i="0" strike="noStrike" kern="1200" baseline="0">
              <a:solidFill>
                <a:schemeClr val="tx1"/>
              </a:solidFill>
              <a:latin typeface="Century Gothic" panose="020B0502020202020204" pitchFamily="34" charset="0"/>
              <a:ea typeface="+mn-ea"/>
              <a:cs typeface="+mn-cs"/>
            </a:defRPr>
          </a:pPr>
          <a:endParaRPr lang="ru-RU"/>
        </a:p>
      </c:txPr>
    </c:legend>
    <c:plotVisOnly val="1"/>
    <c:dispBlanksAs val="gap"/>
    <c:showDLblsOverMax val="1"/>
  </c:chart>
  <c:spPr>
    <a:solidFill>
      <a:schemeClr val="bg1">
        <a:lumMod val="95000"/>
      </a:schemeClr>
    </a:solidFill>
    <a:ln w="9525" cap="flat" cmpd="sng" algn="ctr">
      <a:noFill/>
      <a:prstDash val="solid"/>
      <a:round/>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pivotSource>
    <c:name>[КРС-3 обнова планирование.xlsx]Топ_НПВ_по_мес.!Топ_НПВ_по_мес</c:name>
    <c:fmtId val="7"/>
  </c:pivotSource>
  <c:chart>
    <c:title>
      <c:tx>
        <c:rich>
          <a:bodyPr rot="0" spcFirstLastPara="1" vertOverflow="ellipsis" vert="horz" wrap="square" anchor="ctr" anchorCtr="1"/>
          <a:lstStyle/>
          <a:p>
            <a:pPr>
              <a:defRPr sz="1400" b="0" i="0" strike="noStrike" kern="1200" spc="0" baseline="0">
                <a:solidFill>
                  <a:schemeClr val="tx1"/>
                </a:solidFill>
                <a:latin typeface="Century Gothic" panose="020B0502020202020204" pitchFamily="34" charset="0"/>
                <a:ea typeface="+mn-ea"/>
                <a:cs typeface="+mn-cs"/>
              </a:defRPr>
            </a:pPr>
            <a:r>
              <a:rPr lang="ru-RU"/>
              <a:t>КРС-3: Топ НПВ по месяцам, часы</a:t>
            </a:r>
          </a:p>
        </c:rich>
      </c:tx>
      <c:overlay val="0"/>
      <c:spPr>
        <a:noFill/>
        <a:ln>
          <a:noFill/>
          <a:prstDash val="solid"/>
        </a:ln>
      </c:spPr>
    </c:title>
    <c:autoTitleDeleted val="0"/>
    <c:pivotFmts>
      <c:pivotFmt>
        <c:idx val="0"/>
        <c:spPr>
          <a:solidFill>
            <a:srgbClr val="C00000"/>
          </a:solidFill>
          <a:ln>
            <a:noFill/>
            <a:prstDash val="solid"/>
          </a:ln>
        </c:spPr>
        <c:marker>
          <c:symbol val="none"/>
        </c:marker>
        <c:dLbl>
          <c:idx val="0"/>
          <c:spPr>
            <a:noFill/>
            <a:ln>
              <a:noFill/>
              <a:prstDash val="solid"/>
            </a:ln>
          </c:spPr>
          <c:txPr>
            <a:bodyPr rot="0" spcFirstLastPara="1" vertOverflow="ellipsis" vert="horz" wrap="square" anchor="ctr" anchorCtr="1"/>
            <a:lstStyle/>
            <a:p>
              <a:pPr>
                <a:defRPr sz="900" b="1" i="0" strike="noStrike" kern="1200" baseline="0">
                  <a:solidFill>
                    <a:schemeClr val="tx1"/>
                  </a:solidFill>
                  <a:latin typeface="Century Gothic" panose="020B0502020202020204" pitchFamily="34" charset="0"/>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prstDash val="solid"/>
          </a:ln>
        </c:spPr>
        <c:marker>
          <c:symbol val="none"/>
        </c:marker>
        <c:dLbl>
          <c:idx val="0"/>
          <c:spPr>
            <a:noFill/>
            <a:ln>
              <a:noFill/>
              <a:prstDash val="solid"/>
            </a:ln>
          </c:spPr>
          <c:txPr>
            <a:bodyPr rot="0" spcFirstLastPara="1" vertOverflow="ellipsis" vert="horz" wrap="square" anchor="ctr" anchorCtr="1"/>
            <a:lstStyle/>
            <a:p>
              <a:pPr>
                <a:defRPr sz="900" b="1" i="0" strike="noStrike" kern="1200" baseline="0">
                  <a:solidFill>
                    <a:schemeClr val="tx1"/>
                  </a:solidFill>
                  <a:latin typeface="Century Gothic" panose="020B0502020202020204" pitchFamily="34" charset="0"/>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prstDash val="solid"/>
          </a:ln>
        </c:spPr>
        <c:marker>
          <c:symbol val="none"/>
        </c:marker>
        <c:dLbl>
          <c:idx val="0"/>
          <c:spPr>
            <a:noFill/>
            <a:ln>
              <a:noFill/>
              <a:prstDash val="solid"/>
            </a:ln>
          </c:spPr>
          <c:txPr>
            <a:bodyPr rot="0" spcFirstLastPara="1" vertOverflow="ellipsis" vert="horz" wrap="square" anchor="ctr" anchorCtr="1"/>
            <a:lstStyle/>
            <a:p>
              <a:pPr>
                <a:defRPr sz="900" b="1" i="0" strike="noStrike" kern="1200" baseline="0">
                  <a:solidFill>
                    <a:schemeClr val="tx1"/>
                  </a:solidFill>
                  <a:latin typeface="Century Gothic" panose="020B0502020202020204" pitchFamily="34" charset="0"/>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00000"/>
          </a:solidFill>
          <a:ln>
            <a:noFill/>
            <a:prstDash val="solid"/>
          </a:ln>
        </c:spPr>
        <c:marker>
          <c:symbol val="none"/>
        </c:marker>
        <c:dLbl>
          <c:idx val="0"/>
          <c:spPr>
            <a:noFill/>
            <a:ln>
              <a:noFill/>
              <a:prstDash val="solid"/>
            </a:ln>
          </c:spPr>
          <c:txPr>
            <a:bodyPr rot="0" spcFirstLastPara="1" vertOverflow="ellipsis" vert="horz" wrap="square" anchor="ctr" anchorCtr="1"/>
            <a:lstStyle/>
            <a:p>
              <a:pPr>
                <a:defRPr sz="1600" b="1" i="0" strike="noStrike" kern="1200" baseline="0">
                  <a:solidFill>
                    <a:schemeClr val="tx1"/>
                  </a:solidFill>
                  <a:latin typeface="Century Gothic" panose="020B0502020202020204" pitchFamily="34" charset="0"/>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C00000"/>
          </a:solidFill>
          <a:ln>
            <a:noFill/>
            <a:prstDash val="solid"/>
          </a:ln>
        </c:spPr>
        <c:marker>
          <c:symbol val="none"/>
        </c:marker>
        <c:dLbl>
          <c:idx val="0"/>
          <c:spPr>
            <a:noFill/>
            <a:ln>
              <a:noFill/>
              <a:prstDash val="solid"/>
            </a:ln>
          </c:spPr>
          <c:txPr>
            <a:bodyPr rot="0" spcFirstLastPara="1" vertOverflow="ellipsis" vert="horz" wrap="square" anchor="ctr" anchorCtr="1"/>
            <a:lstStyle/>
            <a:p>
              <a:pPr>
                <a:defRPr sz="1600" b="1" i="0" strike="noStrike" kern="1200" baseline="0">
                  <a:solidFill>
                    <a:schemeClr val="tx1"/>
                  </a:solidFill>
                  <a:latin typeface="Century Gothic" panose="020B0502020202020204" pitchFamily="34" charset="0"/>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ED7D31"/>
          </a:solidFill>
          <a:ln>
            <a:noFill/>
            <a:prstDash val="solid"/>
          </a:ln>
        </c:spPr>
      </c:pivotFmt>
      <c:pivotFmt>
        <c:idx val="6"/>
        <c:spPr>
          <a:solidFill>
            <a:srgbClr val="ED7D31"/>
          </a:solidFill>
          <a:ln>
            <a:noFill/>
            <a:prstDash val="solid"/>
          </a:ln>
        </c:spPr>
      </c:pivotFmt>
      <c:pivotFmt>
        <c:idx val="7"/>
        <c:spPr>
          <a:solidFill>
            <a:srgbClr val="C00000"/>
          </a:solidFill>
          <a:ln>
            <a:noFill/>
            <a:prstDash val="solid"/>
          </a:ln>
        </c:spPr>
        <c:marker>
          <c:symbol val="none"/>
        </c:marker>
        <c:dLbl>
          <c:idx val="0"/>
          <c:spPr>
            <a:noFill/>
            <a:ln>
              <a:noFill/>
              <a:prstDash val="solid"/>
            </a:ln>
          </c:spPr>
          <c:txPr>
            <a:bodyPr rot="0" spcFirstLastPara="1" vertOverflow="ellipsis" vert="horz" wrap="square" anchor="ctr" anchorCtr="1"/>
            <a:lstStyle/>
            <a:p>
              <a:pPr>
                <a:defRPr sz="1600" b="1" i="0" strike="noStrike" kern="1200" baseline="0">
                  <a:solidFill>
                    <a:schemeClr val="tx1"/>
                  </a:solidFill>
                  <a:latin typeface="Century Gothic" panose="020B0502020202020204" pitchFamily="34" charset="0"/>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ED7D31"/>
          </a:solidFill>
          <a:ln>
            <a:noFill/>
            <a:prstDash val="solid"/>
          </a:ln>
        </c:spPr>
      </c:pivotFmt>
      <c:pivotFmt>
        <c:idx val="9"/>
        <c:spPr>
          <a:solidFill>
            <a:srgbClr val="ED7D31"/>
          </a:solidFill>
          <a:ln>
            <a:noFill/>
            <a:prstDash val="solid"/>
          </a:ln>
        </c:spPr>
      </c:pivotFmt>
      <c:pivotFmt>
        <c:idx val="10"/>
        <c:spPr>
          <a:solidFill>
            <a:srgbClr val="C00000"/>
          </a:solidFill>
          <a:ln>
            <a:noFill/>
            <a:prstDash val="solid"/>
          </a:ln>
        </c:spPr>
        <c:marker>
          <c:symbol val="none"/>
        </c:marker>
        <c:dLbl>
          <c:idx val="0"/>
          <c:spPr>
            <a:noFill/>
            <a:ln>
              <a:noFill/>
              <a:prstDash val="solid"/>
            </a:ln>
          </c:spPr>
          <c:txPr>
            <a:bodyPr rot="0" spcFirstLastPara="1" vertOverflow="ellipsis" vert="horz" wrap="square" anchor="ctr" anchorCtr="1"/>
            <a:lstStyle/>
            <a:p>
              <a:pPr>
                <a:defRPr sz="1600" b="1" i="0" strike="noStrike" kern="1200" baseline="0">
                  <a:solidFill>
                    <a:schemeClr val="tx1"/>
                  </a:solidFill>
                  <a:latin typeface="Century Gothic" panose="020B0502020202020204" pitchFamily="34" charset="0"/>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ED7D31"/>
          </a:solidFill>
          <a:ln>
            <a:noFill/>
            <a:prstDash val="solid"/>
          </a:ln>
        </c:spPr>
      </c:pivotFmt>
      <c:pivotFmt>
        <c:idx val="12"/>
        <c:spPr>
          <a:solidFill>
            <a:srgbClr val="FFC000"/>
          </a:solidFill>
          <a:ln>
            <a:noFill/>
            <a:prstDash val="solid"/>
          </a:ln>
        </c:spPr>
        <c:marker>
          <c:symbol val="none"/>
        </c:marker>
        <c:dLbl>
          <c:idx val="0"/>
          <c:spPr>
            <a:noFill/>
            <a:ln>
              <a:noFill/>
              <a:prstDash val="solid"/>
            </a:ln>
          </c:spPr>
          <c:txPr>
            <a:bodyPr rot="0" spcFirstLastPara="1" vertOverflow="ellipsis" vert="horz" wrap="square" anchor="ctr" anchorCtr="1"/>
            <a:lstStyle/>
            <a:p>
              <a:pPr>
                <a:defRPr sz="1600" b="1" i="0" strike="noStrike" kern="1200" baseline="0">
                  <a:solidFill>
                    <a:schemeClr val="tx1"/>
                  </a:solidFill>
                  <a:latin typeface="Century Gothic" panose="020B0502020202020204" pitchFamily="34" charset="0"/>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C00000"/>
          </a:solidFill>
          <a:ln>
            <a:noFill/>
            <a:prstDash val="solid"/>
          </a:ln>
        </c:spPr>
      </c:pivotFmt>
      <c:pivotFmt>
        <c:idx val="14"/>
        <c:spPr>
          <a:solidFill>
            <a:srgbClr val="C00000"/>
          </a:solidFill>
          <a:ln>
            <a:noFill/>
            <a:prstDash val="solid"/>
          </a:ln>
        </c:spPr>
      </c:pivotFmt>
      <c:pivotFmt>
        <c:idx val="15"/>
        <c:spPr>
          <a:solidFill>
            <a:srgbClr val="C00000"/>
          </a:solidFill>
          <a:ln>
            <a:noFill/>
            <a:prstDash val="solid"/>
          </a:ln>
        </c:spPr>
      </c:pivotFmt>
      <c:pivotFmt>
        <c:idx val="16"/>
        <c:spPr>
          <a:ln>
            <a:prstDash val="solid"/>
          </a:ln>
        </c:spPr>
      </c:pivotFmt>
      <c:pivotFmt>
        <c:idx val="17"/>
        <c:spPr>
          <a:ln>
            <a:prstDash val="solid"/>
          </a:ln>
        </c:spPr>
      </c:pivotFmt>
    </c:pivotFmts>
    <c:plotArea>
      <c:layout/>
      <c:barChart>
        <c:barDir val="col"/>
        <c:grouping val="clustered"/>
        <c:varyColors val="0"/>
        <c:ser>
          <c:idx val="0"/>
          <c:order val="0"/>
          <c:tx>
            <c:strRef>
              <c:f>Топ_НПВ_по_мес.!$B$3</c:f>
              <c:strCache>
                <c:ptCount val="1"/>
                <c:pt idx="0">
                  <c:v>Итог</c:v>
                </c:pt>
              </c:strCache>
            </c:strRef>
          </c:tx>
          <c:spPr>
            <a:solidFill>
              <a:srgbClr val="FFC000"/>
            </a:solidFill>
            <a:ln>
              <a:noFill/>
              <a:prstDash val="solid"/>
            </a:ln>
          </c:spPr>
          <c:invertIfNegative val="0"/>
          <c:dPt>
            <c:idx val="1"/>
            <c:invertIfNegative val="0"/>
            <c:bubble3D val="0"/>
            <c:spPr>
              <a:ln>
                <a:prstDash val="solid"/>
              </a:ln>
            </c:spPr>
            <c:extLst>
              <c:ext xmlns:c16="http://schemas.microsoft.com/office/drawing/2014/chart" uri="{C3380CC4-5D6E-409C-BE32-E72D297353CC}">
                <c16:uniqueId val="{00000001-54BA-4FC1-B3CC-BAFAD70ABFD0}"/>
              </c:ext>
            </c:extLst>
          </c:dPt>
          <c:dPt>
            <c:idx val="2"/>
            <c:invertIfNegative val="0"/>
            <c:bubble3D val="0"/>
            <c:spPr>
              <a:ln>
                <a:prstDash val="solid"/>
              </a:ln>
            </c:spPr>
            <c:extLst>
              <c:ext xmlns:c16="http://schemas.microsoft.com/office/drawing/2014/chart" uri="{C3380CC4-5D6E-409C-BE32-E72D297353CC}">
                <c16:uniqueId val="{00000003-54BA-4FC1-B3CC-BAFAD70ABFD0}"/>
              </c:ext>
            </c:extLst>
          </c:dPt>
          <c:dPt>
            <c:idx val="10"/>
            <c:invertIfNegative val="0"/>
            <c:bubble3D val="0"/>
            <c:extLst>
              <c:ext xmlns:c16="http://schemas.microsoft.com/office/drawing/2014/chart" uri="{C3380CC4-5D6E-409C-BE32-E72D297353CC}">
                <c16:uniqueId val="{00000005-54BA-4FC1-B3CC-BAFAD70ABFD0}"/>
              </c:ext>
            </c:extLst>
          </c:dPt>
          <c:dLbls>
            <c:spPr>
              <a:noFill/>
              <a:ln>
                <a:noFill/>
                <a:prstDash val="solid"/>
              </a:ln>
            </c:spPr>
            <c:txPr>
              <a:bodyPr rot="0" spcFirstLastPara="1" vertOverflow="ellipsis" vert="horz" wrap="square" anchor="ctr" anchorCtr="1"/>
              <a:lstStyle/>
              <a:p>
                <a:pPr>
                  <a:defRPr sz="1600" b="1" i="0" strike="noStrike" kern="1200" baseline="0">
                    <a:solidFill>
                      <a:schemeClr val="tx1"/>
                    </a:solidFill>
                    <a:latin typeface="Century Gothic" panose="020B0502020202020204" pitchFamily="34" charset="0"/>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Топ_НПВ_по_мес.!$A$4:$A$11</c:f>
              <c:multiLvlStrCache>
                <c:ptCount val="5"/>
                <c:lvl>
                  <c:pt idx="0">
                    <c:v>Ожидание персонала</c:v>
                  </c:pt>
                  <c:pt idx="1">
                    <c:v>(пусто)</c:v>
                  </c:pt>
                  <c:pt idx="2">
                    <c:v>Ожидание разрешения</c:v>
                  </c:pt>
                  <c:pt idx="3">
                    <c:v>Ожидание разрешения</c:v>
                  </c:pt>
                  <c:pt idx="4">
                    <c:v>(пусто)</c:v>
                  </c:pt>
                </c:lvl>
                <c:lvl>
                  <c:pt idx="0">
                    <c:v>май</c:v>
                  </c:pt>
                  <c:pt idx="3">
                    <c:v>июн</c:v>
                  </c:pt>
                </c:lvl>
              </c:multiLvlStrCache>
            </c:multiLvlStrRef>
          </c:cat>
          <c:val>
            <c:numRef>
              <c:f>Топ_НПВ_по_мес.!$B$4:$B$11</c:f>
              <c:numCache>
                <c:formatCode>0.0</c:formatCode>
                <c:ptCount val="5"/>
                <c:pt idx="0">
                  <c:v>69</c:v>
                </c:pt>
                <c:pt idx="1">
                  <c:v>58</c:v>
                </c:pt>
                <c:pt idx="2">
                  <c:v>41</c:v>
                </c:pt>
                <c:pt idx="3">
                  <c:v>161</c:v>
                </c:pt>
                <c:pt idx="4">
                  <c:v>12.5</c:v>
                </c:pt>
              </c:numCache>
            </c:numRef>
          </c:val>
          <c:extLst>
            <c:ext xmlns:c16="http://schemas.microsoft.com/office/drawing/2014/chart" uri="{C3380CC4-5D6E-409C-BE32-E72D297353CC}">
              <c16:uniqueId val="{00000006-54BA-4FC1-B3CC-BAFAD70ABFD0}"/>
            </c:ext>
          </c:extLst>
        </c:ser>
        <c:dLbls>
          <c:showLegendKey val="0"/>
          <c:showVal val="0"/>
          <c:showCatName val="0"/>
          <c:showSerName val="0"/>
          <c:showPercent val="0"/>
          <c:showBubbleSize val="0"/>
        </c:dLbls>
        <c:gapWidth val="219"/>
        <c:overlap val="-27"/>
        <c:axId val="644149295"/>
        <c:axId val="458405087"/>
      </c:barChart>
      <c:catAx>
        <c:axId val="644149295"/>
        <c:scaling>
          <c:orientation val="minMax"/>
        </c:scaling>
        <c:delete val="0"/>
        <c:axPos val="b"/>
        <c:numFmt formatCode="General" sourceLinked="1"/>
        <c:majorTickMark val="none"/>
        <c:minorTickMark val="none"/>
        <c:tickLblPos val="nextTo"/>
        <c:spPr>
          <a:noFill/>
          <a:ln w="9525" cap="flat" cmpd="sng" algn="ctr">
            <a:solidFill>
              <a:sysClr val="window" lastClr="FFFFFF">
                <a:lumMod val="50000"/>
              </a:sysClr>
            </a:solidFill>
            <a:prstDash val="solid"/>
            <a:round/>
          </a:ln>
        </c:spPr>
        <c:txPr>
          <a:bodyPr rot="-60000000" spcFirstLastPara="1" vertOverflow="ellipsis" vert="horz" wrap="square" anchor="ctr" anchorCtr="1"/>
          <a:lstStyle/>
          <a:p>
            <a:pPr>
              <a:defRPr sz="1400" b="0" i="0" strike="noStrike" kern="1200" baseline="0">
                <a:solidFill>
                  <a:schemeClr val="tx1"/>
                </a:solidFill>
                <a:latin typeface="Century Gothic" panose="020B0502020202020204" pitchFamily="34" charset="0"/>
                <a:ea typeface="+mn-ea"/>
                <a:cs typeface="+mn-cs"/>
              </a:defRPr>
            </a:pPr>
            <a:endParaRPr lang="ru-RU"/>
          </a:p>
        </c:txPr>
        <c:crossAx val="458405087"/>
        <c:crosses val="autoZero"/>
        <c:auto val="1"/>
        <c:lblAlgn val="ctr"/>
        <c:lblOffset val="100"/>
        <c:noMultiLvlLbl val="0"/>
      </c:catAx>
      <c:valAx>
        <c:axId val="458405087"/>
        <c:scaling>
          <c:orientation val="minMax"/>
        </c:scaling>
        <c:delete val="1"/>
        <c:axPos val="l"/>
        <c:numFmt formatCode="0.0" sourceLinked="1"/>
        <c:majorTickMark val="none"/>
        <c:minorTickMark val="none"/>
        <c:tickLblPos val="nextTo"/>
        <c:crossAx val="644149295"/>
        <c:crosses val="autoZero"/>
        <c:crossBetween val="between"/>
      </c:valAx>
    </c:plotArea>
    <c:plotVisOnly val="1"/>
    <c:dispBlanksAs val="gap"/>
    <c:showDLblsOverMax val="1"/>
  </c:chart>
  <c:spPr>
    <a:solidFill>
      <a:schemeClr val="bg1">
        <a:lumMod val="95000"/>
      </a:schemeClr>
    </a:solidFill>
    <a:ln w="9525" cap="flat" cmpd="sng" algn="ctr">
      <a:noFill/>
      <a:prstDash val="solid"/>
      <a:round/>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pivotSource>
    <c:name>[КРС-3 обнова планирование.xlsx]Топ_ремонтов!Топ_ремонтов</c:name>
    <c:fmtId val="10"/>
  </c:pivotSource>
  <c:chart>
    <c:title>
      <c:tx>
        <c:rich>
          <a:bodyPr rot="0" spcFirstLastPara="1" vertOverflow="ellipsis" vert="horz" wrap="square" anchor="ctr" anchorCtr="1"/>
          <a:lstStyle/>
          <a:p>
            <a:pPr>
              <a:defRPr sz="1400" b="0" i="0" strike="noStrike" kern="1200" spc="0" baseline="0">
                <a:solidFill>
                  <a:schemeClr val="tx1"/>
                </a:solidFill>
                <a:latin typeface="Century Gothic" panose="020B0502020202020204" pitchFamily="34" charset="0"/>
                <a:ea typeface="+mn-ea"/>
                <a:cs typeface="+mn-cs"/>
              </a:defRPr>
            </a:pPr>
            <a:r>
              <a:rPr lang="ru-RU"/>
              <a:t>Топ ремонтов, часы</a:t>
            </a:r>
          </a:p>
        </c:rich>
      </c:tx>
      <c:overlay val="0"/>
      <c:spPr>
        <a:noFill/>
        <a:ln>
          <a:noFill/>
          <a:prstDash val="solid"/>
        </a:ln>
      </c:spPr>
    </c:title>
    <c:autoTitleDeleted val="0"/>
    <c:pivotFmts>
      <c:pivotFmt>
        <c:idx val="0"/>
        <c:spPr>
          <a:solidFill>
            <a:srgbClr val="C00000"/>
          </a:solidFill>
          <a:ln>
            <a:noFill/>
            <a:prstDash val="solid"/>
          </a:ln>
        </c:spPr>
        <c:marker>
          <c:symbol val="none"/>
        </c:marker>
        <c:dLbl>
          <c:idx val="0"/>
          <c:spPr>
            <a:noFill/>
            <a:ln>
              <a:noFill/>
              <a:prstDash val="solid"/>
            </a:ln>
          </c:spPr>
          <c:txPr>
            <a:bodyPr rot="0" spcFirstLastPara="1" vertOverflow="ellipsis" vert="horz" wrap="square" anchor="ctr" anchorCtr="1"/>
            <a:lstStyle/>
            <a:p>
              <a:pPr>
                <a:defRPr sz="900" b="1" i="0" strike="noStrike" kern="1200" baseline="0">
                  <a:solidFill>
                    <a:schemeClr val="tx1"/>
                  </a:solidFill>
                  <a:latin typeface="Century Gothic" panose="020B0502020202020204" pitchFamily="34" charset="0"/>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prstDash val="solid"/>
          </a:ln>
        </c:spPr>
        <c:marker>
          <c:symbol val="none"/>
        </c:marker>
        <c:dLbl>
          <c:idx val="0"/>
          <c:spPr>
            <a:noFill/>
            <a:ln>
              <a:noFill/>
              <a:prstDash val="solid"/>
            </a:ln>
          </c:spPr>
          <c:txPr>
            <a:bodyPr rot="0" spcFirstLastPara="1" vertOverflow="ellipsis" vert="horz" wrap="square" anchor="ctr" anchorCtr="1"/>
            <a:lstStyle/>
            <a:p>
              <a:pPr>
                <a:defRPr sz="900" b="1" i="0" strike="noStrike" kern="1200" baseline="0">
                  <a:solidFill>
                    <a:schemeClr val="tx1"/>
                  </a:solidFill>
                  <a:latin typeface="Century Gothic" panose="020B0502020202020204" pitchFamily="34" charset="0"/>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prstDash val="solid"/>
          </a:ln>
        </c:spPr>
        <c:marker>
          <c:symbol val="none"/>
        </c:marker>
        <c:dLbl>
          <c:idx val="0"/>
          <c:spPr>
            <a:noFill/>
            <a:ln>
              <a:noFill/>
              <a:prstDash val="solid"/>
            </a:ln>
          </c:spPr>
          <c:txPr>
            <a:bodyPr rot="0" spcFirstLastPara="1" vertOverflow="ellipsis" vert="horz" wrap="square" anchor="ctr" anchorCtr="1"/>
            <a:lstStyle/>
            <a:p>
              <a:pPr>
                <a:defRPr sz="900" b="1" i="0" strike="noStrike" kern="1200" baseline="0">
                  <a:solidFill>
                    <a:schemeClr val="tx1"/>
                  </a:solidFill>
                  <a:latin typeface="Century Gothic" panose="020B0502020202020204" pitchFamily="34" charset="0"/>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00000"/>
          </a:solidFill>
          <a:ln>
            <a:noFill/>
            <a:prstDash val="solid"/>
          </a:ln>
        </c:spPr>
        <c:marker>
          <c:symbol val="none"/>
        </c:marker>
        <c:dLbl>
          <c:idx val="0"/>
          <c:spPr>
            <a:noFill/>
            <a:ln>
              <a:noFill/>
              <a:prstDash val="solid"/>
            </a:ln>
          </c:spPr>
          <c:txPr>
            <a:bodyPr rot="0" spcFirstLastPara="1" vertOverflow="ellipsis" vert="horz" wrap="square" anchor="ctr" anchorCtr="1"/>
            <a:lstStyle/>
            <a:p>
              <a:pPr>
                <a:defRPr sz="1600" b="1" i="0" strike="noStrike" kern="1200" baseline="0">
                  <a:solidFill>
                    <a:schemeClr val="tx1"/>
                  </a:solidFill>
                  <a:latin typeface="Century Gothic" panose="020B0502020202020204" pitchFamily="34" charset="0"/>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C00000"/>
          </a:solidFill>
          <a:ln>
            <a:noFill/>
            <a:prstDash val="solid"/>
          </a:ln>
        </c:spPr>
        <c:marker>
          <c:symbol val="none"/>
        </c:marker>
        <c:dLbl>
          <c:idx val="0"/>
          <c:spPr>
            <a:noFill/>
            <a:ln>
              <a:noFill/>
              <a:prstDash val="solid"/>
            </a:ln>
          </c:spPr>
          <c:txPr>
            <a:bodyPr rot="0" spcFirstLastPara="1" vertOverflow="ellipsis" vert="horz" wrap="square" anchor="ctr" anchorCtr="1"/>
            <a:lstStyle/>
            <a:p>
              <a:pPr>
                <a:defRPr sz="1600" b="1" i="0" strike="noStrike" kern="1200" baseline="0">
                  <a:solidFill>
                    <a:schemeClr val="tx1"/>
                  </a:solidFill>
                  <a:latin typeface="Century Gothic" panose="020B0502020202020204" pitchFamily="34" charset="0"/>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00000"/>
          </a:solidFill>
          <a:ln>
            <a:noFill/>
            <a:prstDash val="solid"/>
          </a:ln>
        </c:spPr>
        <c:marker>
          <c:symbol val="none"/>
        </c:marker>
        <c:dLbl>
          <c:idx val="0"/>
          <c:spPr>
            <a:noFill/>
            <a:ln>
              <a:noFill/>
              <a:prstDash val="solid"/>
            </a:ln>
          </c:spPr>
          <c:txPr>
            <a:bodyPr rot="0" spcFirstLastPara="1" vertOverflow="ellipsis" vert="horz" wrap="square" anchor="ctr" anchorCtr="1"/>
            <a:lstStyle/>
            <a:p>
              <a:pPr>
                <a:defRPr sz="1600" b="1" i="0" strike="noStrike" kern="1200" baseline="0">
                  <a:solidFill>
                    <a:schemeClr val="tx1"/>
                  </a:solidFill>
                  <a:latin typeface="Century Gothic" panose="020B0502020202020204" pitchFamily="34" charset="0"/>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C00000"/>
          </a:solidFill>
          <a:ln>
            <a:noFill/>
            <a:prstDash val="solid"/>
          </a:ln>
        </c:spPr>
        <c:marker>
          <c:symbol val="none"/>
        </c:marker>
        <c:dLbl>
          <c:idx val="0"/>
          <c:spPr>
            <a:noFill/>
            <a:ln>
              <a:noFill/>
              <a:prstDash val="solid"/>
            </a:ln>
          </c:spPr>
          <c:txPr>
            <a:bodyPr rot="0" spcFirstLastPara="1" vertOverflow="ellipsis" vert="horz" wrap="square" anchor="ctr" anchorCtr="1"/>
            <a:lstStyle/>
            <a:p>
              <a:pPr>
                <a:defRPr sz="1600" b="1" i="0" strike="noStrike" kern="1200" baseline="0">
                  <a:solidFill>
                    <a:schemeClr val="tx1"/>
                  </a:solidFill>
                  <a:latin typeface="Century Gothic" panose="020B0502020202020204" pitchFamily="34" charset="0"/>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00000"/>
          </a:solidFill>
          <a:ln>
            <a:noFill/>
            <a:prstDash val="solid"/>
          </a:ln>
        </c:spPr>
        <c:marker>
          <c:symbol val="none"/>
        </c:marker>
        <c:dLbl>
          <c:idx val="0"/>
          <c:spPr>
            <a:noFill/>
            <a:ln>
              <a:noFill/>
              <a:prstDash val="solid"/>
            </a:ln>
          </c:spPr>
          <c:txPr>
            <a:bodyPr rot="0" spcFirstLastPara="1" vertOverflow="ellipsis" vert="horz" wrap="square" anchor="ctr" anchorCtr="1"/>
            <a:lstStyle/>
            <a:p>
              <a:pPr>
                <a:defRPr sz="1600" b="1" i="0" strike="noStrike" kern="1200" baseline="0">
                  <a:solidFill>
                    <a:schemeClr val="tx1"/>
                  </a:solidFill>
                  <a:latin typeface="Century Gothic" panose="020B0502020202020204" pitchFamily="34" charset="0"/>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Топ_ремонтов!$B$4</c:f>
              <c:strCache>
                <c:ptCount val="1"/>
                <c:pt idx="0">
                  <c:v>Итог</c:v>
                </c:pt>
              </c:strCache>
            </c:strRef>
          </c:tx>
          <c:spPr>
            <a:solidFill>
              <a:srgbClr val="C00000"/>
            </a:solidFill>
            <a:ln>
              <a:noFill/>
              <a:prstDash val="solid"/>
            </a:ln>
          </c:spPr>
          <c:invertIfNegative val="0"/>
          <c:dLbls>
            <c:spPr>
              <a:noFill/>
              <a:ln>
                <a:noFill/>
                <a:prstDash val="solid"/>
              </a:ln>
            </c:spPr>
            <c:txPr>
              <a:bodyPr rot="0" spcFirstLastPara="1" vertOverflow="ellipsis" vert="horz" wrap="square" anchor="ctr" anchorCtr="1"/>
              <a:lstStyle/>
              <a:p>
                <a:pPr>
                  <a:defRPr sz="1600" b="1" i="0" strike="noStrike" kern="1200" baseline="0">
                    <a:solidFill>
                      <a:schemeClr val="tx1"/>
                    </a:solidFill>
                    <a:latin typeface="Century Gothic" panose="020B0502020202020204" pitchFamily="34" charset="0"/>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Топ_ремонтов!$A$5:$A$11</c:f>
              <c:multiLvlStrCache>
                <c:ptCount val="4"/>
                <c:lvl>
                  <c:pt idx="0">
                    <c:v>ПВО</c:v>
                  </c:pt>
                  <c:pt idx="1">
                    <c:v>Запорная арматура</c:v>
                  </c:pt>
                  <c:pt idx="2">
                    <c:v>ПВО</c:v>
                  </c:pt>
                  <c:pt idx="3">
                    <c:v>УПА</c:v>
                  </c:pt>
                </c:lvl>
                <c:lvl>
                  <c:pt idx="0">
                    <c:v>Замена</c:v>
                  </c:pt>
                  <c:pt idx="2">
                    <c:v>Ремонт</c:v>
                  </c:pt>
                </c:lvl>
              </c:multiLvlStrCache>
            </c:multiLvlStrRef>
          </c:cat>
          <c:val>
            <c:numRef>
              <c:f>Топ_ремонтов!$B$5:$B$11</c:f>
              <c:numCache>
                <c:formatCode>0</c:formatCode>
                <c:ptCount val="4"/>
                <c:pt idx="0">
                  <c:v>5</c:v>
                </c:pt>
                <c:pt idx="1">
                  <c:v>4</c:v>
                </c:pt>
                <c:pt idx="2">
                  <c:v>6</c:v>
                </c:pt>
                <c:pt idx="3">
                  <c:v>1.5</c:v>
                </c:pt>
              </c:numCache>
            </c:numRef>
          </c:val>
          <c:extLst>
            <c:ext xmlns:c16="http://schemas.microsoft.com/office/drawing/2014/chart" uri="{C3380CC4-5D6E-409C-BE32-E72D297353CC}">
              <c16:uniqueId val="{00000000-6BAA-4662-A29C-394917AC3AEA}"/>
            </c:ext>
          </c:extLst>
        </c:ser>
        <c:dLbls>
          <c:showLegendKey val="0"/>
          <c:showVal val="0"/>
          <c:showCatName val="0"/>
          <c:showSerName val="0"/>
          <c:showPercent val="0"/>
          <c:showBubbleSize val="0"/>
        </c:dLbls>
        <c:gapWidth val="219"/>
        <c:overlap val="-27"/>
        <c:axId val="644149295"/>
        <c:axId val="458405087"/>
      </c:barChart>
      <c:catAx>
        <c:axId val="644149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solidFill>
                <a:latin typeface="Century Gothic" panose="020B0502020202020204" pitchFamily="34" charset="0"/>
                <a:ea typeface="+mn-ea"/>
                <a:cs typeface="+mn-cs"/>
              </a:defRPr>
            </a:pPr>
            <a:endParaRPr lang="ru-RU"/>
          </a:p>
        </c:txPr>
        <c:crossAx val="458405087"/>
        <c:crosses val="autoZero"/>
        <c:auto val="1"/>
        <c:lblAlgn val="ctr"/>
        <c:lblOffset val="100"/>
        <c:noMultiLvlLbl val="0"/>
      </c:catAx>
      <c:valAx>
        <c:axId val="458405087"/>
        <c:scaling>
          <c:orientation val="minMax"/>
        </c:scaling>
        <c:delete val="1"/>
        <c:axPos val="l"/>
        <c:numFmt formatCode="0" sourceLinked="1"/>
        <c:majorTickMark val="none"/>
        <c:minorTickMark val="none"/>
        <c:tickLblPos val="nextTo"/>
        <c:crossAx val="644149295"/>
        <c:crosses val="autoZero"/>
        <c:crossBetween val="between"/>
      </c:valAx>
    </c:plotArea>
    <c:plotVisOnly val="1"/>
    <c:dispBlanksAs val="gap"/>
    <c:showDLblsOverMax val="1"/>
  </c:chart>
  <c:spPr>
    <a:solidFill>
      <a:schemeClr val="bg1">
        <a:lumMod val="95000"/>
      </a:schemeClr>
    </a:solidFill>
    <a:ln w="9525" cap="flat" cmpd="sng" algn="ctr">
      <a:noFill/>
      <a:prstDash val="solid"/>
      <a:round/>
    </a:ln>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pivotSource>
    <c:name>[КРС-3 обнова планирование.xlsx]Рейсовая_скорость!Рейсовая_скорость</c:name>
    <c:fmtId val="10"/>
  </c:pivotSource>
  <c:chart>
    <c:title>
      <c:tx>
        <c:rich>
          <a:bodyPr rot="0" spcFirstLastPara="1" vertOverflow="ellipsis" vert="horz" wrap="square" anchor="ctr" anchorCtr="1"/>
          <a:lstStyle/>
          <a:p>
            <a:pPr>
              <a:defRPr sz="1400" b="0" i="0" strike="noStrike" kern="1200" spc="0" baseline="0">
                <a:solidFill>
                  <a:schemeClr val="tx1"/>
                </a:solidFill>
                <a:latin typeface="Century Gothic" panose="020B0502020202020204" pitchFamily="34" charset="0"/>
                <a:ea typeface="+mn-ea"/>
                <a:cs typeface="+mn-cs"/>
              </a:defRPr>
            </a:pPr>
            <a:r>
              <a:rPr lang="ru-RU"/>
              <a:t>Средняя рейсовая скорость,</a:t>
            </a:r>
            <a:r>
              <a:rPr lang="ru-RU" baseline="0"/>
              <a:t> м/сутки</a:t>
            </a:r>
            <a:endParaRPr lang="ru-RU"/>
          </a:p>
        </c:rich>
      </c:tx>
      <c:overlay val="0"/>
      <c:spPr>
        <a:noFill/>
        <a:ln>
          <a:noFill/>
          <a:prstDash val="solid"/>
        </a:ln>
      </c:spPr>
    </c:title>
    <c:autoTitleDeleted val="0"/>
    <c:pivotFmts>
      <c:pivotFmt>
        <c:idx val="0"/>
        <c:spPr>
          <a:solidFill>
            <a:srgbClr val="C00000"/>
          </a:solidFill>
          <a:ln>
            <a:noFill/>
            <a:prstDash val="solid"/>
          </a:ln>
        </c:spPr>
        <c:marker>
          <c:symbol val="none"/>
        </c:marker>
        <c:dLbl>
          <c:idx val="0"/>
          <c:spPr>
            <a:noFill/>
            <a:ln>
              <a:noFill/>
              <a:prstDash val="solid"/>
            </a:ln>
          </c:spPr>
          <c:txPr>
            <a:bodyPr rot="0" spcFirstLastPara="1" vertOverflow="ellipsis" vert="horz" wrap="square" anchor="ctr" anchorCtr="1"/>
            <a:lstStyle/>
            <a:p>
              <a:pPr>
                <a:defRPr sz="900" b="1" i="0" strike="noStrike" kern="1200" baseline="0">
                  <a:solidFill>
                    <a:schemeClr val="tx1"/>
                  </a:solidFill>
                  <a:latin typeface="Century Gothic" panose="020B0502020202020204" pitchFamily="34" charset="0"/>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prstDash val="solid"/>
          </a:ln>
        </c:spPr>
        <c:marker>
          <c:symbol val="none"/>
        </c:marker>
        <c:dLbl>
          <c:idx val="0"/>
          <c:spPr>
            <a:noFill/>
            <a:ln>
              <a:noFill/>
              <a:prstDash val="solid"/>
            </a:ln>
          </c:spPr>
          <c:txPr>
            <a:bodyPr rot="0" spcFirstLastPara="1" vertOverflow="ellipsis" vert="horz" wrap="square" anchor="ctr" anchorCtr="1"/>
            <a:lstStyle/>
            <a:p>
              <a:pPr>
                <a:defRPr sz="900" b="1" i="0" strike="noStrike" kern="1200" baseline="0">
                  <a:solidFill>
                    <a:schemeClr val="tx1"/>
                  </a:solidFill>
                  <a:latin typeface="Century Gothic" panose="020B0502020202020204" pitchFamily="34" charset="0"/>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prstDash val="solid"/>
          </a:ln>
        </c:spPr>
        <c:marker>
          <c:symbol val="none"/>
        </c:marker>
        <c:dLbl>
          <c:idx val="0"/>
          <c:spPr>
            <a:noFill/>
            <a:ln>
              <a:noFill/>
              <a:prstDash val="solid"/>
            </a:ln>
          </c:spPr>
          <c:txPr>
            <a:bodyPr rot="0" spcFirstLastPara="1" vertOverflow="ellipsis" vert="horz" wrap="square" anchor="ctr" anchorCtr="1"/>
            <a:lstStyle/>
            <a:p>
              <a:pPr>
                <a:defRPr sz="900" b="1" i="0" strike="noStrike" kern="1200" baseline="0">
                  <a:solidFill>
                    <a:schemeClr val="tx1"/>
                  </a:solidFill>
                  <a:latin typeface="Century Gothic" panose="020B0502020202020204" pitchFamily="34" charset="0"/>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00000"/>
          </a:solidFill>
          <a:ln>
            <a:noFill/>
            <a:prstDash val="solid"/>
          </a:ln>
        </c:spPr>
        <c:marker>
          <c:symbol val="none"/>
        </c:marker>
        <c:dLbl>
          <c:idx val="0"/>
          <c:spPr>
            <a:noFill/>
            <a:ln>
              <a:noFill/>
              <a:prstDash val="solid"/>
            </a:ln>
          </c:spPr>
          <c:txPr>
            <a:bodyPr rot="0" spcFirstLastPara="1" vertOverflow="ellipsis" vert="horz" wrap="square" anchor="ctr" anchorCtr="1"/>
            <a:lstStyle/>
            <a:p>
              <a:pPr>
                <a:defRPr sz="1600" b="1" i="0" strike="noStrike" kern="1200" baseline="0">
                  <a:solidFill>
                    <a:schemeClr val="tx1"/>
                  </a:solidFill>
                  <a:latin typeface="Century Gothic" panose="020B0502020202020204" pitchFamily="34" charset="0"/>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C00000"/>
          </a:solidFill>
          <a:ln>
            <a:noFill/>
            <a:prstDash val="solid"/>
          </a:ln>
        </c:spPr>
        <c:marker>
          <c:symbol val="none"/>
        </c:marker>
        <c:dLbl>
          <c:idx val="0"/>
          <c:spPr>
            <a:noFill/>
            <a:ln>
              <a:noFill/>
              <a:prstDash val="solid"/>
            </a:ln>
          </c:spPr>
          <c:txPr>
            <a:bodyPr rot="0" spcFirstLastPara="1" vertOverflow="ellipsis" vert="horz" wrap="square" anchor="ctr" anchorCtr="1"/>
            <a:lstStyle/>
            <a:p>
              <a:pPr>
                <a:defRPr sz="1600" b="1" i="0" strike="noStrike" kern="1200" baseline="0">
                  <a:solidFill>
                    <a:schemeClr val="tx1"/>
                  </a:solidFill>
                  <a:latin typeface="Century Gothic" panose="020B0502020202020204" pitchFamily="34" charset="0"/>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00000"/>
          </a:solidFill>
          <a:ln>
            <a:noFill/>
            <a:prstDash val="solid"/>
          </a:ln>
        </c:spPr>
        <c:marker>
          <c:symbol val="none"/>
        </c:marker>
        <c:dLbl>
          <c:idx val="0"/>
          <c:spPr>
            <a:noFill/>
            <a:ln>
              <a:noFill/>
              <a:prstDash val="solid"/>
            </a:ln>
          </c:spPr>
          <c:txPr>
            <a:bodyPr rot="0" spcFirstLastPara="1" vertOverflow="ellipsis" vert="horz" wrap="square" anchor="ctr" anchorCtr="1"/>
            <a:lstStyle/>
            <a:p>
              <a:pPr>
                <a:defRPr sz="1600" b="1" i="0" strike="noStrike" kern="1200" baseline="0">
                  <a:solidFill>
                    <a:schemeClr val="tx1"/>
                  </a:solidFill>
                  <a:latin typeface="Century Gothic" panose="020B0502020202020204" pitchFamily="34" charset="0"/>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C00000"/>
          </a:solidFill>
          <a:ln>
            <a:noFill/>
            <a:prstDash val="solid"/>
          </a:ln>
        </c:spPr>
        <c:marker>
          <c:symbol val="none"/>
        </c:marker>
        <c:dLbl>
          <c:idx val="0"/>
          <c:spPr>
            <a:noFill/>
            <a:ln>
              <a:noFill/>
              <a:prstDash val="solid"/>
            </a:ln>
          </c:spPr>
          <c:txPr>
            <a:bodyPr rot="0" spcFirstLastPara="1" vertOverflow="ellipsis" vert="horz" wrap="square" anchor="ctr" anchorCtr="1"/>
            <a:lstStyle/>
            <a:p>
              <a:pPr>
                <a:defRPr sz="1600" b="1" i="0" strike="noStrike" kern="1200" baseline="0">
                  <a:solidFill>
                    <a:schemeClr val="tx1"/>
                  </a:solidFill>
                  <a:latin typeface="Century Gothic" panose="020B0502020202020204" pitchFamily="34" charset="0"/>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00000"/>
          </a:solidFill>
          <a:ln>
            <a:noFill/>
            <a:prstDash val="solid"/>
          </a:ln>
        </c:spPr>
        <c:marker>
          <c:symbol val="none"/>
        </c:marker>
        <c:dLbl>
          <c:idx val="0"/>
          <c:spPr>
            <a:noFill/>
            <a:ln>
              <a:noFill/>
              <a:prstDash val="solid"/>
            </a:ln>
          </c:spPr>
          <c:txPr>
            <a:bodyPr rot="0" spcFirstLastPara="1" vertOverflow="ellipsis" vert="horz" wrap="square" anchor="ctr" anchorCtr="1"/>
            <a:lstStyle/>
            <a:p>
              <a:pPr>
                <a:defRPr sz="1600" b="1" i="0" strike="noStrike" kern="1200" baseline="0">
                  <a:solidFill>
                    <a:schemeClr val="tx1"/>
                  </a:solidFill>
                  <a:latin typeface="Century Gothic" panose="020B0502020202020204" pitchFamily="34" charset="0"/>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Рейсовая_скорость!$B$3</c:f>
              <c:strCache>
                <c:ptCount val="1"/>
                <c:pt idx="0">
                  <c:v>Итог</c:v>
                </c:pt>
              </c:strCache>
            </c:strRef>
          </c:tx>
          <c:spPr>
            <a:solidFill>
              <a:srgbClr val="C00000"/>
            </a:solidFill>
            <a:ln>
              <a:noFill/>
              <a:prstDash val="solid"/>
            </a:ln>
          </c:spPr>
          <c:invertIfNegative val="0"/>
          <c:dLbls>
            <c:spPr>
              <a:noFill/>
              <a:ln>
                <a:noFill/>
                <a:prstDash val="solid"/>
              </a:ln>
            </c:spPr>
            <c:txPr>
              <a:bodyPr rot="0" spcFirstLastPara="1" vertOverflow="ellipsis" vert="horz" wrap="square" anchor="ctr" anchorCtr="1"/>
              <a:lstStyle/>
              <a:p>
                <a:pPr>
                  <a:defRPr sz="1600" b="1" i="0" strike="noStrike" kern="1200" baseline="0">
                    <a:solidFill>
                      <a:schemeClr val="tx1"/>
                    </a:solidFill>
                    <a:latin typeface="Century Gothic" panose="020B0502020202020204" pitchFamily="34" charset="0"/>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Рейсовая_скорость!$A$4:$A$11</c:f>
              <c:strCache>
                <c:ptCount val="7"/>
                <c:pt idx="0">
                  <c:v>Жангазиев С.К.</c:v>
                </c:pt>
                <c:pt idx="1">
                  <c:v>Керимов Н.К.</c:v>
                </c:pt>
                <c:pt idx="2">
                  <c:v>Штыкин А.А.</c:v>
                </c:pt>
                <c:pt idx="3">
                  <c:v>Шипунов С.И.</c:v>
                </c:pt>
                <c:pt idx="4">
                  <c:v>Хохряков В.Я.</c:v>
                </c:pt>
                <c:pt idx="5">
                  <c:v>Титов А.А.</c:v>
                </c:pt>
                <c:pt idx="6">
                  <c:v>Арбузов А.В.</c:v>
                </c:pt>
              </c:strCache>
            </c:strRef>
          </c:cat>
          <c:val>
            <c:numRef>
              <c:f>Рейсовая_скорость!$B$4:$B$11</c:f>
              <c:numCache>
                <c:formatCode>0</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0-8FFE-4FCD-894D-3550D9D96EE0}"/>
            </c:ext>
          </c:extLst>
        </c:ser>
        <c:dLbls>
          <c:showLegendKey val="0"/>
          <c:showVal val="0"/>
          <c:showCatName val="0"/>
          <c:showSerName val="0"/>
          <c:showPercent val="0"/>
          <c:showBubbleSize val="0"/>
        </c:dLbls>
        <c:gapWidth val="219"/>
        <c:overlap val="-27"/>
        <c:axId val="644149295"/>
        <c:axId val="458405087"/>
      </c:barChart>
      <c:catAx>
        <c:axId val="644149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1200" b="0" i="0" strike="noStrike" kern="1200" baseline="0">
                <a:solidFill>
                  <a:schemeClr val="tx1"/>
                </a:solidFill>
                <a:latin typeface="Century Gothic" panose="020B0502020202020204" pitchFamily="34" charset="0"/>
                <a:ea typeface="+mn-ea"/>
                <a:cs typeface="+mn-cs"/>
              </a:defRPr>
            </a:pPr>
            <a:endParaRPr lang="ru-RU"/>
          </a:p>
        </c:txPr>
        <c:crossAx val="458405087"/>
        <c:crosses val="autoZero"/>
        <c:auto val="1"/>
        <c:lblAlgn val="ctr"/>
        <c:lblOffset val="100"/>
        <c:noMultiLvlLbl val="0"/>
      </c:catAx>
      <c:valAx>
        <c:axId val="458405087"/>
        <c:scaling>
          <c:orientation val="minMax"/>
        </c:scaling>
        <c:delete val="1"/>
        <c:axPos val="l"/>
        <c:numFmt formatCode="0" sourceLinked="1"/>
        <c:majorTickMark val="none"/>
        <c:minorTickMark val="none"/>
        <c:tickLblPos val="nextTo"/>
        <c:crossAx val="644149295"/>
        <c:crosses val="autoZero"/>
        <c:crossBetween val="between"/>
      </c:valAx>
    </c:plotArea>
    <c:plotVisOnly val="1"/>
    <c:dispBlanksAs val="gap"/>
    <c:showDLblsOverMax val="1"/>
  </c:chart>
  <c:spPr>
    <a:solidFill>
      <a:schemeClr val="bg1">
        <a:lumMod val="95000"/>
      </a:schemeClr>
    </a:solidFill>
    <a:ln w="9525" cap="flat" cmpd="sng" algn="ctr">
      <a:noFill/>
      <a:prstDash val="solid"/>
      <a:round/>
    </a:ln>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pivotSource>
    <c:name>[КРС-3 обнова планирование.xlsx]БВ_по_скважинам!Сводная таблица2</c:name>
    <c:fmtId val="5"/>
  </c:pivotSource>
  <c:chart>
    <c:title>
      <c:tx>
        <c:rich>
          <a:bodyPr rot="0" spcFirstLastPara="1" vertOverflow="ellipsis" vert="horz" wrap="square" anchor="ctr" anchorCtr="1"/>
          <a:lstStyle/>
          <a:p>
            <a:pPr>
              <a:defRPr sz="1400" b="0" i="0" strike="noStrike" kern="1200" spc="0" baseline="0">
                <a:solidFill>
                  <a:schemeClr val="tx1"/>
                </a:solidFill>
                <a:latin typeface="Century Gothic" panose="020B0502020202020204" pitchFamily="34" charset="0"/>
                <a:ea typeface="+mn-ea"/>
                <a:cs typeface="+mn-cs"/>
              </a:defRPr>
            </a:pPr>
            <a:r>
              <a:rPr lang="ru-RU"/>
              <a:t>Балансы времени по скважинам</a:t>
            </a:r>
          </a:p>
        </c:rich>
      </c:tx>
      <c:overlay val="0"/>
      <c:spPr>
        <a:noFill/>
        <a:ln>
          <a:noFill/>
          <a:prstDash val="solid"/>
        </a:ln>
      </c:spPr>
    </c:title>
    <c:autoTitleDeleted val="0"/>
    <c:pivotFmts>
      <c:pivotFmt>
        <c:idx val="0"/>
        <c:spPr>
          <a:solidFill>
            <a:srgbClr val="C00000"/>
          </a:solidFill>
          <a:ln>
            <a:noFill/>
            <a:prstDash val="solid"/>
          </a:ln>
        </c:spPr>
        <c:marker>
          <c:symbol val="none"/>
        </c:marker>
        <c:dLbl>
          <c:idx val="0"/>
          <c:spPr>
            <a:noFill/>
            <a:ln>
              <a:noFill/>
              <a:prstDash val="solid"/>
            </a:ln>
          </c:spPr>
          <c:txPr>
            <a:bodyPr rot="0" spcFirstLastPara="1" vertOverflow="ellipsis" vert="horz" wrap="square" anchor="ctr" anchorCtr="1"/>
            <a:lstStyle/>
            <a:p>
              <a:pPr>
                <a:defRPr sz="900" b="1" i="0" strike="noStrike" kern="1200" baseline="0">
                  <a:solidFill>
                    <a:schemeClr val="tx1"/>
                  </a:solidFill>
                  <a:latin typeface="Century Gothic" panose="020B0502020202020204" pitchFamily="34" charset="0"/>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prstDash val="solid"/>
          </a:ln>
        </c:spPr>
        <c:marker>
          <c:symbol val="none"/>
        </c:marker>
        <c:dLbl>
          <c:idx val="0"/>
          <c:spPr>
            <a:noFill/>
            <a:ln>
              <a:noFill/>
              <a:prstDash val="solid"/>
            </a:ln>
          </c:spPr>
          <c:txPr>
            <a:bodyPr rot="0" spcFirstLastPara="1" vertOverflow="ellipsis" vert="horz" wrap="square" anchor="ctr" anchorCtr="1"/>
            <a:lstStyle/>
            <a:p>
              <a:pPr>
                <a:defRPr sz="900" b="1" i="0" strike="noStrike" kern="1200" baseline="0">
                  <a:solidFill>
                    <a:schemeClr val="tx1"/>
                  </a:solidFill>
                  <a:latin typeface="Century Gothic" panose="020B0502020202020204" pitchFamily="34" charset="0"/>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prstDash val="solid"/>
          </a:ln>
        </c:spPr>
        <c:marker>
          <c:symbol val="none"/>
        </c:marker>
        <c:dLbl>
          <c:idx val="0"/>
          <c:spPr>
            <a:noFill/>
            <a:ln>
              <a:noFill/>
              <a:prstDash val="solid"/>
            </a:ln>
          </c:spPr>
          <c:txPr>
            <a:bodyPr rot="0" spcFirstLastPara="1" vertOverflow="ellipsis" vert="horz" wrap="square" anchor="ctr" anchorCtr="1"/>
            <a:lstStyle/>
            <a:p>
              <a:pPr>
                <a:defRPr sz="900" b="1" i="0" strike="noStrike" kern="1200" baseline="0">
                  <a:solidFill>
                    <a:schemeClr val="tx1"/>
                  </a:solidFill>
                  <a:latin typeface="Century Gothic" panose="020B0502020202020204" pitchFamily="34" charset="0"/>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70AD47"/>
          </a:solidFill>
          <a:ln>
            <a:noFill/>
            <a:prstDash val="solid"/>
          </a:ln>
        </c:spPr>
        <c:marker>
          <c:symbol val="none"/>
        </c:marker>
        <c:dLbl>
          <c:idx val="0"/>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FFC000"/>
          </a:solidFill>
          <a:ln>
            <a:noFill/>
            <a:prstDash val="solid"/>
          </a:ln>
        </c:spPr>
        <c:marker>
          <c:symbol val="none"/>
        </c:marker>
        <c:dLbl>
          <c:idx val="0"/>
          <c:showLegendKey val="1"/>
          <c:showVal val="1"/>
          <c:showCatName val="1"/>
          <c:showSerName val="1"/>
          <c:showPercent val="1"/>
          <c:showBubbleSize val="1"/>
          <c:extLst>
            <c:ext xmlns:c15="http://schemas.microsoft.com/office/drawing/2012/chart" uri="{CE6537A1-D6FC-4f65-9D91-7224C49458BB}"/>
          </c:extLst>
        </c:dLbl>
      </c:pivotFmt>
      <c:pivotFmt>
        <c:idx val="5"/>
        <c:spPr>
          <a:solidFill>
            <a:srgbClr val="C00000"/>
          </a:solidFill>
          <a:ln>
            <a:noFill/>
            <a:prstDash val="solid"/>
          </a:ln>
        </c:spPr>
        <c:marker>
          <c:symbol val="none"/>
        </c:marker>
        <c:dLbl>
          <c:idx val="0"/>
          <c:showLegendKey val="1"/>
          <c:showVal val="1"/>
          <c:showCatName val="1"/>
          <c:showSerName val="1"/>
          <c:showPercent val="1"/>
          <c:showBubbleSize val="1"/>
          <c:extLst>
            <c:ext xmlns:c15="http://schemas.microsoft.com/office/drawing/2012/chart" uri="{CE6537A1-D6FC-4f65-9D91-7224C49458BB}"/>
          </c:extLst>
        </c:dLbl>
      </c:pivotFmt>
      <c:pivotFmt>
        <c:idx val="6"/>
        <c:spPr>
          <a:solidFill>
            <a:srgbClr val="70AD47"/>
          </a:solidFill>
          <a:ln>
            <a:noFill/>
            <a:prstDash val="solid"/>
          </a:ln>
        </c:spPr>
        <c:marker>
          <c:symbol val="none"/>
        </c:marker>
        <c:dLbl>
          <c:idx val="0"/>
          <c:showLegendKey val="1"/>
          <c:showVal val="1"/>
          <c:showCatName val="1"/>
          <c:showSerName val="1"/>
          <c:showPercent val="1"/>
          <c:showBubbleSize val="1"/>
          <c:extLst>
            <c:ext xmlns:c15="http://schemas.microsoft.com/office/drawing/2012/chart" uri="{CE6537A1-D6FC-4f65-9D91-7224C49458BB}"/>
          </c:extLst>
        </c:dLbl>
      </c:pivotFmt>
      <c:pivotFmt>
        <c:idx val="7"/>
        <c:spPr>
          <a:solidFill>
            <a:srgbClr val="FFC000"/>
          </a:solidFill>
          <a:ln>
            <a:noFill/>
            <a:prstDash val="solid"/>
          </a:ln>
        </c:spPr>
        <c:marker>
          <c:symbol val="none"/>
        </c:marker>
        <c:dLbl>
          <c:idx val="0"/>
          <c:showLegendKey val="1"/>
          <c:showVal val="1"/>
          <c:showCatName val="1"/>
          <c:showSerName val="1"/>
          <c:showPercent val="1"/>
          <c:showBubbleSize val="1"/>
          <c:extLst>
            <c:ext xmlns:c15="http://schemas.microsoft.com/office/drawing/2012/chart" uri="{CE6537A1-D6FC-4f65-9D91-7224C49458BB}"/>
          </c:extLst>
        </c:dLbl>
      </c:pivotFmt>
      <c:pivotFmt>
        <c:idx val="8"/>
        <c:spPr>
          <a:solidFill>
            <a:srgbClr val="C00000"/>
          </a:solidFill>
          <a:ln>
            <a:noFill/>
            <a:prstDash val="solid"/>
          </a:ln>
        </c:spPr>
        <c:marker>
          <c:symbol val="none"/>
        </c:marker>
        <c:dLbl>
          <c:idx val="0"/>
          <c:showLegendKey val="1"/>
          <c:showVal val="1"/>
          <c:showCatName val="1"/>
          <c:showSerName val="1"/>
          <c:showPercent val="1"/>
          <c:showBubbleSize val="1"/>
          <c:extLst>
            <c:ext xmlns:c15="http://schemas.microsoft.com/office/drawing/2012/chart" uri="{CE6537A1-D6FC-4f65-9D91-7224C49458BB}"/>
          </c:extLst>
        </c:dLbl>
      </c:pivotFmt>
      <c:pivotFmt>
        <c:idx val="9"/>
        <c:spPr>
          <a:solidFill>
            <a:srgbClr val="70AD47"/>
          </a:solidFill>
          <a:ln>
            <a:noFill/>
            <a:prstDash val="solid"/>
          </a:ln>
        </c:spPr>
        <c:marker>
          <c:symbol val="none"/>
        </c:marker>
        <c:dLbl>
          <c:idx val="0"/>
          <c:delete val="1"/>
          <c:extLst>
            <c:ext xmlns:c15="http://schemas.microsoft.com/office/drawing/2012/chart" uri="{CE6537A1-D6FC-4f65-9D91-7224C49458BB}"/>
          </c:extLst>
        </c:dLbl>
      </c:pivotFmt>
      <c:pivotFmt>
        <c:idx val="10"/>
        <c:spPr>
          <a:solidFill>
            <a:srgbClr val="FFC000"/>
          </a:solidFill>
          <a:ln>
            <a:noFill/>
            <a:prstDash val="solid"/>
          </a:ln>
        </c:spPr>
        <c:marker>
          <c:symbol val="none"/>
        </c:marker>
        <c:dLbl>
          <c:idx val="0"/>
          <c:delete val="1"/>
          <c:extLst>
            <c:ext xmlns:c15="http://schemas.microsoft.com/office/drawing/2012/chart" uri="{CE6537A1-D6FC-4f65-9D91-7224C49458BB}"/>
          </c:extLst>
        </c:dLbl>
      </c:pivotFmt>
      <c:pivotFmt>
        <c:idx val="11"/>
        <c:spPr>
          <a:solidFill>
            <a:srgbClr val="C00000"/>
          </a:solidFill>
          <a:ln>
            <a:noFill/>
            <a:prstDash val="solid"/>
          </a:ln>
        </c:spPr>
        <c:marker>
          <c:symbol val="none"/>
        </c:marker>
        <c:dLbl>
          <c:idx val="0"/>
          <c:delete val="1"/>
          <c:extLst>
            <c:ext xmlns:c15="http://schemas.microsoft.com/office/drawing/2012/chart" uri="{CE6537A1-D6FC-4f65-9D91-7224C49458BB}"/>
          </c:extLst>
        </c:dLbl>
      </c:pivotFmt>
    </c:pivotFmts>
    <c:plotArea>
      <c:layout/>
      <c:barChart>
        <c:barDir val="col"/>
        <c:grouping val="percentStacked"/>
        <c:varyColors val="0"/>
        <c:ser>
          <c:idx val="0"/>
          <c:order val="0"/>
          <c:tx>
            <c:strRef>
              <c:f>БВ_по_скважинам!$B$3:$B$4</c:f>
              <c:strCache>
                <c:ptCount val="1"/>
                <c:pt idx="0">
                  <c:v>ПВ </c:v>
                </c:pt>
              </c:strCache>
            </c:strRef>
          </c:tx>
          <c:spPr>
            <a:solidFill>
              <a:srgbClr val="70AD47"/>
            </a:solidFill>
            <a:ln>
              <a:noFill/>
              <a:prstDash val="solid"/>
            </a:ln>
          </c:spPr>
          <c:invertIfNegative val="0"/>
          <c:cat>
            <c:multiLvlStrRef>
              <c:f>БВ_по_скважинам!$A$5:$A$40</c:f>
              <c:multiLvlStrCache>
                <c:ptCount val="32"/>
                <c:lvl>
                  <c:pt idx="0">
                    <c:v>02 мая 2026 г.</c:v>
                  </c:pt>
                  <c:pt idx="1">
                    <c:v>03 мая 2026 г.</c:v>
                  </c:pt>
                  <c:pt idx="2">
                    <c:v>04 мая 2026 г.</c:v>
                  </c:pt>
                  <c:pt idx="3">
                    <c:v>05 мая 2026 г.</c:v>
                  </c:pt>
                  <c:pt idx="4">
                    <c:v>06 мая 2026 г.</c:v>
                  </c:pt>
                  <c:pt idx="5">
                    <c:v>06 мая 2026 г.</c:v>
                  </c:pt>
                  <c:pt idx="6">
                    <c:v>07 мая 2026 г.</c:v>
                  </c:pt>
                  <c:pt idx="7">
                    <c:v>08 мая 2026 г.</c:v>
                  </c:pt>
                  <c:pt idx="8">
                    <c:v>09 мая 2026 г.</c:v>
                  </c:pt>
                  <c:pt idx="9">
                    <c:v>10 мая 2026 г.</c:v>
                  </c:pt>
                  <c:pt idx="10">
                    <c:v>11 мая 2026 г.</c:v>
                  </c:pt>
                  <c:pt idx="11">
                    <c:v>12 мая 2026 г.</c:v>
                  </c:pt>
                  <c:pt idx="12">
                    <c:v>13 мая 2026 г.</c:v>
                  </c:pt>
                  <c:pt idx="13">
                    <c:v>14 мая 2026 г.</c:v>
                  </c:pt>
                  <c:pt idx="14">
                    <c:v>15 мая 2026 г.</c:v>
                  </c:pt>
                  <c:pt idx="15">
                    <c:v>16 мая 2026 г.</c:v>
                  </c:pt>
                  <c:pt idx="16">
                    <c:v>17 мая 2026 г.</c:v>
                  </c:pt>
                  <c:pt idx="17">
                    <c:v>18 мая 2026 г.</c:v>
                  </c:pt>
                  <c:pt idx="18">
                    <c:v>19 мая 2026 г.</c:v>
                  </c:pt>
                  <c:pt idx="19">
                    <c:v>20 мая 2026 г.</c:v>
                  </c:pt>
                  <c:pt idx="20">
                    <c:v>21 мая 2026 г.</c:v>
                  </c:pt>
                  <c:pt idx="21">
                    <c:v>22 мая 2026 г.</c:v>
                  </c:pt>
                  <c:pt idx="22">
                    <c:v>23 мая 2026 г.</c:v>
                  </c:pt>
                  <c:pt idx="23">
                    <c:v>24 мая 2026 г.</c:v>
                  </c:pt>
                  <c:pt idx="24">
                    <c:v>24 мая 2026 г.</c:v>
                  </c:pt>
                  <c:pt idx="25">
                    <c:v>25 мая 2026 г.</c:v>
                  </c:pt>
                  <c:pt idx="26">
                    <c:v>26 мая 2026 г.</c:v>
                  </c:pt>
                  <c:pt idx="27">
                    <c:v>27 мая 2026 г.</c:v>
                  </c:pt>
                  <c:pt idx="28">
                    <c:v>28 мая 2026 г.</c:v>
                  </c:pt>
                  <c:pt idx="29">
                    <c:v>29 мая 2026 г.</c:v>
                  </c:pt>
                  <c:pt idx="30">
                    <c:v>30 мая 2026 г.</c:v>
                  </c:pt>
                  <c:pt idx="31">
                    <c:v>31 мая 2026 г.</c:v>
                  </c:pt>
                </c:lvl>
                <c:lvl>
                  <c:pt idx="0">
                    <c:v>6 бис</c:v>
                  </c:pt>
                  <c:pt idx="5">
                    <c:v>431</c:v>
                  </c:pt>
                  <c:pt idx="24">
                    <c:v>851</c:v>
                  </c:pt>
                </c:lvl>
              </c:multiLvlStrCache>
            </c:multiLvlStrRef>
          </c:cat>
          <c:val>
            <c:numRef>
              <c:f>БВ_по_скважинам!$B$5:$B$40</c:f>
              <c:numCache>
                <c:formatCode>0.0</c:formatCode>
                <c:ptCount val="32"/>
                <c:pt idx="0">
                  <c:v>4</c:v>
                </c:pt>
                <c:pt idx="1">
                  <c:v>14.5</c:v>
                </c:pt>
                <c:pt idx="2">
                  <c:v>13.44</c:v>
                </c:pt>
                <c:pt idx="3">
                  <c:v>19.389999999999997</c:v>
                </c:pt>
                <c:pt idx="4">
                  <c:v>10.93</c:v>
                </c:pt>
                <c:pt idx="5">
                  <c:v>2.5</c:v>
                </c:pt>
                <c:pt idx="6">
                  <c:v>13.969999999999999</c:v>
                </c:pt>
                <c:pt idx="7">
                  <c:v>0</c:v>
                </c:pt>
                <c:pt idx="8">
                  <c:v>8.94</c:v>
                </c:pt>
                <c:pt idx="9">
                  <c:v>6.0419999999999989</c:v>
                </c:pt>
                <c:pt idx="10">
                  <c:v>0.45440000000000103</c:v>
                </c:pt>
                <c:pt idx="11">
                  <c:v>0.50399999999999956</c:v>
                </c:pt>
                <c:pt idx="12">
                  <c:v>9.74</c:v>
                </c:pt>
                <c:pt idx="13">
                  <c:v>16.3</c:v>
                </c:pt>
                <c:pt idx="14">
                  <c:v>0.97440000000000104</c:v>
                </c:pt>
                <c:pt idx="15">
                  <c:v>4.84</c:v>
                </c:pt>
                <c:pt idx="16">
                  <c:v>0</c:v>
                </c:pt>
                <c:pt idx="17">
                  <c:v>8</c:v>
                </c:pt>
                <c:pt idx="18">
                  <c:v>0</c:v>
                </c:pt>
                <c:pt idx="19">
                  <c:v>8.02</c:v>
                </c:pt>
                <c:pt idx="20">
                  <c:v>10.998000000000001</c:v>
                </c:pt>
                <c:pt idx="21">
                  <c:v>20.8688</c:v>
                </c:pt>
                <c:pt idx="22">
                  <c:v>0</c:v>
                </c:pt>
                <c:pt idx="23">
                  <c:v>0</c:v>
                </c:pt>
                <c:pt idx="24">
                  <c:v>16.580000000000002</c:v>
                </c:pt>
                <c:pt idx="25">
                  <c:v>11.66</c:v>
                </c:pt>
                <c:pt idx="26">
                  <c:v>4.6100000000000003</c:v>
                </c:pt>
                <c:pt idx="27">
                  <c:v>8.1900000000000013</c:v>
                </c:pt>
                <c:pt idx="28">
                  <c:v>15</c:v>
                </c:pt>
                <c:pt idx="29">
                  <c:v>7.93</c:v>
                </c:pt>
                <c:pt idx="30">
                  <c:v>20.5</c:v>
                </c:pt>
                <c:pt idx="31">
                  <c:v>12</c:v>
                </c:pt>
              </c:numCache>
            </c:numRef>
          </c:val>
          <c:extLst>
            <c:ext xmlns:c16="http://schemas.microsoft.com/office/drawing/2014/chart" uri="{C3380CC4-5D6E-409C-BE32-E72D297353CC}">
              <c16:uniqueId val="{00000000-49D1-4A5B-A33F-4B9E763A1A88}"/>
            </c:ext>
          </c:extLst>
        </c:ser>
        <c:ser>
          <c:idx val="1"/>
          <c:order val="1"/>
          <c:tx>
            <c:strRef>
              <c:f>БВ_по_скважинам!$C$3:$C$4</c:f>
              <c:strCache>
                <c:ptCount val="1"/>
                <c:pt idx="0">
                  <c:v>ПНВ </c:v>
                </c:pt>
              </c:strCache>
            </c:strRef>
          </c:tx>
          <c:spPr>
            <a:solidFill>
              <a:srgbClr val="FFC000"/>
            </a:solidFill>
            <a:ln>
              <a:noFill/>
              <a:prstDash val="solid"/>
            </a:ln>
          </c:spPr>
          <c:invertIfNegative val="0"/>
          <c:cat>
            <c:multiLvlStrRef>
              <c:f>БВ_по_скважинам!$A$5:$A$40</c:f>
              <c:multiLvlStrCache>
                <c:ptCount val="32"/>
                <c:lvl>
                  <c:pt idx="0">
                    <c:v>02 мая 2026 г.</c:v>
                  </c:pt>
                  <c:pt idx="1">
                    <c:v>03 мая 2026 г.</c:v>
                  </c:pt>
                  <c:pt idx="2">
                    <c:v>04 мая 2026 г.</c:v>
                  </c:pt>
                  <c:pt idx="3">
                    <c:v>05 мая 2026 г.</c:v>
                  </c:pt>
                  <c:pt idx="4">
                    <c:v>06 мая 2026 г.</c:v>
                  </c:pt>
                  <c:pt idx="5">
                    <c:v>06 мая 2026 г.</c:v>
                  </c:pt>
                  <c:pt idx="6">
                    <c:v>07 мая 2026 г.</c:v>
                  </c:pt>
                  <c:pt idx="7">
                    <c:v>08 мая 2026 г.</c:v>
                  </c:pt>
                  <c:pt idx="8">
                    <c:v>09 мая 2026 г.</c:v>
                  </c:pt>
                  <c:pt idx="9">
                    <c:v>10 мая 2026 г.</c:v>
                  </c:pt>
                  <c:pt idx="10">
                    <c:v>11 мая 2026 г.</c:v>
                  </c:pt>
                  <c:pt idx="11">
                    <c:v>12 мая 2026 г.</c:v>
                  </c:pt>
                  <c:pt idx="12">
                    <c:v>13 мая 2026 г.</c:v>
                  </c:pt>
                  <c:pt idx="13">
                    <c:v>14 мая 2026 г.</c:v>
                  </c:pt>
                  <c:pt idx="14">
                    <c:v>15 мая 2026 г.</c:v>
                  </c:pt>
                  <c:pt idx="15">
                    <c:v>16 мая 2026 г.</c:v>
                  </c:pt>
                  <c:pt idx="16">
                    <c:v>17 мая 2026 г.</c:v>
                  </c:pt>
                  <c:pt idx="17">
                    <c:v>18 мая 2026 г.</c:v>
                  </c:pt>
                  <c:pt idx="18">
                    <c:v>19 мая 2026 г.</c:v>
                  </c:pt>
                  <c:pt idx="19">
                    <c:v>20 мая 2026 г.</c:v>
                  </c:pt>
                  <c:pt idx="20">
                    <c:v>21 мая 2026 г.</c:v>
                  </c:pt>
                  <c:pt idx="21">
                    <c:v>22 мая 2026 г.</c:v>
                  </c:pt>
                  <c:pt idx="22">
                    <c:v>23 мая 2026 г.</c:v>
                  </c:pt>
                  <c:pt idx="23">
                    <c:v>24 мая 2026 г.</c:v>
                  </c:pt>
                  <c:pt idx="24">
                    <c:v>24 мая 2026 г.</c:v>
                  </c:pt>
                  <c:pt idx="25">
                    <c:v>25 мая 2026 г.</c:v>
                  </c:pt>
                  <c:pt idx="26">
                    <c:v>26 мая 2026 г.</c:v>
                  </c:pt>
                  <c:pt idx="27">
                    <c:v>27 мая 2026 г.</c:v>
                  </c:pt>
                  <c:pt idx="28">
                    <c:v>28 мая 2026 г.</c:v>
                  </c:pt>
                  <c:pt idx="29">
                    <c:v>29 мая 2026 г.</c:v>
                  </c:pt>
                  <c:pt idx="30">
                    <c:v>30 мая 2026 г.</c:v>
                  </c:pt>
                  <c:pt idx="31">
                    <c:v>31 мая 2026 г.</c:v>
                  </c:pt>
                </c:lvl>
                <c:lvl>
                  <c:pt idx="0">
                    <c:v>6 бис</c:v>
                  </c:pt>
                  <c:pt idx="5">
                    <c:v>431</c:v>
                  </c:pt>
                  <c:pt idx="24">
                    <c:v>851</c:v>
                  </c:pt>
                </c:lvl>
              </c:multiLvlStrCache>
            </c:multiLvlStrRef>
          </c:cat>
          <c:val>
            <c:numRef>
              <c:f>БВ_по_скважинам!$C$5:$C$40</c:f>
              <c:numCache>
                <c:formatCode>0.0</c:formatCode>
                <c:ptCount val="32"/>
                <c:pt idx="0">
                  <c:v>0</c:v>
                </c:pt>
                <c:pt idx="1">
                  <c:v>3.5</c:v>
                </c:pt>
                <c:pt idx="2">
                  <c:v>7.5600000000000005</c:v>
                </c:pt>
                <c:pt idx="3">
                  <c:v>4.6100000000000003</c:v>
                </c:pt>
                <c:pt idx="4">
                  <c:v>10.57</c:v>
                </c:pt>
                <c:pt idx="5">
                  <c:v>0</c:v>
                </c:pt>
                <c:pt idx="6">
                  <c:v>10.030000000000001</c:v>
                </c:pt>
                <c:pt idx="7">
                  <c:v>24</c:v>
                </c:pt>
                <c:pt idx="8">
                  <c:v>11.06</c:v>
                </c:pt>
                <c:pt idx="9">
                  <c:v>17.958000000000002</c:v>
                </c:pt>
                <c:pt idx="10">
                  <c:v>23.5456</c:v>
                </c:pt>
                <c:pt idx="11">
                  <c:v>14.496</c:v>
                </c:pt>
                <c:pt idx="12">
                  <c:v>2.2599999999999998</c:v>
                </c:pt>
                <c:pt idx="13">
                  <c:v>3.7</c:v>
                </c:pt>
                <c:pt idx="14">
                  <c:v>11.025599999999999</c:v>
                </c:pt>
                <c:pt idx="15">
                  <c:v>3.16</c:v>
                </c:pt>
                <c:pt idx="16">
                  <c:v>0</c:v>
                </c:pt>
                <c:pt idx="17">
                  <c:v>0</c:v>
                </c:pt>
                <c:pt idx="18">
                  <c:v>0</c:v>
                </c:pt>
                <c:pt idx="19">
                  <c:v>10.98</c:v>
                </c:pt>
                <c:pt idx="20">
                  <c:v>13.001999999999999</c:v>
                </c:pt>
                <c:pt idx="21">
                  <c:v>3.1312000000000015</c:v>
                </c:pt>
                <c:pt idx="22">
                  <c:v>24</c:v>
                </c:pt>
                <c:pt idx="23">
                  <c:v>4.5</c:v>
                </c:pt>
                <c:pt idx="24">
                  <c:v>2.92</c:v>
                </c:pt>
                <c:pt idx="25">
                  <c:v>6.84</c:v>
                </c:pt>
                <c:pt idx="26">
                  <c:v>1.39</c:v>
                </c:pt>
                <c:pt idx="27">
                  <c:v>5.81</c:v>
                </c:pt>
                <c:pt idx="28">
                  <c:v>0</c:v>
                </c:pt>
                <c:pt idx="29">
                  <c:v>16.07</c:v>
                </c:pt>
                <c:pt idx="30">
                  <c:v>0</c:v>
                </c:pt>
                <c:pt idx="31">
                  <c:v>0</c:v>
                </c:pt>
              </c:numCache>
            </c:numRef>
          </c:val>
          <c:extLst>
            <c:ext xmlns:c16="http://schemas.microsoft.com/office/drawing/2014/chart" uri="{C3380CC4-5D6E-409C-BE32-E72D297353CC}">
              <c16:uniqueId val="{00000001-49D1-4A5B-A33F-4B9E763A1A88}"/>
            </c:ext>
          </c:extLst>
        </c:ser>
        <c:ser>
          <c:idx val="2"/>
          <c:order val="2"/>
          <c:tx>
            <c:strRef>
              <c:f>БВ_по_скважинам!$D$3:$D$4</c:f>
              <c:strCache>
                <c:ptCount val="1"/>
                <c:pt idx="0">
                  <c:v>НПВ </c:v>
                </c:pt>
              </c:strCache>
            </c:strRef>
          </c:tx>
          <c:spPr>
            <a:solidFill>
              <a:srgbClr val="C00000"/>
            </a:solidFill>
            <a:ln>
              <a:noFill/>
              <a:prstDash val="solid"/>
            </a:ln>
          </c:spPr>
          <c:invertIfNegative val="0"/>
          <c:cat>
            <c:multiLvlStrRef>
              <c:f>БВ_по_скважинам!$A$5:$A$40</c:f>
              <c:multiLvlStrCache>
                <c:ptCount val="32"/>
                <c:lvl>
                  <c:pt idx="0">
                    <c:v>02 мая 2026 г.</c:v>
                  </c:pt>
                  <c:pt idx="1">
                    <c:v>03 мая 2026 г.</c:v>
                  </c:pt>
                  <c:pt idx="2">
                    <c:v>04 мая 2026 г.</c:v>
                  </c:pt>
                  <c:pt idx="3">
                    <c:v>05 мая 2026 г.</c:v>
                  </c:pt>
                  <c:pt idx="4">
                    <c:v>06 мая 2026 г.</c:v>
                  </c:pt>
                  <c:pt idx="5">
                    <c:v>06 мая 2026 г.</c:v>
                  </c:pt>
                  <c:pt idx="6">
                    <c:v>07 мая 2026 г.</c:v>
                  </c:pt>
                  <c:pt idx="7">
                    <c:v>08 мая 2026 г.</c:v>
                  </c:pt>
                  <c:pt idx="8">
                    <c:v>09 мая 2026 г.</c:v>
                  </c:pt>
                  <c:pt idx="9">
                    <c:v>10 мая 2026 г.</c:v>
                  </c:pt>
                  <c:pt idx="10">
                    <c:v>11 мая 2026 г.</c:v>
                  </c:pt>
                  <c:pt idx="11">
                    <c:v>12 мая 2026 г.</c:v>
                  </c:pt>
                  <c:pt idx="12">
                    <c:v>13 мая 2026 г.</c:v>
                  </c:pt>
                  <c:pt idx="13">
                    <c:v>14 мая 2026 г.</c:v>
                  </c:pt>
                  <c:pt idx="14">
                    <c:v>15 мая 2026 г.</c:v>
                  </c:pt>
                  <c:pt idx="15">
                    <c:v>16 мая 2026 г.</c:v>
                  </c:pt>
                  <c:pt idx="16">
                    <c:v>17 мая 2026 г.</c:v>
                  </c:pt>
                  <c:pt idx="17">
                    <c:v>18 мая 2026 г.</c:v>
                  </c:pt>
                  <c:pt idx="18">
                    <c:v>19 мая 2026 г.</c:v>
                  </c:pt>
                  <c:pt idx="19">
                    <c:v>20 мая 2026 г.</c:v>
                  </c:pt>
                  <c:pt idx="20">
                    <c:v>21 мая 2026 г.</c:v>
                  </c:pt>
                  <c:pt idx="21">
                    <c:v>22 мая 2026 г.</c:v>
                  </c:pt>
                  <c:pt idx="22">
                    <c:v>23 мая 2026 г.</c:v>
                  </c:pt>
                  <c:pt idx="23">
                    <c:v>24 мая 2026 г.</c:v>
                  </c:pt>
                  <c:pt idx="24">
                    <c:v>24 мая 2026 г.</c:v>
                  </c:pt>
                  <c:pt idx="25">
                    <c:v>25 мая 2026 г.</c:v>
                  </c:pt>
                  <c:pt idx="26">
                    <c:v>26 мая 2026 г.</c:v>
                  </c:pt>
                  <c:pt idx="27">
                    <c:v>27 мая 2026 г.</c:v>
                  </c:pt>
                  <c:pt idx="28">
                    <c:v>28 мая 2026 г.</c:v>
                  </c:pt>
                  <c:pt idx="29">
                    <c:v>29 мая 2026 г.</c:v>
                  </c:pt>
                  <c:pt idx="30">
                    <c:v>30 мая 2026 г.</c:v>
                  </c:pt>
                  <c:pt idx="31">
                    <c:v>31 мая 2026 г.</c:v>
                  </c:pt>
                </c:lvl>
                <c:lvl>
                  <c:pt idx="0">
                    <c:v>6 бис</c:v>
                  </c:pt>
                  <c:pt idx="5">
                    <c:v>431</c:v>
                  </c:pt>
                  <c:pt idx="24">
                    <c:v>851</c:v>
                  </c:pt>
                </c:lvl>
              </c:multiLvlStrCache>
            </c:multiLvlStrRef>
          </c:cat>
          <c:val>
            <c:numRef>
              <c:f>БВ_по_скважинам!$D$5:$D$40</c:f>
              <c:numCache>
                <c:formatCode>0.0</c:formatCode>
                <c:ptCount val="32"/>
                <c:pt idx="0">
                  <c:v>0</c:v>
                </c:pt>
                <c:pt idx="1">
                  <c:v>6</c:v>
                </c:pt>
                <c:pt idx="2">
                  <c:v>3</c:v>
                </c:pt>
                <c:pt idx="3">
                  <c:v>0</c:v>
                </c:pt>
                <c:pt idx="4">
                  <c:v>0</c:v>
                </c:pt>
                <c:pt idx="5">
                  <c:v>0</c:v>
                </c:pt>
                <c:pt idx="6">
                  <c:v>0</c:v>
                </c:pt>
                <c:pt idx="7">
                  <c:v>0</c:v>
                </c:pt>
                <c:pt idx="8">
                  <c:v>4</c:v>
                </c:pt>
                <c:pt idx="9">
                  <c:v>0</c:v>
                </c:pt>
                <c:pt idx="10">
                  <c:v>0</c:v>
                </c:pt>
                <c:pt idx="11">
                  <c:v>9</c:v>
                </c:pt>
                <c:pt idx="12">
                  <c:v>12</c:v>
                </c:pt>
                <c:pt idx="13">
                  <c:v>4</c:v>
                </c:pt>
                <c:pt idx="14">
                  <c:v>12</c:v>
                </c:pt>
                <c:pt idx="15">
                  <c:v>16</c:v>
                </c:pt>
                <c:pt idx="16">
                  <c:v>24</c:v>
                </c:pt>
                <c:pt idx="17">
                  <c:v>16</c:v>
                </c:pt>
                <c:pt idx="18">
                  <c:v>24</c:v>
                </c:pt>
                <c:pt idx="19">
                  <c:v>5</c:v>
                </c:pt>
                <c:pt idx="20">
                  <c:v>0</c:v>
                </c:pt>
                <c:pt idx="21">
                  <c:v>0</c:v>
                </c:pt>
                <c:pt idx="22">
                  <c:v>0</c:v>
                </c:pt>
                <c:pt idx="23">
                  <c:v>0</c:v>
                </c:pt>
                <c:pt idx="24">
                  <c:v>0</c:v>
                </c:pt>
                <c:pt idx="25">
                  <c:v>5.5</c:v>
                </c:pt>
                <c:pt idx="26">
                  <c:v>18</c:v>
                </c:pt>
                <c:pt idx="27">
                  <c:v>10</c:v>
                </c:pt>
                <c:pt idx="28">
                  <c:v>9</c:v>
                </c:pt>
                <c:pt idx="29">
                  <c:v>0</c:v>
                </c:pt>
                <c:pt idx="30">
                  <c:v>3.5</c:v>
                </c:pt>
                <c:pt idx="31">
                  <c:v>12</c:v>
                </c:pt>
              </c:numCache>
            </c:numRef>
          </c:val>
          <c:extLst>
            <c:ext xmlns:c16="http://schemas.microsoft.com/office/drawing/2014/chart" uri="{C3380CC4-5D6E-409C-BE32-E72D297353CC}">
              <c16:uniqueId val="{00000002-49D1-4A5B-A33F-4B9E763A1A88}"/>
            </c:ext>
          </c:extLst>
        </c:ser>
        <c:dLbls>
          <c:showLegendKey val="0"/>
          <c:showVal val="0"/>
          <c:showCatName val="0"/>
          <c:showSerName val="0"/>
          <c:showPercent val="0"/>
          <c:showBubbleSize val="0"/>
        </c:dLbls>
        <c:gapWidth val="0"/>
        <c:overlap val="100"/>
        <c:axId val="644149295"/>
        <c:axId val="458405087"/>
      </c:barChart>
      <c:catAx>
        <c:axId val="644149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1400" b="0" i="0" strike="noStrike" kern="1200" baseline="0">
                <a:solidFill>
                  <a:schemeClr val="tx1"/>
                </a:solidFill>
                <a:latin typeface="Century Gothic" panose="020B0502020202020204" pitchFamily="34" charset="0"/>
                <a:ea typeface="+mn-ea"/>
                <a:cs typeface="+mn-cs"/>
              </a:defRPr>
            </a:pPr>
            <a:endParaRPr lang="ru-RU"/>
          </a:p>
        </c:txPr>
        <c:crossAx val="458405087"/>
        <c:crosses val="autoZero"/>
        <c:auto val="1"/>
        <c:lblAlgn val="ctr"/>
        <c:lblOffset val="100"/>
        <c:noMultiLvlLbl val="0"/>
      </c:catAx>
      <c:valAx>
        <c:axId val="458405087"/>
        <c:scaling>
          <c:orientation val="minMax"/>
        </c:scaling>
        <c:delete val="1"/>
        <c:axPos val="l"/>
        <c:numFmt formatCode="0%" sourceLinked="1"/>
        <c:majorTickMark val="none"/>
        <c:minorTickMark val="none"/>
        <c:tickLblPos val="nextTo"/>
        <c:crossAx val="644149295"/>
        <c:crosses val="autoZero"/>
        <c:crossBetween val="between"/>
      </c:valAx>
    </c:plotArea>
    <c:legend>
      <c:legendPos val="t"/>
      <c:overlay val="0"/>
      <c:spPr>
        <a:noFill/>
        <a:ln>
          <a:noFill/>
          <a:prstDash val="solid"/>
        </a:ln>
      </c:spPr>
      <c:txPr>
        <a:bodyPr rot="0" spcFirstLastPara="1" vertOverflow="ellipsis" vert="horz" wrap="square" anchor="ctr" anchorCtr="1"/>
        <a:lstStyle/>
        <a:p>
          <a:pPr>
            <a:defRPr sz="900" b="0" i="0" strike="noStrike" kern="1200" baseline="0">
              <a:solidFill>
                <a:schemeClr val="tx1"/>
              </a:solidFill>
              <a:latin typeface="Century Gothic" panose="020B0502020202020204" pitchFamily="34" charset="0"/>
              <a:ea typeface="+mn-ea"/>
              <a:cs typeface="+mn-cs"/>
            </a:defRPr>
          </a:pPr>
          <a:endParaRPr lang="ru-RU"/>
        </a:p>
      </c:txPr>
    </c:legend>
    <c:plotVisOnly val="1"/>
    <c:dispBlanksAs val="gap"/>
    <c:showDLblsOverMax val="1"/>
  </c:chart>
  <c:spPr>
    <a:solidFill>
      <a:schemeClr val="bg1">
        <a:lumMod val="95000"/>
      </a:schemeClr>
    </a:solidFill>
    <a:ln w="9525" cap="flat" cmpd="sng" algn="ctr">
      <a:noFill/>
      <a:prstDash val="solid"/>
      <a:round/>
    </a:ln>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pivotSource>
    <c:name>[КРС-3 обнова планирование.xlsx]БВ_по_скважинам!Сводная таблица2</c:name>
    <c:fmtId val="8"/>
  </c:pivotSource>
  <c:chart>
    <c:title>
      <c:tx>
        <c:rich>
          <a:bodyPr rot="0" spcFirstLastPara="1" vertOverflow="ellipsis" vert="horz" wrap="square" anchor="ctr" anchorCtr="1"/>
          <a:lstStyle/>
          <a:p>
            <a:pPr>
              <a:defRPr sz="1400" b="0" i="0" strike="noStrike" kern="1200" spc="0" baseline="0">
                <a:solidFill>
                  <a:schemeClr val="tx1"/>
                </a:solidFill>
                <a:latin typeface="Century Gothic" panose="020B0502020202020204" pitchFamily="34" charset="0"/>
                <a:ea typeface="+mn-ea"/>
                <a:cs typeface="+mn-cs"/>
              </a:defRPr>
            </a:pPr>
            <a:r>
              <a:rPr lang="ru-RU"/>
              <a:t>Балансы времени по скважинам</a:t>
            </a:r>
          </a:p>
        </c:rich>
      </c:tx>
      <c:overlay val="0"/>
      <c:spPr>
        <a:noFill/>
        <a:ln>
          <a:noFill/>
          <a:prstDash val="solid"/>
        </a:ln>
      </c:spPr>
    </c:title>
    <c:autoTitleDeleted val="0"/>
    <c:pivotFmts>
      <c:pivotFmt>
        <c:idx val="0"/>
        <c:spPr>
          <a:solidFill>
            <a:srgbClr val="C00000"/>
          </a:solidFill>
          <a:ln>
            <a:noFill/>
            <a:prstDash val="solid"/>
          </a:ln>
        </c:spPr>
        <c:marker>
          <c:symbol val="none"/>
        </c:marker>
        <c:dLbl>
          <c:idx val="0"/>
          <c:spPr>
            <a:noFill/>
            <a:ln>
              <a:noFill/>
              <a:prstDash val="solid"/>
            </a:ln>
          </c:spPr>
          <c:txPr>
            <a:bodyPr rot="0" spcFirstLastPara="1" vertOverflow="ellipsis" vert="horz" wrap="square" anchor="ctr" anchorCtr="1"/>
            <a:lstStyle/>
            <a:p>
              <a:pPr>
                <a:defRPr sz="900" b="1" i="0" strike="noStrike" kern="1200" baseline="0">
                  <a:solidFill>
                    <a:schemeClr val="tx1"/>
                  </a:solidFill>
                  <a:latin typeface="Century Gothic" panose="020B0502020202020204" pitchFamily="34" charset="0"/>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prstDash val="solid"/>
          </a:ln>
        </c:spPr>
        <c:marker>
          <c:symbol val="none"/>
        </c:marker>
        <c:dLbl>
          <c:idx val="0"/>
          <c:spPr>
            <a:noFill/>
            <a:ln>
              <a:noFill/>
              <a:prstDash val="solid"/>
            </a:ln>
          </c:spPr>
          <c:txPr>
            <a:bodyPr rot="0" spcFirstLastPara="1" vertOverflow="ellipsis" vert="horz" wrap="square" anchor="ctr" anchorCtr="1"/>
            <a:lstStyle/>
            <a:p>
              <a:pPr>
                <a:defRPr sz="900" b="1" i="0" strike="noStrike" kern="1200" baseline="0">
                  <a:solidFill>
                    <a:schemeClr val="tx1"/>
                  </a:solidFill>
                  <a:latin typeface="Century Gothic" panose="020B0502020202020204" pitchFamily="34" charset="0"/>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prstDash val="solid"/>
          </a:ln>
        </c:spPr>
        <c:marker>
          <c:symbol val="none"/>
        </c:marker>
        <c:dLbl>
          <c:idx val="0"/>
          <c:spPr>
            <a:noFill/>
            <a:ln>
              <a:noFill/>
              <a:prstDash val="solid"/>
            </a:ln>
          </c:spPr>
          <c:txPr>
            <a:bodyPr rot="0" spcFirstLastPara="1" vertOverflow="ellipsis" vert="horz" wrap="square" anchor="ctr" anchorCtr="1"/>
            <a:lstStyle/>
            <a:p>
              <a:pPr>
                <a:defRPr sz="900" b="1" i="0" strike="noStrike" kern="1200" baseline="0">
                  <a:solidFill>
                    <a:schemeClr val="tx1"/>
                  </a:solidFill>
                  <a:latin typeface="Century Gothic" panose="020B0502020202020204" pitchFamily="34" charset="0"/>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70AD47"/>
          </a:solidFill>
          <a:ln>
            <a:noFill/>
            <a:prstDash val="solid"/>
          </a:ln>
        </c:spPr>
        <c:marker>
          <c:symbol val="none"/>
        </c:marker>
        <c:dLbl>
          <c:idx val="0"/>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FFC000"/>
          </a:solidFill>
          <a:ln>
            <a:noFill/>
            <a:prstDash val="solid"/>
          </a:ln>
        </c:spPr>
        <c:marker>
          <c:symbol val="none"/>
        </c:marker>
        <c:dLbl>
          <c:idx val="0"/>
          <c:showLegendKey val="1"/>
          <c:showVal val="1"/>
          <c:showCatName val="1"/>
          <c:showSerName val="1"/>
          <c:showPercent val="1"/>
          <c:showBubbleSize val="1"/>
          <c:extLst>
            <c:ext xmlns:c15="http://schemas.microsoft.com/office/drawing/2012/chart" uri="{CE6537A1-D6FC-4f65-9D91-7224C49458BB}"/>
          </c:extLst>
        </c:dLbl>
      </c:pivotFmt>
      <c:pivotFmt>
        <c:idx val="5"/>
        <c:spPr>
          <a:solidFill>
            <a:srgbClr val="C00000"/>
          </a:solidFill>
          <a:ln>
            <a:noFill/>
            <a:prstDash val="solid"/>
          </a:ln>
        </c:spPr>
        <c:marker>
          <c:symbol val="none"/>
        </c:marker>
        <c:dLbl>
          <c:idx val="0"/>
          <c:showLegendKey val="1"/>
          <c:showVal val="1"/>
          <c:showCatName val="1"/>
          <c:showSerName val="1"/>
          <c:showPercent val="1"/>
          <c:showBubbleSize val="1"/>
          <c:extLst>
            <c:ext xmlns:c15="http://schemas.microsoft.com/office/drawing/2012/chart" uri="{CE6537A1-D6FC-4f65-9D91-7224C49458BB}"/>
          </c:extLst>
        </c:dLbl>
      </c:pivotFmt>
      <c:pivotFmt>
        <c:idx val="6"/>
        <c:spPr>
          <a:solidFill>
            <a:srgbClr val="70AD47"/>
          </a:solidFill>
          <a:ln>
            <a:noFill/>
            <a:prstDash val="solid"/>
          </a:ln>
        </c:spPr>
        <c:marker>
          <c:symbol val="none"/>
        </c:marker>
        <c:dLbl>
          <c:idx val="0"/>
          <c:showLegendKey val="1"/>
          <c:showVal val="1"/>
          <c:showCatName val="1"/>
          <c:showSerName val="1"/>
          <c:showPercent val="1"/>
          <c:showBubbleSize val="1"/>
          <c:extLst>
            <c:ext xmlns:c15="http://schemas.microsoft.com/office/drawing/2012/chart" uri="{CE6537A1-D6FC-4f65-9D91-7224C49458BB}"/>
          </c:extLst>
        </c:dLbl>
      </c:pivotFmt>
      <c:pivotFmt>
        <c:idx val="7"/>
        <c:spPr>
          <a:solidFill>
            <a:srgbClr val="FFC000"/>
          </a:solidFill>
          <a:ln>
            <a:noFill/>
            <a:prstDash val="solid"/>
          </a:ln>
        </c:spPr>
        <c:marker>
          <c:symbol val="none"/>
        </c:marker>
        <c:dLbl>
          <c:idx val="0"/>
          <c:showLegendKey val="1"/>
          <c:showVal val="1"/>
          <c:showCatName val="1"/>
          <c:showSerName val="1"/>
          <c:showPercent val="1"/>
          <c:showBubbleSize val="1"/>
          <c:extLst>
            <c:ext xmlns:c15="http://schemas.microsoft.com/office/drawing/2012/chart" uri="{CE6537A1-D6FC-4f65-9D91-7224C49458BB}"/>
          </c:extLst>
        </c:dLbl>
      </c:pivotFmt>
      <c:pivotFmt>
        <c:idx val="8"/>
        <c:spPr>
          <a:solidFill>
            <a:srgbClr val="C00000"/>
          </a:solidFill>
          <a:ln>
            <a:noFill/>
            <a:prstDash val="solid"/>
          </a:ln>
        </c:spPr>
        <c:marker>
          <c:symbol val="none"/>
        </c:marker>
        <c:dLbl>
          <c:idx val="0"/>
          <c:showLegendKey val="1"/>
          <c:showVal val="1"/>
          <c:showCatName val="1"/>
          <c:showSerName val="1"/>
          <c:showPercent val="1"/>
          <c:showBubbleSize val="1"/>
          <c:extLst>
            <c:ext xmlns:c15="http://schemas.microsoft.com/office/drawing/2012/chart" uri="{CE6537A1-D6FC-4f65-9D91-7224C49458BB}"/>
          </c:extLst>
        </c:dLbl>
      </c:pivotFmt>
      <c:pivotFmt>
        <c:idx val="9"/>
        <c:spPr>
          <a:solidFill>
            <a:srgbClr val="70AD47"/>
          </a:solidFill>
          <a:ln>
            <a:noFill/>
            <a:prstDash val="solid"/>
          </a:ln>
        </c:spPr>
        <c:marker>
          <c:symbol val="none"/>
        </c:marker>
        <c:dLbl>
          <c:idx val="0"/>
          <c:showLegendKey val="1"/>
          <c:showVal val="1"/>
          <c:showCatName val="1"/>
          <c:showSerName val="1"/>
          <c:showPercent val="1"/>
          <c:showBubbleSize val="1"/>
          <c:extLst>
            <c:ext xmlns:c15="http://schemas.microsoft.com/office/drawing/2012/chart" uri="{CE6537A1-D6FC-4f65-9D91-7224C49458BB}"/>
          </c:extLst>
        </c:dLbl>
      </c:pivotFmt>
      <c:pivotFmt>
        <c:idx val="10"/>
        <c:spPr>
          <a:solidFill>
            <a:srgbClr val="FFC000"/>
          </a:solidFill>
          <a:ln>
            <a:noFill/>
            <a:prstDash val="solid"/>
          </a:ln>
        </c:spPr>
        <c:marker>
          <c:symbol val="none"/>
        </c:marker>
        <c:dLbl>
          <c:idx val="0"/>
          <c:showLegendKey val="1"/>
          <c:showVal val="1"/>
          <c:showCatName val="1"/>
          <c:showSerName val="1"/>
          <c:showPercent val="1"/>
          <c:showBubbleSize val="1"/>
          <c:extLst>
            <c:ext xmlns:c15="http://schemas.microsoft.com/office/drawing/2012/chart" uri="{CE6537A1-D6FC-4f65-9D91-7224C49458BB}"/>
          </c:extLst>
        </c:dLbl>
      </c:pivotFmt>
      <c:pivotFmt>
        <c:idx val="11"/>
        <c:spPr>
          <a:solidFill>
            <a:srgbClr val="C00000"/>
          </a:solidFill>
          <a:ln>
            <a:noFill/>
            <a:prstDash val="solid"/>
          </a:ln>
        </c:spPr>
        <c:marker>
          <c:symbol val="none"/>
        </c:marker>
        <c:dLbl>
          <c:idx val="0"/>
          <c:showLegendKey val="1"/>
          <c:showVal val="1"/>
          <c:showCatName val="1"/>
          <c:showSerName val="1"/>
          <c:showPercent val="1"/>
          <c:showBubbleSize val="1"/>
          <c:extLst>
            <c:ext xmlns:c15="http://schemas.microsoft.com/office/drawing/2012/chart" uri="{CE6537A1-D6FC-4f65-9D91-7224C49458BB}"/>
          </c:extLst>
        </c:dLbl>
      </c:pivotFmt>
      <c:pivotFmt>
        <c:idx val="12"/>
        <c:spPr>
          <a:solidFill>
            <a:srgbClr val="70AD47"/>
          </a:solidFill>
          <a:ln>
            <a:noFill/>
            <a:prstDash val="solid"/>
          </a:ln>
        </c:spPr>
        <c:marker>
          <c:symbol val="none"/>
        </c:marker>
        <c:dLbl>
          <c:idx val="0"/>
          <c:showLegendKey val="1"/>
          <c:showVal val="1"/>
          <c:showCatName val="1"/>
          <c:showSerName val="1"/>
          <c:showPercent val="1"/>
          <c:showBubbleSize val="1"/>
          <c:extLst>
            <c:ext xmlns:c15="http://schemas.microsoft.com/office/drawing/2012/chart" uri="{CE6537A1-D6FC-4f65-9D91-7224C49458BB}"/>
          </c:extLst>
        </c:dLbl>
      </c:pivotFmt>
      <c:pivotFmt>
        <c:idx val="13"/>
        <c:spPr>
          <a:solidFill>
            <a:srgbClr val="FFC000"/>
          </a:solidFill>
          <a:ln>
            <a:noFill/>
            <a:prstDash val="solid"/>
          </a:ln>
        </c:spPr>
        <c:marker>
          <c:symbol val="none"/>
        </c:marker>
        <c:dLbl>
          <c:idx val="0"/>
          <c:showLegendKey val="1"/>
          <c:showVal val="1"/>
          <c:showCatName val="1"/>
          <c:showSerName val="1"/>
          <c:showPercent val="1"/>
          <c:showBubbleSize val="1"/>
          <c:extLst>
            <c:ext xmlns:c15="http://schemas.microsoft.com/office/drawing/2012/chart" uri="{CE6537A1-D6FC-4f65-9D91-7224C49458BB}"/>
          </c:extLst>
        </c:dLbl>
      </c:pivotFmt>
      <c:pivotFmt>
        <c:idx val="14"/>
        <c:spPr>
          <a:solidFill>
            <a:srgbClr val="C00000"/>
          </a:solidFill>
          <a:ln>
            <a:noFill/>
            <a:prstDash val="solid"/>
          </a:ln>
        </c:spPr>
        <c:marker>
          <c:symbol val="none"/>
        </c:marker>
        <c:dLbl>
          <c:idx val="0"/>
          <c:showLegendKey val="1"/>
          <c:showVal val="1"/>
          <c:showCatName val="1"/>
          <c:showSerName val="1"/>
          <c:showPercent val="1"/>
          <c:showBubbleSize val="1"/>
          <c:extLst>
            <c:ext xmlns:c15="http://schemas.microsoft.com/office/drawing/2012/chart" uri="{CE6537A1-D6FC-4f65-9D91-7224C49458BB}"/>
          </c:extLst>
        </c:dLbl>
      </c:pivotFmt>
      <c:pivotFmt>
        <c:idx val="15"/>
        <c:spPr>
          <a:solidFill>
            <a:srgbClr val="70AD47"/>
          </a:solidFill>
          <a:ln>
            <a:noFill/>
            <a:prstDash val="solid"/>
          </a:ln>
        </c:spPr>
        <c:marker>
          <c:symbol val="none"/>
        </c:marker>
        <c:dLbl>
          <c:idx val="0"/>
          <c:delete val="1"/>
          <c:extLst>
            <c:ext xmlns:c15="http://schemas.microsoft.com/office/drawing/2012/chart" uri="{CE6537A1-D6FC-4f65-9D91-7224C49458BB}"/>
          </c:extLst>
        </c:dLbl>
      </c:pivotFmt>
      <c:pivotFmt>
        <c:idx val="16"/>
        <c:spPr>
          <a:solidFill>
            <a:srgbClr val="FFC000"/>
          </a:solidFill>
          <a:ln>
            <a:noFill/>
            <a:prstDash val="solid"/>
          </a:ln>
        </c:spPr>
        <c:marker>
          <c:symbol val="none"/>
        </c:marker>
        <c:dLbl>
          <c:idx val="0"/>
          <c:delete val="1"/>
          <c:extLst>
            <c:ext xmlns:c15="http://schemas.microsoft.com/office/drawing/2012/chart" uri="{CE6537A1-D6FC-4f65-9D91-7224C49458BB}"/>
          </c:extLst>
        </c:dLbl>
      </c:pivotFmt>
      <c:pivotFmt>
        <c:idx val="17"/>
        <c:spPr>
          <a:solidFill>
            <a:srgbClr val="C00000"/>
          </a:solidFill>
          <a:ln>
            <a:noFill/>
            <a:prstDash val="solid"/>
          </a:ln>
        </c:spPr>
        <c:marker>
          <c:symbol val="none"/>
        </c:marker>
        <c:dLbl>
          <c:idx val="0"/>
          <c:delete val="1"/>
          <c:extLst>
            <c:ext xmlns:c15="http://schemas.microsoft.com/office/drawing/2012/chart" uri="{CE6537A1-D6FC-4f65-9D91-7224C49458BB}"/>
          </c:extLst>
        </c:dLbl>
      </c:pivotFmt>
    </c:pivotFmts>
    <c:plotArea>
      <c:layout/>
      <c:barChart>
        <c:barDir val="col"/>
        <c:grouping val="percentStacked"/>
        <c:varyColors val="0"/>
        <c:ser>
          <c:idx val="0"/>
          <c:order val="0"/>
          <c:tx>
            <c:strRef>
              <c:f>БВ_по_скважинам!$B$3:$B$4</c:f>
              <c:strCache>
                <c:ptCount val="1"/>
                <c:pt idx="0">
                  <c:v>ПВ </c:v>
                </c:pt>
              </c:strCache>
            </c:strRef>
          </c:tx>
          <c:spPr>
            <a:solidFill>
              <a:srgbClr val="70AD47"/>
            </a:solidFill>
            <a:ln>
              <a:noFill/>
              <a:prstDash val="solid"/>
            </a:ln>
          </c:spPr>
          <c:invertIfNegative val="0"/>
          <c:cat>
            <c:multiLvlStrRef>
              <c:f>БВ_по_скважинам!$A$5:$A$40</c:f>
              <c:multiLvlStrCache>
                <c:ptCount val="32"/>
                <c:lvl>
                  <c:pt idx="0">
                    <c:v>02 мая 2026 г.</c:v>
                  </c:pt>
                  <c:pt idx="1">
                    <c:v>03 мая 2026 г.</c:v>
                  </c:pt>
                  <c:pt idx="2">
                    <c:v>04 мая 2026 г.</c:v>
                  </c:pt>
                  <c:pt idx="3">
                    <c:v>05 мая 2026 г.</c:v>
                  </c:pt>
                  <c:pt idx="4">
                    <c:v>06 мая 2026 г.</c:v>
                  </c:pt>
                  <c:pt idx="5">
                    <c:v>06 мая 2026 г.</c:v>
                  </c:pt>
                  <c:pt idx="6">
                    <c:v>07 мая 2026 г.</c:v>
                  </c:pt>
                  <c:pt idx="7">
                    <c:v>08 мая 2026 г.</c:v>
                  </c:pt>
                  <c:pt idx="8">
                    <c:v>09 мая 2026 г.</c:v>
                  </c:pt>
                  <c:pt idx="9">
                    <c:v>10 мая 2026 г.</c:v>
                  </c:pt>
                  <c:pt idx="10">
                    <c:v>11 мая 2026 г.</c:v>
                  </c:pt>
                  <c:pt idx="11">
                    <c:v>12 мая 2026 г.</c:v>
                  </c:pt>
                  <c:pt idx="12">
                    <c:v>13 мая 2026 г.</c:v>
                  </c:pt>
                  <c:pt idx="13">
                    <c:v>14 мая 2026 г.</c:v>
                  </c:pt>
                  <c:pt idx="14">
                    <c:v>15 мая 2026 г.</c:v>
                  </c:pt>
                  <c:pt idx="15">
                    <c:v>16 мая 2026 г.</c:v>
                  </c:pt>
                  <c:pt idx="16">
                    <c:v>17 мая 2026 г.</c:v>
                  </c:pt>
                  <c:pt idx="17">
                    <c:v>18 мая 2026 г.</c:v>
                  </c:pt>
                  <c:pt idx="18">
                    <c:v>19 мая 2026 г.</c:v>
                  </c:pt>
                  <c:pt idx="19">
                    <c:v>20 мая 2026 г.</c:v>
                  </c:pt>
                  <c:pt idx="20">
                    <c:v>21 мая 2026 г.</c:v>
                  </c:pt>
                  <c:pt idx="21">
                    <c:v>22 мая 2026 г.</c:v>
                  </c:pt>
                  <c:pt idx="22">
                    <c:v>23 мая 2026 г.</c:v>
                  </c:pt>
                  <c:pt idx="23">
                    <c:v>24 мая 2026 г.</c:v>
                  </c:pt>
                  <c:pt idx="24">
                    <c:v>24 мая 2026 г.</c:v>
                  </c:pt>
                  <c:pt idx="25">
                    <c:v>25 мая 2026 г.</c:v>
                  </c:pt>
                  <c:pt idx="26">
                    <c:v>26 мая 2026 г.</c:v>
                  </c:pt>
                  <c:pt idx="27">
                    <c:v>27 мая 2026 г.</c:v>
                  </c:pt>
                  <c:pt idx="28">
                    <c:v>28 мая 2026 г.</c:v>
                  </c:pt>
                  <c:pt idx="29">
                    <c:v>29 мая 2026 г.</c:v>
                  </c:pt>
                  <c:pt idx="30">
                    <c:v>30 мая 2026 г.</c:v>
                  </c:pt>
                  <c:pt idx="31">
                    <c:v>31 мая 2026 г.</c:v>
                  </c:pt>
                </c:lvl>
                <c:lvl>
                  <c:pt idx="0">
                    <c:v>6 бис</c:v>
                  </c:pt>
                  <c:pt idx="5">
                    <c:v>431</c:v>
                  </c:pt>
                  <c:pt idx="24">
                    <c:v>851</c:v>
                  </c:pt>
                </c:lvl>
              </c:multiLvlStrCache>
            </c:multiLvlStrRef>
          </c:cat>
          <c:val>
            <c:numRef>
              <c:f>БВ_по_скважинам!$B$5:$B$40</c:f>
              <c:numCache>
                <c:formatCode>0.0</c:formatCode>
                <c:ptCount val="32"/>
                <c:pt idx="0">
                  <c:v>4</c:v>
                </c:pt>
                <c:pt idx="1">
                  <c:v>14.5</c:v>
                </c:pt>
                <c:pt idx="2">
                  <c:v>13.44</c:v>
                </c:pt>
                <c:pt idx="3">
                  <c:v>19.389999999999997</c:v>
                </c:pt>
                <c:pt idx="4">
                  <c:v>10.93</c:v>
                </c:pt>
                <c:pt idx="5">
                  <c:v>2.5</c:v>
                </c:pt>
                <c:pt idx="6">
                  <c:v>13.969999999999999</c:v>
                </c:pt>
                <c:pt idx="7">
                  <c:v>0</c:v>
                </c:pt>
                <c:pt idx="8">
                  <c:v>8.94</c:v>
                </c:pt>
                <c:pt idx="9">
                  <c:v>6.0419999999999989</c:v>
                </c:pt>
                <c:pt idx="10">
                  <c:v>0.45440000000000103</c:v>
                </c:pt>
                <c:pt idx="11">
                  <c:v>0.50399999999999956</c:v>
                </c:pt>
                <c:pt idx="12">
                  <c:v>9.74</c:v>
                </c:pt>
                <c:pt idx="13">
                  <c:v>16.3</c:v>
                </c:pt>
                <c:pt idx="14">
                  <c:v>0.97440000000000104</c:v>
                </c:pt>
                <c:pt idx="15">
                  <c:v>4.84</c:v>
                </c:pt>
                <c:pt idx="16">
                  <c:v>0</c:v>
                </c:pt>
                <c:pt idx="17">
                  <c:v>8</c:v>
                </c:pt>
                <c:pt idx="18">
                  <c:v>0</c:v>
                </c:pt>
                <c:pt idx="19">
                  <c:v>8.02</c:v>
                </c:pt>
                <c:pt idx="20">
                  <c:v>10.998000000000001</c:v>
                </c:pt>
                <c:pt idx="21">
                  <c:v>20.8688</c:v>
                </c:pt>
                <c:pt idx="22">
                  <c:v>0</c:v>
                </c:pt>
                <c:pt idx="23">
                  <c:v>0</c:v>
                </c:pt>
                <c:pt idx="24">
                  <c:v>16.580000000000002</c:v>
                </c:pt>
                <c:pt idx="25">
                  <c:v>11.66</c:v>
                </c:pt>
                <c:pt idx="26">
                  <c:v>4.6100000000000003</c:v>
                </c:pt>
                <c:pt idx="27">
                  <c:v>8.1900000000000013</c:v>
                </c:pt>
                <c:pt idx="28">
                  <c:v>15</c:v>
                </c:pt>
                <c:pt idx="29">
                  <c:v>7.93</c:v>
                </c:pt>
                <c:pt idx="30">
                  <c:v>20.5</c:v>
                </c:pt>
                <c:pt idx="31">
                  <c:v>12</c:v>
                </c:pt>
              </c:numCache>
            </c:numRef>
          </c:val>
          <c:extLst>
            <c:ext xmlns:c16="http://schemas.microsoft.com/office/drawing/2014/chart" uri="{C3380CC4-5D6E-409C-BE32-E72D297353CC}">
              <c16:uniqueId val="{00000000-DE92-4FD5-AF04-1662F2C80827}"/>
            </c:ext>
          </c:extLst>
        </c:ser>
        <c:ser>
          <c:idx val="1"/>
          <c:order val="1"/>
          <c:tx>
            <c:strRef>
              <c:f>БВ_по_скважинам!$C$3:$C$4</c:f>
              <c:strCache>
                <c:ptCount val="1"/>
                <c:pt idx="0">
                  <c:v>ПНВ </c:v>
                </c:pt>
              </c:strCache>
            </c:strRef>
          </c:tx>
          <c:spPr>
            <a:solidFill>
              <a:srgbClr val="FFC000"/>
            </a:solidFill>
            <a:ln>
              <a:noFill/>
              <a:prstDash val="solid"/>
            </a:ln>
          </c:spPr>
          <c:invertIfNegative val="0"/>
          <c:cat>
            <c:multiLvlStrRef>
              <c:f>БВ_по_скважинам!$A$5:$A$40</c:f>
              <c:multiLvlStrCache>
                <c:ptCount val="32"/>
                <c:lvl>
                  <c:pt idx="0">
                    <c:v>02 мая 2026 г.</c:v>
                  </c:pt>
                  <c:pt idx="1">
                    <c:v>03 мая 2026 г.</c:v>
                  </c:pt>
                  <c:pt idx="2">
                    <c:v>04 мая 2026 г.</c:v>
                  </c:pt>
                  <c:pt idx="3">
                    <c:v>05 мая 2026 г.</c:v>
                  </c:pt>
                  <c:pt idx="4">
                    <c:v>06 мая 2026 г.</c:v>
                  </c:pt>
                  <c:pt idx="5">
                    <c:v>06 мая 2026 г.</c:v>
                  </c:pt>
                  <c:pt idx="6">
                    <c:v>07 мая 2026 г.</c:v>
                  </c:pt>
                  <c:pt idx="7">
                    <c:v>08 мая 2026 г.</c:v>
                  </c:pt>
                  <c:pt idx="8">
                    <c:v>09 мая 2026 г.</c:v>
                  </c:pt>
                  <c:pt idx="9">
                    <c:v>10 мая 2026 г.</c:v>
                  </c:pt>
                  <c:pt idx="10">
                    <c:v>11 мая 2026 г.</c:v>
                  </c:pt>
                  <c:pt idx="11">
                    <c:v>12 мая 2026 г.</c:v>
                  </c:pt>
                  <c:pt idx="12">
                    <c:v>13 мая 2026 г.</c:v>
                  </c:pt>
                  <c:pt idx="13">
                    <c:v>14 мая 2026 г.</c:v>
                  </c:pt>
                  <c:pt idx="14">
                    <c:v>15 мая 2026 г.</c:v>
                  </c:pt>
                  <c:pt idx="15">
                    <c:v>16 мая 2026 г.</c:v>
                  </c:pt>
                  <c:pt idx="16">
                    <c:v>17 мая 2026 г.</c:v>
                  </c:pt>
                  <c:pt idx="17">
                    <c:v>18 мая 2026 г.</c:v>
                  </c:pt>
                  <c:pt idx="18">
                    <c:v>19 мая 2026 г.</c:v>
                  </c:pt>
                  <c:pt idx="19">
                    <c:v>20 мая 2026 г.</c:v>
                  </c:pt>
                  <c:pt idx="20">
                    <c:v>21 мая 2026 г.</c:v>
                  </c:pt>
                  <c:pt idx="21">
                    <c:v>22 мая 2026 г.</c:v>
                  </c:pt>
                  <c:pt idx="22">
                    <c:v>23 мая 2026 г.</c:v>
                  </c:pt>
                  <c:pt idx="23">
                    <c:v>24 мая 2026 г.</c:v>
                  </c:pt>
                  <c:pt idx="24">
                    <c:v>24 мая 2026 г.</c:v>
                  </c:pt>
                  <c:pt idx="25">
                    <c:v>25 мая 2026 г.</c:v>
                  </c:pt>
                  <c:pt idx="26">
                    <c:v>26 мая 2026 г.</c:v>
                  </c:pt>
                  <c:pt idx="27">
                    <c:v>27 мая 2026 г.</c:v>
                  </c:pt>
                  <c:pt idx="28">
                    <c:v>28 мая 2026 г.</c:v>
                  </c:pt>
                  <c:pt idx="29">
                    <c:v>29 мая 2026 г.</c:v>
                  </c:pt>
                  <c:pt idx="30">
                    <c:v>30 мая 2026 г.</c:v>
                  </c:pt>
                  <c:pt idx="31">
                    <c:v>31 мая 2026 г.</c:v>
                  </c:pt>
                </c:lvl>
                <c:lvl>
                  <c:pt idx="0">
                    <c:v>6 бис</c:v>
                  </c:pt>
                  <c:pt idx="5">
                    <c:v>431</c:v>
                  </c:pt>
                  <c:pt idx="24">
                    <c:v>851</c:v>
                  </c:pt>
                </c:lvl>
              </c:multiLvlStrCache>
            </c:multiLvlStrRef>
          </c:cat>
          <c:val>
            <c:numRef>
              <c:f>БВ_по_скважинам!$C$5:$C$40</c:f>
              <c:numCache>
                <c:formatCode>0.0</c:formatCode>
                <c:ptCount val="32"/>
                <c:pt idx="0">
                  <c:v>0</c:v>
                </c:pt>
                <c:pt idx="1">
                  <c:v>3.5</c:v>
                </c:pt>
                <c:pt idx="2">
                  <c:v>7.5600000000000005</c:v>
                </c:pt>
                <c:pt idx="3">
                  <c:v>4.6100000000000003</c:v>
                </c:pt>
                <c:pt idx="4">
                  <c:v>10.57</c:v>
                </c:pt>
                <c:pt idx="5">
                  <c:v>0</c:v>
                </c:pt>
                <c:pt idx="6">
                  <c:v>10.030000000000001</c:v>
                </c:pt>
                <c:pt idx="7">
                  <c:v>24</c:v>
                </c:pt>
                <c:pt idx="8">
                  <c:v>11.06</c:v>
                </c:pt>
                <c:pt idx="9">
                  <c:v>17.958000000000002</c:v>
                </c:pt>
                <c:pt idx="10">
                  <c:v>23.5456</c:v>
                </c:pt>
                <c:pt idx="11">
                  <c:v>14.496</c:v>
                </c:pt>
                <c:pt idx="12">
                  <c:v>2.2599999999999998</c:v>
                </c:pt>
                <c:pt idx="13">
                  <c:v>3.7</c:v>
                </c:pt>
                <c:pt idx="14">
                  <c:v>11.025599999999999</c:v>
                </c:pt>
                <c:pt idx="15">
                  <c:v>3.16</c:v>
                </c:pt>
                <c:pt idx="16">
                  <c:v>0</c:v>
                </c:pt>
                <c:pt idx="17">
                  <c:v>0</c:v>
                </c:pt>
                <c:pt idx="18">
                  <c:v>0</c:v>
                </c:pt>
                <c:pt idx="19">
                  <c:v>10.98</c:v>
                </c:pt>
                <c:pt idx="20">
                  <c:v>13.001999999999999</c:v>
                </c:pt>
                <c:pt idx="21">
                  <c:v>3.1312000000000015</c:v>
                </c:pt>
                <c:pt idx="22">
                  <c:v>24</c:v>
                </c:pt>
                <c:pt idx="23">
                  <c:v>4.5</c:v>
                </c:pt>
                <c:pt idx="24">
                  <c:v>2.92</c:v>
                </c:pt>
                <c:pt idx="25">
                  <c:v>6.84</c:v>
                </c:pt>
                <c:pt idx="26">
                  <c:v>1.39</c:v>
                </c:pt>
                <c:pt idx="27">
                  <c:v>5.81</c:v>
                </c:pt>
                <c:pt idx="28">
                  <c:v>0</c:v>
                </c:pt>
                <c:pt idx="29">
                  <c:v>16.07</c:v>
                </c:pt>
                <c:pt idx="30">
                  <c:v>0</c:v>
                </c:pt>
                <c:pt idx="31">
                  <c:v>0</c:v>
                </c:pt>
              </c:numCache>
            </c:numRef>
          </c:val>
          <c:extLst>
            <c:ext xmlns:c16="http://schemas.microsoft.com/office/drawing/2014/chart" uri="{C3380CC4-5D6E-409C-BE32-E72D297353CC}">
              <c16:uniqueId val="{00000001-DE92-4FD5-AF04-1662F2C80827}"/>
            </c:ext>
          </c:extLst>
        </c:ser>
        <c:ser>
          <c:idx val="2"/>
          <c:order val="2"/>
          <c:tx>
            <c:strRef>
              <c:f>БВ_по_скважинам!$D$3:$D$4</c:f>
              <c:strCache>
                <c:ptCount val="1"/>
                <c:pt idx="0">
                  <c:v>НПВ </c:v>
                </c:pt>
              </c:strCache>
            </c:strRef>
          </c:tx>
          <c:spPr>
            <a:solidFill>
              <a:srgbClr val="C00000"/>
            </a:solidFill>
            <a:ln>
              <a:noFill/>
              <a:prstDash val="solid"/>
            </a:ln>
          </c:spPr>
          <c:invertIfNegative val="0"/>
          <c:cat>
            <c:multiLvlStrRef>
              <c:f>БВ_по_скважинам!$A$5:$A$40</c:f>
              <c:multiLvlStrCache>
                <c:ptCount val="32"/>
                <c:lvl>
                  <c:pt idx="0">
                    <c:v>02 мая 2026 г.</c:v>
                  </c:pt>
                  <c:pt idx="1">
                    <c:v>03 мая 2026 г.</c:v>
                  </c:pt>
                  <c:pt idx="2">
                    <c:v>04 мая 2026 г.</c:v>
                  </c:pt>
                  <c:pt idx="3">
                    <c:v>05 мая 2026 г.</c:v>
                  </c:pt>
                  <c:pt idx="4">
                    <c:v>06 мая 2026 г.</c:v>
                  </c:pt>
                  <c:pt idx="5">
                    <c:v>06 мая 2026 г.</c:v>
                  </c:pt>
                  <c:pt idx="6">
                    <c:v>07 мая 2026 г.</c:v>
                  </c:pt>
                  <c:pt idx="7">
                    <c:v>08 мая 2026 г.</c:v>
                  </c:pt>
                  <c:pt idx="8">
                    <c:v>09 мая 2026 г.</c:v>
                  </c:pt>
                  <c:pt idx="9">
                    <c:v>10 мая 2026 г.</c:v>
                  </c:pt>
                  <c:pt idx="10">
                    <c:v>11 мая 2026 г.</c:v>
                  </c:pt>
                  <c:pt idx="11">
                    <c:v>12 мая 2026 г.</c:v>
                  </c:pt>
                  <c:pt idx="12">
                    <c:v>13 мая 2026 г.</c:v>
                  </c:pt>
                  <c:pt idx="13">
                    <c:v>14 мая 2026 г.</c:v>
                  </c:pt>
                  <c:pt idx="14">
                    <c:v>15 мая 2026 г.</c:v>
                  </c:pt>
                  <c:pt idx="15">
                    <c:v>16 мая 2026 г.</c:v>
                  </c:pt>
                  <c:pt idx="16">
                    <c:v>17 мая 2026 г.</c:v>
                  </c:pt>
                  <c:pt idx="17">
                    <c:v>18 мая 2026 г.</c:v>
                  </c:pt>
                  <c:pt idx="18">
                    <c:v>19 мая 2026 г.</c:v>
                  </c:pt>
                  <c:pt idx="19">
                    <c:v>20 мая 2026 г.</c:v>
                  </c:pt>
                  <c:pt idx="20">
                    <c:v>21 мая 2026 г.</c:v>
                  </c:pt>
                  <c:pt idx="21">
                    <c:v>22 мая 2026 г.</c:v>
                  </c:pt>
                  <c:pt idx="22">
                    <c:v>23 мая 2026 г.</c:v>
                  </c:pt>
                  <c:pt idx="23">
                    <c:v>24 мая 2026 г.</c:v>
                  </c:pt>
                  <c:pt idx="24">
                    <c:v>24 мая 2026 г.</c:v>
                  </c:pt>
                  <c:pt idx="25">
                    <c:v>25 мая 2026 г.</c:v>
                  </c:pt>
                  <c:pt idx="26">
                    <c:v>26 мая 2026 г.</c:v>
                  </c:pt>
                  <c:pt idx="27">
                    <c:v>27 мая 2026 г.</c:v>
                  </c:pt>
                  <c:pt idx="28">
                    <c:v>28 мая 2026 г.</c:v>
                  </c:pt>
                  <c:pt idx="29">
                    <c:v>29 мая 2026 г.</c:v>
                  </c:pt>
                  <c:pt idx="30">
                    <c:v>30 мая 2026 г.</c:v>
                  </c:pt>
                  <c:pt idx="31">
                    <c:v>31 мая 2026 г.</c:v>
                  </c:pt>
                </c:lvl>
                <c:lvl>
                  <c:pt idx="0">
                    <c:v>6 бис</c:v>
                  </c:pt>
                  <c:pt idx="5">
                    <c:v>431</c:v>
                  </c:pt>
                  <c:pt idx="24">
                    <c:v>851</c:v>
                  </c:pt>
                </c:lvl>
              </c:multiLvlStrCache>
            </c:multiLvlStrRef>
          </c:cat>
          <c:val>
            <c:numRef>
              <c:f>БВ_по_скважинам!$D$5:$D$40</c:f>
              <c:numCache>
                <c:formatCode>0.0</c:formatCode>
                <c:ptCount val="32"/>
                <c:pt idx="0">
                  <c:v>0</c:v>
                </c:pt>
                <c:pt idx="1">
                  <c:v>6</c:v>
                </c:pt>
                <c:pt idx="2">
                  <c:v>3</c:v>
                </c:pt>
                <c:pt idx="3">
                  <c:v>0</c:v>
                </c:pt>
                <c:pt idx="4">
                  <c:v>0</c:v>
                </c:pt>
                <c:pt idx="5">
                  <c:v>0</c:v>
                </c:pt>
                <c:pt idx="6">
                  <c:v>0</c:v>
                </c:pt>
                <c:pt idx="7">
                  <c:v>0</c:v>
                </c:pt>
                <c:pt idx="8">
                  <c:v>4</c:v>
                </c:pt>
                <c:pt idx="9">
                  <c:v>0</c:v>
                </c:pt>
                <c:pt idx="10">
                  <c:v>0</c:v>
                </c:pt>
                <c:pt idx="11">
                  <c:v>9</c:v>
                </c:pt>
                <c:pt idx="12">
                  <c:v>12</c:v>
                </c:pt>
                <c:pt idx="13">
                  <c:v>4</c:v>
                </c:pt>
                <c:pt idx="14">
                  <c:v>12</c:v>
                </c:pt>
                <c:pt idx="15">
                  <c:v>16</c:v>
                </c:pt>
                <c:pt idx="16">
                  <c:v>24</c:v>
                </c:pt>
                <c:pt idx="17">
                  <c:v>16</c:v>
                </c:pt>
                <c:pt idx="18">
                  <c:v>24</c:v>
                </c:pt>
                <c:pt idx="19">
                  <c:v>5</c:v>
                </c:pt>
                <c:pt idx="20">
                  <c:v>0</c:v>
                </c:pt>
                <c:pt idx="21">
                  <c:v>0</c:v>
                </c:pt>
                <c:pt idx="22">
                  <c:v>0</c:v>
                </c:pt>
                <c:pt idx="23">
                  <c:v>0</c:v>
                </c:pt>
                <c:pt idx="24">
                  <c:v>0</c:v>
                </c:pt>
                <c:pt idx="25">
                  <c:v>5.5</c:v>
                </c:pt>
                <c:pt idx="26">
                  <c:v>18</c:v>
                </c:pt>
                <c:pt idx="27">
                  <c:v>10</c:v>
                </c:pt>
                <c:pt idx="28">
                  <c:v>9</c:v>
                </c:pt>
                <c:pt idx="29">
                  <c:v>0</c:v>
                </c:pt>
                <c:pt idx="30">
                  <c:v>3.5</c:v>
                </c:pt>
                <c:pt idx="31">
                  <c:v>12</c:v>
                </c:pt>
              </c:numCache>
            </c:numRef>
          </c:val>
          <c:extLst>
            <c:ext xmlns:c16="http://schemas.microsoft.com/office/drawing/2014/chart" uri="{C3380CC4-5D6E-409C-BE32-E72D297353CC}">
              <c16:uniqueId val="{00000002-DE92-4FD5-AF04-1662F2C80827}"/>
            </c:ext>
          </c:extLst>
        </c:ser>
        <c:dLbls>
          <c:showLegendKey val="0"/>
          <c:showVal val="0"/>
          <c:showCatName val="0"/>
          <c:showSerName val="0"/>
          <c:showPercent val="0"/>
          <c:showBubbleSize val="0"/>
        </c:dLbls>
        <c:gapWidth val="0"/>
        <c:overlap val="100"/>
        <c:axId val="644149295"/>
        <c:axId val="458405087"/>
      </c:barChart>
      <c:catAx>
        <c:axId val="644149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1400" b="0" i="0" strike="noStrike" kern="1200" baseline="0">
                <a:solidFill>
                  <a:schemeClr val="tx1"/>
                </a:solidFill>
                <a:latin typeface="Century Gothic" panose="020B0502020202020204" pitchFamily="34" charset="0"/>
                <a:ea typeface="+mn-ea"/>
                <a:cs typeface="+mn-cs"/>
              </a:defRPr>
            </a:pPr>
            <a:endParaRPr lang="ru-RU"/>
          </a:p>
        </c:txPr>
        <c:crossAx val="458405087"/>
        <c:crosses val="autoZero"/>
        <c:auto val="1"/>
        <c:lblAlgn val="ctr"/>
        <c:lblOffset val="100"/>
        <c:noMultiLvlLbl val="0"/>
      </c:catAx>
      <c:valAx>
        <c:axId val="458405087"/>
        <c:scaling>
          <c:orientation val="minMax"/>
        </c:scaling>
        <c:delete val="1"/>
        <c:axPos val="l"/>
        <c:numFmt formatCode="0%" sourceLinked="1"/>
        <c:majorTickMark val="none"/>
        <c:minorTickMark val="none"/>
        <c:tickLblPos val="nextTo"/>
        <c:crossAx val="644149295"/>
        <c:crosses val="autoZero"/>
        <c:crossBetween val="between"/>
      </c:valAx>
    </c:plotArea>
    <c:legend>
      <c:legendPos val="t"/>
      <c:overlay val="0"/>
      <c:spPr>
        <a:noFill/>
        <a:ln>
          <a:noFill/>
          <a:prstDash val="solid"/>
        </a:ln>
      </c:spPr>
      <c:txPr>
        <a:bodyPr rot="0" spcFirstLastPara="1" vertOverflow="ellipsis" vert="horz" wrap="square" anchor="ctr" anchorCtr="1"/>
        <a:lstStyle/>
        <a:p>
          <a:pPr>
            <a:defRPr sz="1200" b="0" i="0" strike="noStrike" kern="1200" baseline="0">
              <a:solidFill>
                <a:schemeClr val="tx1"/>
              </a:solidFill>
              <a:latin typeface="Century Gothic" panose="020B0502020202020204" pitchFamily="34" charset="0"/>
              <a:ea typeface="+mn-ea"/>
              <a:cs typeface="+mn-cs"/>
            </a:defRPr>
          </a:pPr>
          <a:endParaRPr lang="ru-RU"/>
        </a:p>
      </c:txPr>
    </c:legend>
    <c:plotVisOnly val="1"/>
    <c:dispBlanksAs val="gap"/>
    <c:showDLblsOverMax val="1"/>
  </c:chart>
  <c:spPr>
    <a:solidFill>
      <a:schemeClr val="bg1">
        <a:lumMod val="95000"/>
      </a:schemeClr>
    </a:solidFill>
    <a:ln w="9525" cap="flat" cmpd="sng" algn="ctr">
      <a:noFill/>
      <a:prstDash val="solid"/>
      <a:round/>
    </a:ln>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pivotSource>
    <c:name>[КРС-3 обнова планирование.xlsx]Топ_НПВ_в_месяце!Топ_НПВ_в_месяце</c:name>
    <c:fmtId val="11"/>
  </c:pivotSource>
  <c:chart>
    <c:title>
      <c:tx>
        <c:rich>
          <a:bodyPr rot="0" spcFirstLastPara="1" vertOverflow="ellipsis" vert="horz" wrap="square" anchor="ctr" anchorCtr="1"/>
          <a:lstStyle/>
          <a:p>
            <a:pPr>
              <a:defRPr sz="1400" b="0" i="0" strike="noStrike" kern="1200" spc="0" baseline="0">
                <a:solidFill>
                  <a:schemeClr val="tx1"/>
                </a:solidFill>
                <a:latin typeface="Century Gothic" panose="020B0502020202020204" pitchFamily="34" charset="0"/>
                <a:ea typeface="+mn-ea"/>
                <a:cs typeface="+mn-cs"/>
              </a:defRPr>
            </a:pPr>
            <a:r>
              <a:rPr lang="ru-RU"/>
              <a:t>НПВ</a:t>
            </a:r>
            <a:r>
              <a:rPr lang="ru-RU" baseline="0"/>
              <a:t> за месяц, часы</a:t>
            </a:r>
          </a:p>
        </c:rich>
      </c:tx>
      <c:overlay val="0"/>
      <c:spPr>
        <a:noFill/>
        <a:ln>
          <a:noFill/>
          <a:prstDash val="solid"/>
        </a:ln>
      </c:spPr>
    </c:title>
    <c:autoTitleDeleted val="0"/>
    <c:pivotFmts>
      <c:pivotFmt>
        <c:idx val="0"/>
        <c:spPr>
          <a:solidFill>
            <a:srgbClr val="C00000"/>
          </a:solidFill>
          <a:ln>
            <a:noFill/>
            <a:prstDash val="solid"/>
          </a:ln>
        </c:spPr>
        <c:marker>
          <c:symbol val="none"/>
        </c:marker>
        <c:dLbl>
          <c:idx val="0"/>
          <c:spPr>
            <a:noFill/>
            <a:ln>
              <a:noFill/>
              <a:prstDash val="solid"/>
            </a:ln>
          </c:spPr>
          <c:txPr>
            <a:bodyPr rot="0" spcFirstLastPara="1" vertOverflow="ellipsis" vert="horz" wrap="square" anchor="ctr" anchorCtr="1"/>
            <a:lstStyle/>
            <a:p>
              <a:pPr>
                <a:defRPr sz="900" b="1" i="0" strike="noStrike" kern="1200" baseline="0">
                  <a:solidFill>
                    <a:schemeClr val="tx1"/>
                  </a:solidFill>
                  <a:latin typeface="Century Gothic" panose="020B0502020202020204" pitchFamily="34" charset="0"/>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prstDash val="solid"/>
          </a:ln>
        </c:spPr>
        <c:marker>
          <c:symbol val="none"/>
        </c:marker>
        <c:dLbl>
          <c:idx val="0"/>
          <c:spPr>
            <a:noFill/>
            <a:ln>
              <a:noFill/>
              <a:prstDash val="solid"/>
            </a:ln>
          </c:spPr>
          <c:txPr>
            <a:bodyPr rot="0" spcFirstLastPara="1" vertOverflow="ellipsis" vert="horz" wrap="square" anchor="ctr" anchorCtr="1"/>
            <a:lstStyle/>
            <a:p>
              <a:pPr>
                <a:defRPr sz="900" b="1" i="0" strike="noStrike" kern="1200" baseline="0">
                  <a:solidFill>
                    <a:schemeClr val="tx1"/>
                  </a:solidFill>
                  <a:latin typeface="Century Gothic" panose="020B0502020202020204" pitchFamily="34" charset="0"/>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prstDash val="solid"/>
          </a:ln>
        </c:spPr>
        <c:marker>
          <c:symbol val="none"/>
        </c:marker>
        <c:dLbl>
          <c:idx val="0"/>
          <c:spPr>
            <a:noFill/>
            <a:ln>
              <a:noFill/>
              <a:prstDash val="solid"/>
            </a:ln>
          </c:spPr>
          <c:txPr>
            <a:bodyPr rot="0" spcFirstLastPara="1" vertOverflow="ellipsis" vert="horz" wrap="square" anchor="ctr" anchorCtr="1"/>
            <a:lstStyle/>
            <a:p>
              <a:pPr>
                <a:defRPr sz="900" b="1" i="0" strike="noStrike" kern="1200" baseline="0">
                  <a:solidFill>
                    <a:schemeClr val="tx1"/>
                  </a:solidFill>
                  <a:latin typeface="Century Gothic" panose="020B0502020202020204" pitchFamily="34" charset="0"/>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Топ_НПВ_в_месяце!$B$3</c:f>
              <c:strCache>
                <c:ptCount val="1"/>
                <c:pt idx="0">
                  <c:v>Итог</c:v>
                </c:pt>
              </c:strCache>
            </c:strRef>
          </c:tx>
          <c:spPr>
            <a:solidFill>
              <a:srgbClr val="C00000"/>
            </a:solidFill>
            <a:ln>
              <a:noFill/>
              <a:prstDash val="solid"/>
            </a:ln>
          </c:spPr>
          <c:invertIfNegative val="0"/>
          <c:dLbls>
            <c:spPr>
              <a:noFill/>
              <a:ln>
                <a:noFill/>
                <a:prstDash val="solid"/>
              </a:ln>
            </c:spPr>
            <c:txPr>
              <a:bodyPr rot="0" spcFirstLastPara="1" vertOverflow="ellipsis" vert="horz" wrap="square" anchor="ctr" anchorCtr="1"/>
              <a:lstStyle/>
              <a:p>
                <a:pPr>
                  <a:defRPr sz="900" b="1" i="0" strike="noStrike" kern="1200" baseline="0">
                    <a:solidFill>
                      <a:schemeClr val="tx1"/>
                    </a:solidFill>
                    <a:latin typeface="Century Gothic" panose="020B0502020202020204" pitchFamily="34" charset="0"/>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Топ_НПВ_в_месяце!$A$4:$A$17</c:f>
              <c:strCache>
                <c:ptCount val="13"/>
                <c:pt idx="0">
                  <c:v>Замена Запорная арматура</c:v>
                </c:pt>
                <c:pt idx="1">
                  <c:v>Замена ПВО</c:v>
                </c:pt>
                <c:pt idx="2">
                  <c:v>Ожидание Персонал</c:v>
                </c:pt>
                <c:pt idx="3">
                  <c:v>Устранение Предписания</c:v>
                </c:pt>
                <c:pt idx="4">
                  <c:v>Подготовка Скважина</c:v>
                </c:pt>
                <c:pt idx="5">
                  <c:v>Рабочая комиссия Разрешительная документация</c:v>
                </c:pt>
                <c:pt idx="6">
                  <c:v>Ожидание МТР</c:v>
                </c:pt>
                <c:pt idx="7">
                  <c:v>Ожидание Техника</c:v>
                </c:pt>
                <c:pt idx="8">
                  <c:v>Ремонт ПВО</c:v>
                </c:pt>
                <c:pt idx="9">
                  <c:v>Ремонт УПА</c:v>
                </c:pt>
                <c:pt idx="10">
                  <c:v>Тех. дежурство Бригада КРС</c:v>
                </c:pt>
                <c:pt idx="11">
                  <c:v>Опрессовка Блок дросселирования</c:v>
                </c:pt>
                <c:pt idx="12">
                  <c:v>Работа комиссии Скважина</c:v>
                </c:pt>
              </c:strCache>
            </c:strRef>
          </c:cat>
          <c:val>
            <c:numRef>
              <c:f>Топ_НПВ_в_месяце!$B$4:$B$17</c:f>
              <c:numCache>
                <c:formatCode>0.0</c:formatCode>
                <c:ptCount val="13"/>
                <c:pt idx="0">
                  <c:v>4</c:v>
                </c:pt>
                <c:pt idx="1">
                  <c:v>5</c:v>
                </c:pt>
                <c:pt idx="2">
                  <c:v>95.5</c:v>
                </c:pt>
                <c:pt idx="3">
                  <c:v>41</c:v>
                </c:pt>
                <c:pt idx="4">
                  <c:v>16</c:v>
                </c:pt>
                <c:pt idx="5">
                  <c:v>8</c:v>
                </c:pt>
                <c:pt idx="6">
                  <c:v>13.5</c:v>
                </c:pt>
                <c:pt idx="7">
                  <c:v>4</c:v>
                </c:pt>
                <c:pt idx="8">
                  <c:v>6</c:v>
                </c:pt>
                <c:pt idx="9">
                  <c:v>1.5</c:v>
                </c:pt>
                <c:pt idx="10">
                  <c:v>161</c:v>
                </c:pt>
                <c:pt idx="11">
                  <c:v>7</c:v>
                </c:pt>
                <c:pt idx="12">
                  <c:v>4</c:v>
                </c:pt>
              </c:numCache>
            </c:numRef>
          </c:val>
          <c:extLst>
            <c:ext xmlns:c16="http://schemas.microsoft.com/office/drawing/2014/chart" uri="{C3380CC4-5D6E-409C-BE32-E72D297353CC}">
              <c16:uniqueId val="{00000000-B2DE-4739-9DB2-BCB1655CC48B}"/>
            </c:ext>
          </c:extLst>
        </c:ser>
        <c:dLbls>
          <c:showLegendKey val="0"/>
          <c:showVal val="0"/>
          <c:showCatName val="0"/>
          <c:showSerName val="0"/>
          <c:showPercent val="0"/>
          <c:showBubbleSize val="0"/>
        </c:dLbls>
        <c:gapWidth val="182"/>
        <c:axId val="195442687"/>
        <c:axId val="1123418111"/>
      </c:barChart>
      <c:catAx>
        <c:axId val="195442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solidFill>
                <a:latin typeface="Century Gothic" panose="020B0502020202020204" pitchFamily="34" charset="0"/>
                <a:ea typeface="+mn-ea"/>
                <a:cs typeface="+mn-cs"/>
              </a:defRPr>
            </a:pPr>
            <a:endParaRPr lang="ru-RU"/>
          </a:p>
        </c:txPr>
        <c:crossAx val="1123418111"/>
        <c:crosses val="autoZero"/>
        <c:auto val="1"/>
        <c:lblAlgn val="ctr"/>
        <c:lblOffset val="100"/>
        <c:noMultiLvlLbl val="0"/>
      </c:catAx>
      <c:valAx>
        <c:axId val="1123418111"/>
        <c:scaling>
          <c:orientation val="minMax"/>
        </c:scaling>
        <c:delete val="1"/>
        <c:axPos val="l"/>
        <c:numFmt formatCode="0.0" sourceLinked="1"/>
        <c:majorTickMark val="none"/>
        <c:minorTickMark val="none"/>
        <c:tickLblPos val="nextTo"/>
        <c:crossAx val="195442687"/>
        <c:crosses val="autoZero"/>
        <c:crossBetween val="between"/>
      </c:valAx>
    </c:plotArea>
    <c:plotVisOnly val="1"/>
    <c:dispBlanksAs val="gap"/>
    <c:showDLblsOverMax val="1"/>
  </c:chart>
  <c:spPr>
    <a:solidFill>
      <a:schemeClr val="bg1">
        <a:lumMod val="95000"/>
      </a:schemeClr>
    </a:solidFill>
    <a:ln w="9525" cap="flat" cmpd="sng" algn="ctr">
      <a:noFill/>
      <a:prstDash val="solid"/>
      <a:round/>
    </a:ln>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pivotSource>
    <c:name>[КРС-3 обнова планирование.xlsx]Топ_НПВ_по_мес.!Топ_НПВ_по_мес</c:name>
    <c:fmtId val="4"/>
  </c:pivotSource>
  <c:chart>
    <c:title>
      <c:tx>
        <c:rich>
          <a:bodyPr rot="0" spcFirstLastPara="1" vertOverflow="ellipsis" vert="horz" wrap="square" anchor="ctr" anchorCtr="1"/>
          <a:lstStyle/>
          <a:p>
            <a:pPr>
              <a:defRPr sz="1400" b="0" i="0" strike="noStrike" kern="1200" spc="0" baseline="0">
                <a:solidFill>
                  <a:schemeClr val="tx1"/>
                </a:solidFill>
                <a:latin typeface="Century Gothic" panose="020B0502020202020204" pitchFamily="34" charset="0"/>
                <a:ea typeface="+mn-ea"/>
                <a:cs typeface="+mn-cs"/>
              </a:defRPr>
            </a:pPr>
            <a:r>
              <a:rPr lang="ru-RU"/>
              <a:t>Топ НПВ по месяцам, часы</a:t>
            </a:r>
          </a:p>
        </c:rich>
      </c:tx>
      <c:overlay val="0"/>
      <c:spPr>
        <a:noFill/>
        <a:ln>
          <a:noFill/>
          <a:prstDash val="solid"/>
        </a:ln>
      </c:spPr>
    </c:title>
    <c:autoTitleDeleted val="0"/>
    <c:pivotFmts>
      <c:pivotFmt>
        <c:idx val="0"/>
        <c:spPr>
          <a:solidFill>
            <a:srgbClr val="C00000"/>
          </a:solidFill>
          <a:ln>
            <a:noFill/>
            <a:prstDash val="solid"/>
          </a:ln>
        </c:spPr>
        <c:marker>
          <c:symbol val="none"/>
        </c:marker>
        <c:dLbl>
          <c:idx val="0"/>
          <c:spPr>
            <a:noFill/>
            <a:ln>
              <a:noFill/>
              <a:prstDash val="solid"/>
            </a:ln>
          </c:spPr>
          <c:txPr>
            <a:bodyPr rot="0" spcFirstLastPara="1" vertOverflow="ellipsis" vert="horz" wrap="square" anchor="ctr" anchorCtr="1"/>
            <a:lstStyle/>
            <a:p>
              <a:pPr>
                <a:defRPr sz="900" b="1" i="0" strike="noStrike" kern="1200" baseline="0">
                  <a:solidFill>
                    <a:schemeClr val="tx1"/>
                  </a:solidFill>
                  <a:latin typeface="Century Gothic" panose="020B0502020202020204" pitchFamily="34" charset="0"/>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prstDash val="solid"/>
          </a:ln>
        </c:spPr>
        <c:marker>
          <c:symbol val="none"/>
        </c:marker>
        <c:dLbl>
          <c:idx val="0"/>
          <c:spPr>
            <a:noFill/>
            <a:ln>
              <a:noFill/>
              <a:prstDash val="solid"/>
            </a:ln>
          </c:spPr>
          <c:txPr>
            <a:bodyPr rot="0" spcFirstLastPara="1" vertOverflow="ellipsis" vert="horz" wrap="square" anchor="ctr" anchorCtr="1"/>
            <a:lstStyle/>
            <a:p>
              <a:pPr>
                <a:defRPr sz="900" b="1" i="0" strike="noStrike" kern="1200" baseline="0">
                  <a:solidFill>
                    <a:schemeClr val="tx1"/>
                  </a:solidFill>
                  <a:latin typeface="Century Gothic" panose="020B0502020202020204" pitchFamily="34" charset="0"/>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prstDash val="solid"/>
          </a:ln>
        </c:spPr>
        <c:marker>
          <c:symbol val="none"/>
        </c:marker>
        <c:dLbl>
          <c:idx val="0"/>
          <c:spPr>
            <a:noFill/>
            <a:ln>
              <a:noFill/>
              <a:prstDash val="solid"/>
            </a:ln>
          </c:spPr>
          <c:txPr>
            <a:bodyPr rot="0" spcFirstLastPara="1" vertOverflow="ellipsis" vert="horz" wrap="square" anchor="ctr" anchorCtr="1"/>
            <a:lstStyle/>
            <a:p>
              <a:pPr>
                <a:defRPr sz="900" b="1" i="0" strike="noStrike" kern="1200" baseline="0">
                  <a:solidFill>
                    <a:schemeClr val="tx1"/>
                  </a:solidFill>
                  <a:latin typeface="Century Gothic" panose="020B0502020202020204" pitchFamily="34" charset="0"/>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00000"/>
          </a:solidFill>
          <a:ln>
            <a:noFill/>
            <a:prstDash val="solid"/>
          </a:ln>
        </c:spPr>
        <c:marker>
          <c:symbol val="none"/>
        </c:marker>
        <c:dLbl>
          <c:idx val="0"/>
          <c:spPr>
            <a:noFill/>
            <a:ln>
              <a:noFill/>
              <a:prstDash val="solid"/>
            </a:ln>
          </c:spPr>
          <c:txPr>
            <a:bodyPr rot="0" spcFirstLastPara="1" vertOverflow="ellipsis" vert="horz" wrap="square" anchor="ctr" anchorCtr="1"/>
            <a:lstStyle/>
            <a:p>
              <a:pPr>
                <a:defRPr sz="1600" b="1" i="0" strike="noStrike" kern="1200" baseline="0">
                  <a:solidFill>
                    <a:schemeClr val="tx1"/>
                  </a:solidFill>
                  <a:latin typeface="Century Gothic" panose="020B0502020202020204" pitchFamily="34" charset="0"/>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C00000"/>
          </a:solidFill>
          <a:ln>
            <a:noFill/>
            <a:prstDash val="solid"/>
          </a:ln>
        </c:spPr>
        <c:marker>
          <c:symbol val="none"/>
        </c:marker>
        <c:dLbl>
          <c:idx val="0"/>
          <c:spPr>
            <a:noFill/>
            <a:ln>
              <a:noFill/>
              <a:prstDash val="solid"/>
            </a:ln>
          </c:spPr>
          <c:txPr>
            <a:bodyPr rot="0" spcFirstLastPara="1" vertOverflow="ellipsis" vert="horz" wrap="square" anchor="ctr" anchorCtr="1"/>
            <a:lstStyle/>
            <a:p>
              <a:pPr>
                <a:defRPr sz="1600" b="1" i="0" strike="noStrike" kern="1200" baseline="0">
                  <a:solidFill>
                    <a:schemeClr val="tx1"/>
                  </a:solidFill>
                  <a:latin typeface="Century Gothic" panose="020B0502020202020204" pitchFamily="34" charset="0"/>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ED7D31"/>
          </a:solidFill>
          <a:ln>
            <a:noFill/>
            <a:prstDash val="solid"/>
          </a:ln>
        </c:spPr>
      </c:pivotFmt>
      <c:pivotFmt>
        <c:idx val="6"/>
        <c:spPr>
          <a:solidFill>
            <a:srgbClr val="ED7D31"/>
          </a:solidFill>
          <a:ln>
            <a:noFill/>
            <a:prstDash val="solid"/>
          </a:ln>
        </c:spPr>
      </c:pivotFmt>
      <c:pivotFmt>
        <c:idx val="7"/>
        <c:spPr>
          <a:solidFill>
            <a:srgbClr val="C00000"/>
          </a:solidFill>
          <a:ln>
            <a:noFill/>
            <a:prstDash val="solid"/>
          </a:ln>
        </c:spPr>
        <c:marker>
          <c:symbol val="none"/>
        </c:marker>
        <c:dLbl>
          <c:idx val="0"/>
          <c:spPr>
            <a:noFill/>
            <a:ln>
              <a:noFill/>
              <a:prstDash val="solid"/>
            </a:ln>
          </c:spPr>
          <c:txPr>
            <a:bodyPr rot="0" spcFirstLastPara="1" vertOverflow="ellipsis" vert="horz" wrap="square" anchor="ctr" anchorCtr="1"/>
            <a:lstStyle/>
            <a:p>
              <a:pPr>
                <a:defRPr sz="1600" b="1" i="0" strike="noStrike" kern="1200" baseline="0">
                  <a:solidFill>
                    <a:schemeClr val="tx1"/>
                  </a:solidFill>
                  <a:latin typeface="Century Gothic" panose="020B0502020202020204" pitchFamily="34" charset="0"/>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ED7D31"/>
          </a:solidFill>
          <a:ln>
            <a:noFill/>
            <a:prstDash val="solid"/>
          </a:ln>
        </c:spPr>
      </c:pivotFmt>
      <c:pivotFmt>
        <c:idx val="9"/>
        <c:spPr>
          <a:solidFill>
            <a:srgbClr val="ED7D31"/>
          </a:solidFill>
          <a:ln>
            <a:noFill/>
            <a:prstDash val="solid"/>
          </a:ln>
        </c:spPr>
      </c:pivotFmt>
      <c:pivotFmt>
        <c:idx val="10"/>
        <c:spPr>
          <a:ln>
            <a:prstDash val="solid"/>
          </a:ln>
        </c:spPr>
      </c:pivotFmt>
      <c:pivotFmt>
        <c:idx val="11"/>
        <c:spPr>
          <a:ln>
            <a:prstDash val="solid"/>
          </a:ln>
        </c:spPr>
      </c:pivotFmt>
    </c:pivotFmts>
    <c:plotArea>
      <c:layout/>
      <c:barChart>
        <c:barDir val="col"/>
        <c:grouping val="clustered"/>
        <c:varyColors val="0"/>
        <c:ser>
          <c:idx val="0"/>
          <c:order val="0"/>
          <c:tx>
            <c:strRef>
              <c:f>Топ_НПВ_по_мес.!$B$3</c:f>
              <c:strCache>
                <c:ptCount val="1"/>
                <c:pt idx="0">
                  <c:v>Итог</c:v>
                </c:pt>
              </c:strCache>
            </c:strRef>
          </c:tx>
          <c:spPr>
            <a:solidFill>
              <a:srgbClr val="C00000"/>
            </a:solidFill>
            <a:ln>
              <a:noFill/>
              <a:prstDash val="solid"/>
            </a:ln>
          </c:spPr>
          <c:invertIfNegative val="0"/>
          <c:dPt>
            <c:idx val="1"/>
            <c:invertIfNegative val="0"/>
            <c:bubble3D val="0"/>
            <c:spPr>
              <a:ln>
                <a:prstDash val="solid"/>
              </a:ln>
            </c:spPr>
            <c:extLst>
              <c:ext xmlns:c16="http://schemas.microsoft.com/office/drawing/2014/chart" uri="{C3380CC4-5D6E-409C-BE32-E72D297353CC}">
                <c16:uniqueId val="{00000001-D63C-4768-99FB-135F5879D5D7}"/>
              </c:ext>
            </c:extLst>
          </c:dPt>
          <c:dPt>
            <c:idx val="10"/>
            <c:invertIfNegative val="0"/>
            <c:bubble3D val="0"/>
            <c:extLst>
              <c:ext xmlns:c16="http://schemas.microsoft.com/office/drawing/2014/chart" uri="{C3380CC4-5D6E-409C-BE32-E72D297353CC}">
                <c16:uniqueId val="{00000003-D63C-4768-99FB-135F5879D5D7}"/>
              </c:ext>
            </c:extLst>
          </c:dPt>
          <c:dLbls>
            <c:spPr>
              <a:noFill/>
              <a:ln>
                <a:noFill/>
                <a:prstDash val="solid"/>
              </a:ln>
            </c:spPr>
            <c:txPr>
              <a:bodyPr rot="0" spcFirstLastPara="1" vertOverflow="ellipsis" vert="horz" wrap="square" anchor="ctr" anchorCtr="1"/>
              <a:lstStyle/>
              <a:p>
                <a:pPr>
                  <a:defRPr sz="1600" b="1" i="0" strike="noStrike" kern="1200" baseline="0">
                    <a:solidFill>
                      <a:schemeClr val="tx1"/>
                    </a:solidFill>
                    <a:latin typeface="Century Gothic" panose="020B0502020202020204" pitchFamily="34" charset="0"/>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Топ_НПВ_по_мес.!$A$4:$A$11</c:f>
              <c:multiLvlStrCache>
                <c:ptCount val="5"/>
                <c:lvl>
                  <c:pt idx="0">
                    <c:v>Ожидание персонала</c:v>
                  </c:pt>
                  <c:pt idx="1">
                    <c:v>(пусто)</c:v>
                  </c:pt>
                  <c:pt idx="2">
                    <c:v>Ожидание разрешения</c:v>
                  </c:pt>
                  <c:pt idx="3">
                    <c:v>Ожидание разрешения</c:v>
                  </c:pt>
                  <c:pt idx="4">
                    <c:v>(пусто)</c:v>
                  </c:pt>
                </c:lvl>
                <c:lvl>
                  <c:pt idx="0">
                    <c:v>май</c:v>
                  </c:pt>
                  <c:pt idx="3">
                    <c:v>июн</c:v>
                  </c:pt>
                </c:lvl>
              </c:multiLvlStrCache>
            </c:multiLvlStrRef>
          </c:cat>
          <c:val>
            <c:numRef>
              <c:f>Топ_НПВ_по_мес.!$B$4:$B$11</c:f>
              <c:numCache>
                <c:formatCode>0.0</c:formatCode>
                <c:ptCount val="5"/>
                <c:pt idx="0">
                  <c:v>69</c:v>
                </c:pt>
                <c:pt idx="1">
                  <c:v>58</c:v>
                </c:pt>
                <c:pt idx="2">
                  <c:v>41</c:v>
                </c:pt>
                <c:pt idx="3">
                  <c:v>161</c:v>
                </c:pt>
                <c:pt idx="4">
                  <c:v>12.5</c:v>
                </c:pt>
              </c:numCache>
            </c:numRef>
          </c:val>
          <c:extLst>
            <c:ext xmlns:c16="http://schemas.microsoft.com/office/drawing/2014/chart" uri="{C3380CC4-5D6E-409C-BE32-E72D297353CC}">
              <c16:uniqueId val="{00000004-D63C-4768-99FB-135F5879D5D7}"/>
            </c:ext>
          </c:extLst>
        </c:ser>
        <c:dLbls>
          <c:showLegendKey val="0"/>
          <c:showVal val="0"/>
          <c:showCatName val="0"/>
          <c:showSerName val="0"/>
          <c:showPercent val="0"/>
          <c:showBubbleSize val="0"/>
        </c:dLbls>
        <c:gapWidth val="219"/>
        <c:overlap val="-27"/>
        <c:axId val="644149295"/>
        <c:axId val="458405087"/>
      </c:barChart>
      <c:catAx>
        <c:axId val="644149295"/>
        <c:scaling>
          <c:orientation val="minMax"/>
        </c:scaling>
        <c:delete val="0"/>
        <c:axPos val="b"/>
        <c:numFmt formatCode="General" sourceLinked="1"/>
        <c:majorTickMark val="none"/>
        <c:minorTickMark val="none"/>
        <c:tickLblPos val="nextTo"/>
        <c:spPr>
          <a:noFill/>
          <a:ln w="9525" cap="flat" cmpd="sng" algn="ctr">
            <a:solidFill>
              <a:sysClr val="window" lastClr="FFFFFF">
                <a:lumMod val="50000"/>
              </a:sysClr>
            </a:solidFill>
            <a:prstDash val="solid"/>
            <a:round/>
          </a:ln>
        </c:spPr>
        <c:txPr>
          <a:bodyPr rot="-60000000" spcFirstLastPara="1" vertOverflow="ellipsis" vert="horz" wrap="square" anchor="ctr" anchorCtr="1"/>
          <a:lstStyle/>
          <a:p>
            <a:pPr>
              <a:defRPr sz="900" b="0" i="0" strike="noStrike" kern="1200" baseline="0">
                <a:solidFill>
                  <a:schemeClr val="tx1"/>
                </a:solidFill>
                <a:latin typeface="Century Gothic" panose="020B0502020202020204" pitchFamily="34" charset="0"/>
                <a:ea typeface="+mn-ea"/>
                <a:cs typeface="+mn-cs"/>
              </a:defRPr>
            </a:pPr>
            <a:endParaRPr lang="ru-RU"/>
          </a:p>
        </c:txPr>
        <c:crossAx val="458405087"/>
        <c:crosses val="autoZero"/>
        <c:auto val="1"/>
        <c:lblAlgn val="ctr"/>
        <c:lblOffset val="100"/>
        <c:noMultiLvlLbl val="0"/>
      </c:catAx>
      <c:valAx>
        <c:axId val="458405087"/>
        <c:scaling>
          <c:orientation val="minMax"/>
        </c:scaling>
        <c:delete val="1"/>
        <c:axPos val="l"/>
        <c:numFmt formatCode="0.0" sourceLinked="1"/>
        <c:majorTickMark val="none"/>
        <c:minorTickMark val="none"/>
        <c:tickLblPos val="nextTo"/>
        <c:crossAx val="644149295"/>
        <c:crosses val="autoZero"/>
        <c:crossBetween val="between"/>
      </c:valAx>
    </c:plotArea>
    <c:plotVisOnly val="1"/>
    <c:dispBlanksAs val="gap"/>
    <c:showDLblsOverMax val="1"/>
  </c:chart>
  <c:spPr>
    <a:solidFill>
      <a:schemeClr val="bg1">
        <a:lumMod val="95000"/>
      </a:schemeClr>
    </a:solidFill>
    <a:ln w="9525" cap="flat" cmpd="sng" algn="ctr">
      <a:noFill/>
      <a:prstDash val="solid"/>
      <a:round/>
    </a:ln>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pivotSource>
    <c:name>[КРС-3 обнова планирование.xlsx]БВ_по_скважинам!Сводная таблица2</c:name>
    <c:fmtId val="0"/>
  </c:pivotSource>
  <c:chart>
    <c:title>
      <c:tx>
        <c:rich>
          <a:bodyPr rot="0" spcFirstLastPara="1" vertOverflow="ellipsis" vert="horz" wrap="square" anchor="ctr" anchorCtr="1"/>
          <a:lstStyle/>
          <a:p>
            <a:pPr>
              <a:defRPr sz="1400" b="0" i="0" strike="noStrike" kern="1200" spc="0" baseline="0">
                <a:solidFill>
                  <a:schemeClr val="tx1"/>
                </a:solidFill>
                <a:latin typeface="Century Gothic" panose="020B0502020202020204" pitchFamily="34" charset="0"/>
                <a:ea typeface="+mn-ea"/>
                <a:cs typeface="+mn-cs"/>
              </a:defRPr>
            </a:pPr>
            <a:r>
              <a:rPr lang="ru-RU"/>
              <a:t>Балансы времени по скважинам</a:t>
            </a:r>
          </a:p>
        </c:rich>
      </c:tx>
      <c:overlay val="0"/>
      <c:spPr>
        <a:noFill/>
        <a:ln>
          <a:noFill/>
          <a:prstDash val="solid"/>
        </a:ln>
      </c:spPr>
    </c:title>
    <c:autoTitleDeleted val="0"/>
    <c:pivotFmts>
      <c:pivotFmt>
        <c:idx val="0"/>
        <c:spPr>
          <a:solidFill>
            <a:srgbClr val="C00000"/>
          </a:solidFill>
          <a:ln>
            <a:noFill/>
            <a:prstDash val="solid"/>
          </a:ln>
        </c:spPr>
        <c:marker>
          <c:symbol val="none"/>
        </c:marker>
        <c:dLbl>
          <c:idx val="0"/>
          <c:spPr>
            <a:noFill/>
            <a:ln>
              <a:noFill/>
              <a:prstDash val="solid"/>
            </a:ln>
          </c:spPr>
          <c:txPr>
            <a:bodyPr rot="0" spcFirstLastPara="1" vertOverflow="ellipsis" vert="horz" wrap="square" anchor="ctr" anchorCtr="1"/>
            <a:lstStyle/>
            <a:p>
              <a:pPr>
                <a:defRPr sz="900" b="1" i="0" strike="noStrike" kern="1200" baseline="0">
                  <a:solidFill>
                    <a:schemeClr val="tx1"/>
                  </a:solidFill>
                  <a:latin typeface="Century Gothic" panose="020B0502020202020204" pitchFamily="34" charset="0"/>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prstDash val="solid"/>
          </a:ln>
        </c:spPr>
        <c:marker>
          <c:symbol val="none"/>
        </c:marker>
        <c:dLbl>
          <c:idx val="0"/>
          <c:spPr>
            <a:noFill/>
            <a:ln>
              <a:noFill/>
              <a:prstDash val="solid"/>
            </a:ln>
          </c:spPr>
          <c:txPr>
            <a:bodyPr rot="0" spcFirstLastPara="1" vertOverflow="ellipsis" vert="horz" wrap="square" anchor="ctr" anchorCtr="1"/>
            <a:lstStyle/>
            <a:p>
              <a:pPr>
                <a:defRPr sz="900" b="1" i="0" strike="noStrike" kern="1200" baseline="0">
                  <a:solidFill>
                    <a:schemeClr val="tx1"/>
                  </a:solidFill>
                  <a:latin typeface="Century Gothic" panose="020B0502020202020204" pitchFamily="34" charset="0"/>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prstDash val="solid"/>
          </a:ln>
        </c:spPr>
        <c:marker>
          <c:symbol val="none"/>
        </c:marker>
        <c:dLbl>
          <c:idx val="0"/>
          <c:spPr>
            <a:noFill/>
            <a:ln>
              <a:noFill/>
              <a:prstDash val="solid"/>
            </a:ln>
          </c:spPr>
          <c:txPr>
            <a:bodyPr rot="0" spcFirstLastPara="1" vertOverflow="ellipsis" vert="horz" wrap="square" anchor="ctr" anchorCtr="1"/>
            <a:lstStyle/>
            <a:p>
              <a:pPr>
                <a:defRPr sz="900" b="1" i="0" strike="noStrike" kern="1200" baseline="0">
                  <a:solidFill>
                    <a:schemeClr val="tx1"/>
                  </a:solidFill>
                  <a:latin typeface="Century Gothic" panose="020B0502020202020204" pitchFamily="34" charset="0"/>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70AD47"/>
          </a:solidFill>
          <a:ln>
            <a:noFill/>
            <a:prstDash val="solid"/>
          </a:ln>
        </c:spPr>
        <c:marker>
          <c:symbol val="none"/>
        </c:marker>
        <c:dLbl>
          <c:idx val="0"/>
          <c:delete val="1"/>
          <c:extLst>
            <c:ext xmlns:c15="http://schemas.microsoft.com/office/drawing/2012/chart" uri="{CE6537A1-D6FC-4f65-9D91-7224C49458BB}"/>
          </c:extLst>
        </c:dLbl>
      </c:pivotFmt>
      <c:pivotFmt>
        <c:idx val="4"/>
        <c:spPr>
          <a:solidFill>
            <a:srgbClr val="FFC000"/>
          </a:solidFill>
          <a:ln>
            <a:noFill/>
            <a:prstDash val="solid"/>
          </a:ln>
        </c:spPr>
        <c:marker>
          <c:symbol val="none"/>
        </c:marker>
        <c:dLbl>
          <c:idx val="0"/>
          <c:delete val="1"/>
          <c:extLst>
            <c:ext xmlns:c15="http://schemas.microsoft.com/office/drawing/2012/chart" uri="{CE6537A1-D6FC-4f65-9D91-7224C49458BB}"/>
          </c:extLst>
        </c:dLbl>
      </c:pivotFmt>
      <c:pivotFmt>
        <c:idx val="5"/>
        <c:spPr>
          <a:solidFill>
            <a:srgbClr val="C00000"/>
          </a:solidFill>
          <a:ln>
            <a:noFill/>
            <a:prstDash val="solid"/>
          </a:ln>
        </c:spPr>
        <c:marker>
          <c:symbol val="none"/>
        </c:marker>
        <c:dLbl>
          <c:idx val="0"/>
          <c:delete val="1"/>
          <c:extLst>
            <c:ext xmlns:c15="http://schemas.microsoft.com/office/drawing/2012/chart" uri="{CE6537A1-D6FC-4f65-9D91-7224C49458BB}"/>
          </c:extLst>
        </c:dLbl>
      </c:pivotFmt>
    </c:pivotFmts>
    <c:plotArea>
      <c:layout/>
      <c:barChart>
        <c:barDir val="col"/>
        <c:grouping val="percentStacked"/>
        <c:varyColors val="0"/>
        <c:ser>
          <c:idx val="0"/>
          <c:order val="0"/>
          <c:tx>
            <c:strRef>
              <c:f>БВ_по_скважинам!$B$3:$B$4</c:f>
              <c:strCache>
                <c:ptCount val="1"/>
                <c:pt idx="0">
                  <c:v>ПВ </c:v>
                </c:pt>
              </c:strCache>
            </c:strRef>
          </c:tx>
          <c:spPr>
            <a:solidFill>
              <a:srgbClr val="70AD47"/>
            </a:solidFill>
            <a:ln>
              <a:noFill/>
              <a:prstDash val="solid"/>
            </a:ln>
          </c:spPr>
          <c:invertIfNegative val="0"/>
          <c:cat>
            <c:multiLvlStrRef>
              <c:f>БВ_по_скважинам!$A$5:$A$40</c:f>
              <c:multiLvlStrCache>
                <c:ptCount val="32"/>
                <c:lvl>
                  <c:pt idx="0">
                    <c:v>02 мая 2026 г.</c:v>
                  </c:pt>
                  <c:pt idx="1">
                    <c:v>03 мая 2026 г.</c:v>
                  </c:pt>
                  <c:pt idx="2">
                    <c:v>04 мая 2026 г.</c:v>
                  </c:pt>
                  <c:pt idx="3">
                    <c:v>05 мая 2026 г.</c:v>
                  </c:pt>
                  <c:pt idx="4">
                    <c:v>06 мая 2026 г.</c:v>
                  </c:pt>
                  <c:pt idx="5">
                    <c:v>06 мая 2026 г.</c:v>
                  </c:pt>
                  <c:pt idx="6">
                    <c:v>07 мая 2026 г.</c:v>
                  </c:pt>
                  <c:pt idx="7">
                    <c:v>08 мая 2026 г.</c:v>
                  </c:pt>
                  <c:pt idx="8">
                    <c:v>09 мая 2026 г.</c:v>
                  </c:pt>
                  <c:pt idx="9">
                    <c:v>10 мая 2026 г.</c:v>
                  </c:pt>
                  <c:pt idx="10">
                    <c:v>11 мая 2026 г.</c:v>
                  </c:pt>
                  <c:pt idx="11">
                    <c:v>12 мая 2026 г.</c:v>
                  </c:pt>
                  <c:pt idx="12">
                    <c:v>13 мая 2026 г.</c:v>
                  </c:pt>
                  <c:pt idx="13">
                    <c:v>14 мая 2026 г.</c:v>
                  </c:pt>
                  <c:pt idx="14">
                    <c:v>15 мая 2026 г.</c:v>
                  </c:pt>
                  <c:pt idx="15">
                    <c:v>16 мая 2026 г.</c:v>
                  </c:pt>
                  <c:pt idx="16">
                    <c:v>17 мая 2026 г.</c:v>
                  </c:pt>
                  <c:pt idx="17">
                    <c:v>18 мая 2026 г.</c:v>
                  </c:pt>
                  <c:pt idx="18">
                    <c:v>19 мая 2026 г.</c:v>
                  </c:pt>
                  <c:pt idx="19">
                    <c:v>20 мая 2026 г.</c:v>
                  </c:pt>
                  <c:pt idx="20">
                    <c:v>21 мая 2026 г.</c:v>
                  </c:pt>
                  <c:pt idx="21">
                    <c:v>22 мая 2026 г.</c:v>
                  </c:pt>
                  <c:pt idx="22">
                    <c:v>23 мая 2026 г.</c:v>
                  </c:pt>
                  <c:pt idx="23">
                    <c:v>24 мая 2026 г.</c:v>
                  </c:pt>
                  <c:pt idx="24">
                    <c:v>24 мая 2026 г.</c:v>
                  </c:pt>
                  <c:pt idx="25">
                    <c:v>25 мая 2026 г.</c:v>
                  </c:pt>
                  <c:pt idx="26">
                    <c:v>26 мая 2026 г.</c:v>
                  </c:pt>
                  <c:pt idx="27">
                    <c:v>27 мая 2026 г.</c:v>
                  </c:pt>
                  <c:pt idx="28">
                    <c:v>28 мая 2026 г.</c:v>
                  </c:pt>
                  <c:pt idx="29">
                    <c:v>29 мая 2026 г.</c:v>
                  </c:pt>
                  <c:pt idx="30">
                    <c:v>30 мая 2026 г.</c:v>
                  </c:pt>
                  <c:pt idx="31">
                    <c:v>31 мая 2026 г.</c:v>
                  </c:pt>
                </c:lvl>
                <c:lvl>
                  <c:pt idx="0">
                    <c:v>6 бис</c:v>
                  </c:pt>
                  <c:pt idx="5">
                    <c:v>431</c:v>
                  </c:pt>
                  <c:pt idx="24">
                    <c:v>851</c:v>
                  </c:pt>
                </c:lvl>
              </c:multiLvlStrCache>
            </c:multiLvlStrRef>
          </c:cat>
          <c:val>
            <c:numRef>
              <c:f>БВ_по_скважинам!$B$5:$B$40</c:f>
              <c:numCache>
                <c:formatCode>0.0</c:formatCode>
                <c:ptCount val="32"/>
                <c:pt idx="0">
                  <c:v>4</c:v>
                </c:pt>
                <c:pt idx="1">
                  <c:v>14.5</c:v>
                </c:pt>
                <c:pt idx="2">
                  <c:v>13.44</c:v>
                </c:pt>
                <c:pt idx="3">
                  <c:v>19.389999999999997</c:v>
                </c:pt>
                <c:pt idx="4">
                  <c:v>10.93</c:v>
                </c:pt>
                <c:pt idx="5">
                  <c:v>2.5</c:v>
                </c:pt>
                <c:pt idx="6">
                  <c:v>13.969999999999999</c:v>
                </c:pt>
                <c:pt idx="7">
                  <c:v>0</c:v>
                </c:pt>
                <c:pt idx="8">
                  <c:v>8.94</c:v>
                </c:pt>
                <c:pt idx="9">
                  <c:v>6.0419999999999989</c:v>
                </c:pt>
                <c:pt idx="10">
                  <c:v>0.45440000000000103</c:v>
                </c:pt>
                <c:pt idx="11">
                  <c:v>0.50399999999999956</c:v>
                </c:pt>
                <c:pt idx="12">
                  <c:v>9.74</c:v>
                </c:pt>
                <c:pt idx="13">
                  <c:v>16.3</c:v>
                </c:pt>
                <c:pt idx="14">
                  <c:v>0.97440000000000104</c:v>
                </c:pt>
                <c:pt idx="15">
                  <c:v>4.84</c:v>
                </c:pt>
                <c:pt idx="16">
                  <c:v>0</c:v>
                </c:pt>
                <c:pt idx="17">
                  <c:v>8</c:v>
                </c:pt>
                <c:pt idx="18">
                  <c:v>0</c:v>
                </c:pt>
                <c:pt idx="19">
                  <c:v>8.02</c:v>
                </c:pt>
                <c:pt idx="20">
                  <c:v>10.998000000000001</c:v>
                </c:pt>
                <c:pt idx="21">
                  <c:v>20.8688</c:v>
                </c:pt>
                <c:pt idx="22">
                  <c:v>0</c:v>
                </c:pt>
                <c:pt idx="23">
                  <c:v>0</c:v>
                </c:pt>
                <c:pt idx="24">
                  <c:v>16.580000000000002</c:v>
                </c:pt>
                <c:pt idx="25">
                  <c:v>11.66</c:v>
                </c:pt>
                <c:pt idx="26">
                  <c:v>4.6100000000000003</c:v>
                </c:pt>
                <c:pt idx="27">
                  <c:v>8.1900000000000013</c:v>
                </c:pt>
                <c:pt idx="28">
                  <c:v>15</c:v>
                </c:pt>
                <c:pt idx="29">
                  <c:v>7.93</c:v>
                </c:pt>
                <c:pt idx="30">
                  <c:v>20.5</c:v>
                </c:pt>
                <c:pt idx="31">
                  <c:v>12</c:v>
                </c:pt>
              </c:numCache>
            </c:numRef>
          </c:val>
          <c:extLst>
            <c:ext xmlns:c16="http://schemas.microsoft.com/office/drawing/2014/chart" uri="{C3380CC4-5D6E-409C-BE32-E72D297353CC}">
              <c16:uniqueId val="{00000000-FB95-4D3B-9BBE-38626C4DCF6E}"/>
            </c:ext>
          </c:extLst>
        </c:ser>
        <c:ser>
          <c:idx val="1"/>
          <c:order val="1"/>
          <c:tx>
            <c:strRef>
              <c:f>БВ_по_скважинам!$C$3:$C$4</c:f>
              <c:strCache>
                <c:ptCount val="1"/>
                <c:pt idx="0">
                  <c:v>ПНВ </c:v>
                </c:pt>
              </c:strCache>
            </c:strRef>
          </c:tx>
          <c:spPr>
            <a:solidFill>
              <a:srgbClr val="FFC000"/>
            </a:solidFill>
            <a:ln>
              <a:noFill/>
              <a:prstDash val="solid"/>
            </a:ln>
          </c:spPr>
          <c:invertIfNegative val="0"/>
          <c:cat>
            <c:multiLvlStrRef>
              <c:f>БВ_по_скважинам!$A$5:$A$40</c:f>
              <c:multiLvlStrCache>
                <c:ptCount val="32"/>
                <c:lvl>
                  <c:pt idx="0">
                    <c:v>02 мая 2026 г.</c:v>
                  </c:pt>
                  <c:pt idx="1">
                    <c:v>03 мая 2026 г.</c:v>
                  </c:pt>
                  <c:pt idx="2">
                    <c:v>04 мая 2026 г.</c:v>
                  </c:pt>
                  <c:pt idx="3">
                    <c:v>05 мая 2026 г.</c:v>
                  </c:pt>
                  <c:pt idx="4">
                    <c:v>06 мая 2026 г.</c:v>
                  </c:pt>
                  <c:pt idx="5">
                    <c:v>06 мая 2026 г.</c:v>
                  </c:pt>
                  <c:pt idx="6">
                    <c:v>07 мая 2026 г.</c:v>
                  </c:pt>
                  <c:pt idx="7">
                    <c:v>08 мая 2026 г.</c:v>
                  </c:pt>
                  <c:pt idx="8">
                    <c:v>09 мая 2026 г.</c:v>
                  </c:pt>
                  <c:pt idx="9">
                    <c:v>10 мая 2026 г.</c:v>
                  </c:pt>
                  <c:pt idx="10">
                    <c:v>11 мая 2026 г.</c:v>
                  </c:pt>
                  <c:pt idx="11">
                    <c:v>12 мая 2026 г.</c:v>
                  </c:pt>
                  <c:pt idx="12">
                    <c:v>13 мая 2026 г.</c:v>
                  </c:pt>
                  <c:pt idx="13">
                    <c:v>14 мая 2026 г.</c:v>
                  </c:pt>
                  <c:pt idx="14">
                    <c:v>15 мая 2026 г.</c:v>
                  </c:pt>
                  <c:pt idx="15">
                    <c:v>16 мая 2026 г.</c:v>
                  </c:pt>
                  <c:pt idx="16">
                    <c:v>17 мая 2026 г.</c:v>
                  </c:pt>
                  <c:pt idx="17">
                    <c:v>18 мая 2026 г.</c:v>
                  </c:pt>
                  <c:pt idx="18">
                    <c:v>19 мая 2026 г.</c:v>
                  </c:pt>
                  <c:pt idx="19">
                    <c:v>20 мая 2026 г.</c:v>
                  </c:pt>
                  <c:pt idx="20">
                    <c:v>21 мая 2026 г.</c:v>
                  </c:pt>
                  <c:pt idx="21">
                    <c:v>22 мая 2026 г.</c:v>
                  </c:pt>
                  <c:pt idx="22">
                    <c:v>23 мая 2026 г.</c:v>
                  </c:pt>
                  <c:pt idx="23">
                    <c:v>24 мая 2026 г.</c:v>
                  </c:pt>
                  <c:pt idx="24">
                    <c:v>24 мая 2026 г.</c:v>
                  </c:pt>
                  <c:pt idx="25">
                    <c:v>25 мая 2026 г.</c:v>
                  </c:pt>
                  <c:pt idx="26">
                    <c:v>26 мая 2026 г.</c:v>
                  </c:pt>
                  <c:pt idx="27">
                    <c:v>27 мая 2026 г.</c:v>
                  </c:pt>
                  <c:pt idx="28">
                    <c:v>28 мая 2026 г.</c:v>
                  </c:pt>
                  <c:pt idx="29">
                    <c:v>29 мая 2026 г.</c:v>
                  </c:pt>
                  <c:pt idx="30">
                    <c:v>30 мая 2026 г.</c:v>
                  </c:pt>
                  <c:pt idx="31">
                    <c:v>31 мая 2026 г.</c:v>
                  </c:pt>
                </c:lvl>
                <c:lvl>
                  <c:pt idx="0">
                    <c:v>6 бис</c:v>
                  </c:pt>
                  <c:pt idx="5">
                    <c:v>431</c:v>
                  </c:pt>
                  <c:pt idx="24">
                    <c:v>851</c:v>
                  </c:pt>
                </c:lvl>
              </c:multiLvlStrCache>
            </c:multiLvlStrRef>
          </c:cat>
          <c:val>
            <c:numRef>
              <c:f>БВ_по_скважинам!$C$5:$C$40</c:f>
              <c:numCache>
                <c:formatCode>0.0</c:formatCode>
                <c:ptCount val="32"/>
                <c:pt idx="0">
                  <c:v>0</c:v>
                </c:pt>
                <c:pt idx="1">
                  <c:v>3.5</c:v>
                </c:pt>
                <c:pt idx="2">
                  <c:v>7.5600000000000005</c:v>
                </c:pt>
                <c:pt idx="3">
                  <c:v>4.6100000000000003</c:v>
                </c:pt>
                <c:pt idx="4">
                  <c:v>10.57</c:v>
                </c:pt>
                <c:pt idx="5">
                  <c:v>0</c:v>
                </c:pt>
                <c:pt idx="6">
                  <c:v>10.030000000000001</c:v>
                </c:pt>
                <c:pt idx="7">
                  <c:v>24</c:v>
                </c:pt>
                <c:pt idx="8">
                  <c:v>11.06</c:v>
                </c:pt>
                <c:pt idx="9">
                  <c:v>17.958000000000002</c:v>
                </c:pt>
                <c:pt idx="10">
                  <c:v>23.5456</c:v>
                </c:pt>
                <c:pt idx="11">
                  <c:v>14.496</c:v>
                </c:pt>
                <c:pt idx="12">
                  <c:v>2.2599999999999998</c:v>
                </c:pt>
                <c:pt idx="13">
                  <c:v>3.7</c:v>
                </c:pt>
                <c:pt idx="14">
                  <c:v>11.025599999999999</c:v>
                </c:pt>
                <c:pt idx="15">
                  <c:v>3.16</c:v>
                </c:pt>
                <c:pt idx="16">
                  <c:v>0</c:v>
                </c:pt>
                <c:pt idx="17">
                  <c:v>0</c:v>
                </c:pt>
                <c:pt idx="18">
                  <c:v>0</c:v>
                </c:pt>
                <c:pt idx="19">
                  <c:v>10.98</c:v>
                </c:pt>
                <c:pt idx="20">
                  <c:v>13.001999999999999</c:v>
                </c:pt>
                <c:pt idx="21">
                  <c:v>3.1312000000000015</c:v>
                </c:pt>
                <c:pt idx="22">
                  <c:v>24</c:v>
                </c:pt>
                <c:pt idx="23">
                  <c:v>4.5</c:v>
                </c:pt>
                <c:pt idx="24">
                  <c:v>2.92</c:v>
                </c:pt>
                <c:pt idx="25">
                  <c:v>6.84</c:v>
                </c:pt>
                <c:pt idx="26">
                  <c:v>1.39</c:v>
                </c:pt>
                <c:pt idx="27">
                  <c:v>5.81</c:v>
                </c:pt>
                <c:pt idx="28">
                  <c:v>0</c:v>
                </c:pt>
                <c:pt idx="29">
                  <c:v>16.07</c:v>
                </c:pt>
                <c:pt idx="30">
                  <c:v>0</c:v>
                </c:pt>
                <c:pt idx="31">
                  <c:v>0</c:v>
                </c:pt>
              </c:numCache>
            </c:numRef>
          </c:val>
          <c:extLst>
            <c:ext xmlns:c16="http://schemas.microsoft.com/office/drawing/2014/chart" uri="{C3380CC4-5D6E-409C-BE32-E72D297353CC}">
              <c16:uniqueId val="{00000001-FB95-4D3B-9BBE-38626C4DCF6E}"/>
            </c:ext>
          </c:extLst>
        </c:ser>
        <c:ser>
          <c:idx val="2"/>
          <c:order val="2"/>
          <c:tx>
            <c:strRef>
              <c:f>БВ_по_скважинам!$D$3:$D$4</c:f>
              <c:strCache>
                <c:ptCount val="1"/>
                <c:pt idx="0">
                  <c:v>НПВ </c:v>
                </c:pt>
              </c:strCache>
            </c:strRef>
          </c:tx>
          <c:spPr>
            <a:solidFill>
              <a:srgbClr val="C00000"/>
            </a:solidFill>
            <a:ln>
              <a:noFill/>
              <a:prstDash val="solid"/>
            </a:ln>
          </c:spPr>
          <c:invertIfNegative val="0"/>
          <c:cat>
            <c:multiLvlStrRef>
              <c:f>БВ_по_скважинам!$A$5:$A$40</c:f>
              <c:multiLvlStrCache>
                <c:ptCount val="32"/>
                <c:lvl>
                  <c:pt idx="0">
                    <c:v>02 мая 2026 г.</c:v>
                  </c:pt>
                  <c:pt idx="1">
                    <c:v>03 мая 2026 г.</c:v>
                  </c:pt>
                  <c:pt idx="2">
                    <c:v>04 мая 2026 г.</c:v>
                  </c:pt>
                  <c:pt idx="3">
                    <c:v>05 мая 2026 г.</c:v>
                  </c:pt>
                  <c:pt idx="4">
                    <c:v>06 мая 2026 г.</c:v>
                  </c:pt>
                  <c:pt idx="5">
                    <c:v>06 мая 2026 г.</c:v>
                  </c:pt>
                  <c:pt idx="6">
                    <c:v>07 мая 2026 г.</c:v>
                  </c:pt>
                  <c:pt idx="7">
                    <c:v>08 мая 2026 г.</c:v>
                  </c:pt>
                  <c:pt idx="8">
                    <c:v>09 мая 2026 г.</c:v>
                  </c:pt>
                  <c:pt idx="9">
                    <c:v>10 мая 2026 г.</c:v>
                  </c:pt>
                  <c:pt idx="10">
                    <c:v>11 мая 2026 г.</c:v>
                  </c:pt>
                  <c:pt idx="11">
                    <c:v>12 мая 2026 г.</c:v>
                  </c:pt>
                  <c:pt idx="12">
                    <c:v>13 мая 2026 г.</c:v>
                  </c:pt>
                  <c:pt idx="13">
                    <c:v>14 мая 2026 г.</c:v>
                  </c:pt>
                  <c:pt idx="14">
                    <c:v>15 мая 2026 г.</c:v>
                  </c:pt>
                  <c:pt idx="15">
                    <c:v>16 мая 2026 г.</c:v>
                  </c:pt>
                  <c:pt idx="16">
                    <c:v>17 мая 2026 г.</c:v>
                  </c:pt>
                  <c:pt idx="17">
                    <c:v>18 мая 2026 г.</c:v>
                  </c:pt>
                  <c:pt idx="18">
                    <c:v>19 мая 2026 г.</c:v>
                  </c:pt>
                  <c:pt idx="19">
                    <c:v>20 мая 2026 г.</c:v>
                  </c:pt>
                  <c:pt idx="20">
                    <c:v>21 мая 2026 г.</c:v>
                  </c:pt>
                  <c:pt idx="21">
                    <c:v>22 мая 2026 г.</c:v>
                  </c:pt>
                  <c:pt idx="22">
                    <c:v>23 мая 2026 г.</c:v>
                  </c:pt>
                  <c:pt idx="23">
                    <c:v>24 мая 2026 г.</c:v>
                  </c:pt>
                  <c:pt idx="24">
                    <c:v>24 мая 2026 г.</c:v>
                  </c:pt>
                  <c:pt idx="25">
                    <c:v>25 мая 2026 г.</c:v>
                  </c:pt>
                  <c:pt idx="26">
                    <c:v>26 мая 2026 г.</c:v>
                  </c:pt>
                  <c:pt idx="27">
                    <c:v>27 мая 2026 г.</c:v>
                  </c:pt>
                  <c:pt idx="28">
                    <c:v>28 мая 2026 г.</c:v>
                  </c:pt>
                  <c:pt idx="29">
                    <c:v>29 мая 2026 г.</c:v>
                  </c:pt>
                  <c:pt idx="30">
                    <c:v>30 мая 2026 г.</c:v>
                  </c:pt>
                  <c:pt idx="31">
                    <c:v>31 мая 2026 г.</c:v>
                  </c:pt>
                </c:lvl>
                <c:lvl>
                  <c:pt idx="0">
                    <c:v>6 бис</c:v>
                  </c:pt>
                  <c:pt idx="5">
                    <c:v>431</c:v>
                  </c:pt>
                  <c:pt idx="24">
                    <c:v>851</c:v>
                  </c:pt>
                </c:lvl>
              </c:multiLvlStrCache>
            </c:multiLvlStrRef>
          </c:cat>
          <c:val>
            <c:numRef>
              <c:f>БВ_по_скважинам!$D$5:$D$40</c:f>
              <c:numCache>
                <c:formatCode>0.0</c:formatCode>
                <c:ptCount val="32"/>
                <c:pt idx="0">
                  <c:v>0</c:v>
                </c:pt>
                <c:pt idx="1">
                  <c:v>6</c:v>
                </c:pt>
                <c:pt idx="2">
                  <c:v>3</c:v>
                </c:pt>
                <c:pt idx="3">
                  <c:v>0</c:v>
                </c:pt>
                <c:pt idx="4">
                  <c:v>0</c:v>
                </c:pt>
                <c:pt idx="5">
                  <c:v>0</c:v>
                </c:pt>
                <c:pt idx="6">
                  <c:v>0</c:v>
                </c:pt>
                <c:pt idx="7">
                  <c:v>0</c:v>
                </c:pt>
                <c:pt idx="8">
                  <c:v>4</c:v>
                </c:pt>
                <c:pt idx="9">
                  <c:v>0</c:v>
                </c:pt>
                <c:pt idx="10">
                  <c:v>0</c:v>
                </c:pt>
                <c:pt idx="11">
                  <c:v>9</c:v>
                </c:pt>
                <c:pt idx="12">
                  <c:v>12</c:v>
                </c:pt>
                <c:pt idx="13">
                  <c:v>4</c:v>
                </c:pt>
                <c:pt idx="14">
                  <c:v>12</c:v>
                </c:pt>
                <c:pt idx="15">
                  <c:v>16</c:v>
                </c:pt>
                <c:pt idx="16">
                  <c:v>24</c:v>
                </c:pt>
                <c:pt idx="17">
                  <c:v>16</c:v>
                </c:pt>
                <c:pt idx="18">
                  <c:v>24</c:v>
                </c:pt>
                <c:pt idx="19">
                  <c:v>5</c:v>
                </c:pt>
                <c:pt idx="20">
                  <c:v>0</c:v>
                </c:pt>
                <c:pt idx="21">
                  <c:v>0</c:v>
                </c:pt>
                <c:pt idx="22">
                  <c:v>0</c:v>
                </c:pt>
                <c:pt idx="23">
                  <c:v>0</c:v>
                </c:pt>
                <c:pt idx="24">
                  <c:v>0</c:v>
                </c:pt>
                <c:pt idx="25">
                  <c:v>5.5</c:v>
                </c:pt>
                <c:pt idx="26">
                  <c:v>18</c:v>
                </c:pt>
                <c:pt idx="27">
                  <c:v>10</c:v>
                </c:pt>
                <c:pt idx="28">
                  <c:v>9</c:v>
                </c:pt>
                <c:pt idx="29">
                  <c:v>0</c:v>
                </c:pt>
                <c:pt idx="30">
                  <c:v>3.5</c:v>
                </c:pt>
                <c:pt idx="31">
                  <c:v>12</c:v>
                </c:pt>
              </c:numCache>
            </c:numRef>
          </c:val>
          <c:extLst>
            <c:ext xmlns:c16="http://schemas.microsoft.com/office/drawing/2014/chart" uri="{C3380CC4-5D6E-409C-BE32-E72D297353CC}">
              <c16:uniqueId val="{00000002-FB95-4D3B-9BBE-38626C4DCF6E}"/>
            </c:ext>
          </c:extLst>
        </c:ser>
        <c:dLbls>
          <c:showLegendKey val="0"/>
          <c:showVal val="0"/>
          <c:showCatName val="0"/>
          <c:showSerName val="0"/>
          <c:showPercent val="0"/>
          <c:showBubbleSize val="0"/>
        </c:dLbls>
        <c:gapWidth val="0"/>
        <c:overlap val="100"/>
        <c:axId val="644149295"/>
        <c:axId val="458405087"/>
      </c:barChart>
      <c:catAx>
        <c:axId val="644149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solidFill>
                <a:latin typeface="Century Gothic" panose="020B0502020202020204" pitchFamily="34" charset="0"/>
                <a:ea typeface="+mn-ea"/>
                <a:cs typeface="+mn-cs"/>
              </a:defRPr>
            </a:pPr>
            <a:endParaRPr lang="ru-RU"/>
          </a:p>
        </c:txPr>
        <c:crossAx val="458405087"/>
        <c:crosses val="autoZero"/>
        <c:auto val="1"/>
        <c:lblAlgn val="ctr"/>
        <c:lblOffset val="100"/>
        <c:noMultiLvlLbl val="0"/>
      </c:catAx>
      <c:valAx>
        <c:axId val="458405087"/>
        <c:scaling>
          <c:orientation val="minMax"/>
        </c:scaling>
        <c:delete val="1"/>
        <c:axPos val="l"/>
        <c:numFmt formatCode="0%" sourceLinked="1"/>
        <c:majorTickMark val="none"/>
        <c:minorTickMark val="none"/>
        <c:tickLblPos val="nextTo"/>
        <c:crossAx val="644149295"/>
        <c:crosses val="autoZero"/>
        <c:crossBetween val="between"/>
      </c:valAx>
    </c:plotArea>
    <c:legend>
      <c:legendPos val="t"/>
      <c:overlay val="0"/>
      <c:spPr>
        <a:noFill/>
        <a:ln>
          <a:noFill/>
          <a:prstDash val="solid"/>
        </a:ln>
      </c:spPr>
      <c:txPr>
        <a:bodyPr rot="0" spcFirstLastPara="1" vertOverflow="ellipsis" vert="horz" wrap="square" anchor="ctr" anchorCtr="1"/>
        <a:lstStyle/>
        <a:p>
          <a:pPr>
            <a:defRPr sz="900" b="0" i="0" strike="noStrike" kern="1200" baseline="0">
              <a:solidFill>
                <a:schemeClr val="tx1"/>
              </a:solidFill>
              <a:latin typeface="Century Gothic" panose="020B0502020202020204" pitchFamily="34" charset="0"/>
              <a:ea typeface="+mn-ea"/>
              <a:cs typeface="+mn-cs"/>
            </a:defRPr>
          </a:pPr>
          <a:endParaRPr lang="ru-RU"/>
        </a:p>
      </c:txPr>
    </c:legend>
    <c:plotVisOnly val="1"/>
    <c:dispBlanksAs val="gap"/>
    <c:showDLblsOverMax val="1"/>
  </c:chart>
  <c:spPr>
    <a:solidFill>
      <a:schemeClr val="bg1">
        <a:lumMod val="95000"/>
      </a:schemeClr>
    </a:solidFill>
    <a:ln w="9525" cap="flat" cmpd="sng" algn="ctr">
      <a:noFill/>
      <a:prstDash val="solid"/>
      <a:round/>
    </a:ln>
  </c:sp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pivotSource>
    <c:name>[КРС-3 обнова планирование.xlsx]Топ_НПВ_в_месяце!Топ_НПВ_в_месяце</c:name>
    <c:fmtId val="0"/>
  </c:pivotSource>
  <c:chart>
    <c:title>
      <c:tx>
        <c:rich>
          <a:bodyPr rot="0" spcFirstLastPara="1" vertOverflow="ellipsis" vert="horz" wrap="square" anchor="ctr" anchorCtr="1"/>
          <a:lstStyle/>
          <a:p>
            <a:pPr>
              <a:defRPr sz="1400" b="0" i="0" strike="noStrike" kern="1200" spc="0" baseline="0">
                <a:solidFill>
                  <a:schemeClr val="tx1"/>
                </a:solidFill>
                <a:latin typeface="Century Gothic" panose="020B0502020202020204" pitchFamily="34" charset="0"/>
                <a:ea typeface="+mn-ea"/>
                <a:cs typeface="+mn-cs"/>
              </a:defRPr>
            </a:pPr>
            <a:r>
              <a:rPr lang="ru-RU"/>
              <a:t>НПВ</a:t>
            </a:r>
            <a:r>
              <a:rPr lang="ru-RU" baseline="0"/>
              <a:t> за месяц, часы</a:t>
            </a:r>
          </a:p>
        </c:rich>
      </c:tx>
      <c:overlay val="0"/>
      <c:spPr>
        <a:noFill/>
        <a:ln>
          <a:noFill/>
          <a:prstDash val="solid"/>
        </a:ln>
      </c:spPr>
    </c:title>
    <c:autoTitleDeleted val="0"/>
    <c:pivotFmts>
      <c:pivotFmt>
        <c:idx val="0"/>
        <c:spPr>
          <a:solidFill>
            <a:srgbClr val="C00000"/>
          </a:solidFill>
          <a:ln>
            <a:noFill/>
            <a:prstDash val="solid"/>
          </a:ln>
        </c:spPr>
        <c:marker>
          <c:symbol val="none"/>
        </c:marker>
        <c:dLbl>
          <c:idx val="0"/>
          <c:spPr>
            <a:noFill/>
            <a:ln>
              <a:noFill/>
              <a:prstDash val="solid"/>
            </a:ln>
          </c:spPr>
          <c:txPr>
            <a:bodyPr rot="0" spcFirstLastPara="1" vertOverflow="ellipsis" vert="horz" wrap="square" anchor="ctr" anchorCtr="1"/>
            <a:lstStyle/>
            <a:p>
              <a:pPr>
                <a:defRPr sz="900" b="1" i="0" strike="noStrike" kern="1200" baseline="0">
                  <a:solidFill>
                    <a:schemeClr val="tx1"/>
                  </a:solidFill>
                  <a:latin typeface="Century Gothic" panose="020B0502020202020204" pitchFamily="34" charset="0"/>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Топ_НПВ_в_месяце!$B$3</c:f>
              <c:strCache>
                <c:ptCount val="1"/>
                <c:pt idx="0">
                  <c:v>Итог</c:v>
                </c:pt>
              </c:strCache>
            </c:strRef>
          </c:tx>
          <c:spPr>
            <a:solidFill>
              <a:srgbClr val="C00000"/>
            </a:solidFill>
            <a:ln>
              <a:noFill/>
              <a:prstDash val="solid"/>
            </a:ln>
          </c:spPr>
          <c:invertIfNegative val="0"/>
          <c:dLbls>
            <c:spPr>
              <a:noFill/>
              <a:ln>
                <a:noFill/>
                <a:prstDash val="solid"/>
              </a:ln>
            </c:spPr>
            <c:txPr>
              <a:bodyPr rot="0" spcFirstLastPara="1" vertOverflow="ellipsis" vert="horz" wrap="square" anchor="ctr" anchorCtr="1"/>
              <a:lstStyle/>
              <a:p>
                <a:pPr>
                  <a:defRPr sz="900" b="1" i="0" strike="noStrike" kern="1200" baseline="0">
                    <a:solidFill>
                      <a:schemeClr val="tx1"/>
                    </a:solidFill>
                    <a:latin typeface="Century Gothic" panose="020B0502020202020204" pitchFamily="34" charset="0"/>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Топ_НПВ_в_месяце!$A$4:$A$17</c:f>
              <c:strCache>
                <c:ptCount val="13"/>
                <c:pt idx="0">
                  <c:v>Замена Запорная арматура</c:v>
                </c:pt>
                <c:pt idx="1">
                  <c:v>Замена ПВО</c:v>
                </c:pt>
                <c:pt idx="2">
                  <c:v>Ожидание Персонал</c:v>
                </c:pt>
                <c:pt idx="3">
                  <c:v>Устранение Предписания</c:v>
                </c:pt>
                <c:pt idx="4">
                  <c:v>Подготовка Скважина</c:v>
                </c:pt>
                <c:pt idx="5">
                  <c:v>Рабочая комиссия Разрешительная документация</c:v>
                </c:pt>
                <c:pt idx="6">
                  <c:v>Ожидание МТР</c:v>
                </c:pt>
                <c:pt idx="7">
                  <c:v>Ожидание Техника</c:v>
                </c:pt>
                <c:pt idx="8">
                  <c:v>Ремонт ПВО</c:v>
                </c:pt>
                <c:pt idx="9">
                  <c:v>Ремонт УПА</c:v>
                </c:pt>
                <c:pt idx="10">
                  <c:v>Тех. дежурство Бригада КРС</c:v>
                </c:pt>
                <c:pt idx="11">
                  <c:v>Опрессовка Блок дросселирования</c:v>
                </c:pt>
                <c:pt idx="12">
                  <c:v>Работа комиссии Скважина</c:v>
                </c:pt>
              </c:strCache>
            </c:strRef>
          </c:cat>
          <c:val>
            <c:numRef>
              <c:f>Топ_НПВ_в_месяце!$B$4:$B$17</c:f>
              <c:numCache>
                <c:formatCode>0.0</c:formatCode>
                <c:ptCount val="13"/>
                <c:pt idx="0">
                  <c:v>4</c:v>
                </c:pt>
                <c:pt idx="1">
                  <c:v>5</c:v>
                </c:pt>
                <c:pt idx="2">
                  <c:v>95.5</c:v>
                </c:pt>
                <c:pt idx="3">
                  <c:v>41</c:v>
                </c:pt>
                <c:pt idx="4">
                  <c:v>16</c:v>
                </c:pt>
                <c:pt idx="5">
                  <c:v>8</c:v>
                </c:pt>
                <c:pt idx="6">
                  <c:v>13.5</c:v>
                </c:pt>
                <c:pt idx="7">
                  <c:v>4</c:v>
                </c:pt>
                <c:pt idx="8">
                  <c:v>6</c:v>
                </c:pt>
                <c:pt idx="9">
                  <c:v>1.5</c:v>
                </c:pt>
                <c:pt idx="10">
                  <c:v>161</c:v>
                </c:pt>
                <c:pt idx="11">
                  <c:v>7</c:v>
                </c:pt>
                <c:pt idx="12">
                  <c:v>4</c:v>
                </c:pt>
              </c:numCache>
            </c:numRef>
          </c:val>
          <c:extLst>
            <c:ext xmlns:c16="http://schemas.microsoft.com/office/drawing/2014/chart" uri="{C3380CC4-5D6E-409C-BE32-E72D297353CC}">
              <c16:uniqueId val="{00000000-8C7A-4456-9CD4-8829834A7ED7}"/>
            </c:ext>
          </c:extLst>
        </c:ser>
        <c:dLbls>
          <c:showLegendKey val="0"/>
          <c:showVal val="0"/>
          <c:showCatName val="0"/>
          <c:showSerName val="0"/>
          <c:showPercent val="0"/>
          <c:showBubbleSize val="0"/>
        </c:dLbls>
        <c:gapWidth val="182"/>
        <c:axId val="195442687"/>
        <c:axId val="1123418111"/>
      </c:barChart>
      <c:catAx>
        <c:axId val="195442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solidFill>
                <a:latin typeface="Century Gothic" panose="020B0502020202020204" pitchFamily="34" charset="0"/>
                <a:ea typeface="+mn-ea"/>
                <a:cs typeface="+mn-cs"/>
              </a:defRPr>
            </a:pPr>
            <a:endParaRPr lang="ru-RU"/>
          </a:p>
        </c:txPr>
        <c:crossAx val="1123418111"/>
        <c:crosses val="autoZero"/>
        <c:auto val="1"/>
        <c:lblAlgn val="ctr"/>
        <c:lblOffset val="100"/>
        <c:noMultiLvlLbl val="0"/>
      </c:catAx>
      <c:valAx>
        <c:axId val="1123418111"/>
        <c:scaling>
          <c:orientation val="minMax"/>
        </c:scaling>
        <c:delete val="1"/>
        <c:axPos val="l"/>
        <c:numFmt formatCode="0.0" sourceLinked="1"/>
        <c:majorTickMark val="none"/>
        <c:minorTickMark val="none"/>
        <c:tickLblPos val="nextTo"/>
        <c:crossAx val="195442687"/>
        <c:crosses val="autoZero"/>
        <c:crossBetween val="between"/>
      </c:valAx>
    </c:plotArea>
    <c:plotVisOnly val="1"/>
    <c:dispBlanksAs val="gap"/>
    <c:showDLblsOverMax val="1"/>
  </c:chart>
  <c:spPr>
    <a:solidFill>
      <a:schemeClr val="bg1">
        <a:lumMod val="95000"/>
      </a:schemeClr>
    </a:solidFill>
    <a:ln w="9525" cap="flat" cmpd="sng" algn="ctr">
      <a:noFill/>
      <a:prstDash val="solid"/>
      <a:round/>
    </a:ln>
  </c:sp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pivotSource>
    <c:name>[КРС-3 обнова планирование.xlsx]Динамика_НПВ_ПНВ!Динамика_НПВ_ПНВ</c:name>
    <c:fmtId val="0"/>
  </c:pivotSource>
  <c:chart>
    <c:title>
      <c:tx>
        <c:rich>
          <a:bodyPr rot="0" spcFirstLastPara="1" vertOverflow="ellipsis" vert="horz" wrap="square" anchor="ctr" anchorCtr="1"/>
          <a:lstStyle/>
          <a:p>
            <a:pPr>
              <a:defRPr sz="1400" b="0" i="0" strike="noStrike" kern="1200" spc="0" baseline="0">
                <a:solidFill>
                  <a:schemeClr val="tx1"/>
                </a:solidFill>
                <a:latin typeface="Century Gothic" panose="020B0502020202020204" pitchFamily="34" charset="0"/>
                <a:ea typeface="+mn-ea"/>
                <a:cs typeface="+mn-cs"/>
              </a:defRPr>
            </a:pPr>
            <a:r>
              <a:rPr lang="ru-RU"/>
              <a:t>Динамика НПВ и ПНВ</a:t>
            </a:r>
          </a:p>
        </c:rich>
      </c:tx>
      <c:overlay val="0"/>
      <c:spPr>
        <a:noFill/>
        <a:ln>
          <a:noFill/>
          <a:prstDash val="solid"/>
        </a:ln>
      </c:spPr>
    </c:title>
    <c:autoTitleDeleted val="0"/>
    <c:pivotFmts>
      <c:pivotFmt>
        <c:idx val="0"/>
        <c:spPr>
          <a:ln w="38100" cap="rnd">
            <a:solidFill>
              <a:srgbClr val="C00000"/>
            </a:solidFill>
            <a:prstDash val="solid"/>
            <a:round/>
          </a:ln>
        </c:spPr>
        <c:marker>
          <c:symbol val="none"/>
        </c:marker>
        <c:dLbl>
          <c:idx val="0"/>
          <c:delete val="1"/>
          <c:extLst>
            <c:ext xmlns:c15="http://schemas.microsoft.com/office/drawing/2012/chart" uri="{CE6537A1-D6FC-4f65-9D91-7224C49458BB}"/>
          </c:extLst>
        </c:dLbl>
      </c:pivotFmt>
      <c:pivotFmt>
        <c:idx val="1"/>
        <c:spPr>
          <a:ln w="38100" cap="rnd">
            <a:solidFill>
              <a:schemeClr val="accent4"/>
            </a:solidFill>
            <a:prstDash val="solid"/>
            <a:round/>
          </a:ln>
        </c:spPr>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Динамика_НПВ_ПНВ!$B$3:$B$4</c:f>
              <c:strCache>
                <c:ptCount val="1"/>
                <c:pt idx="0">
                  <c:v>НПВ </c:v>
                </c:pt>
              </c:strCache>
            </c:strRef>
          </c:tx>
          <c:spPr>
            <a:ln w="38100" cap="rnd">
              <a:solidFill>
                <a:srgbClr val="C00000"/>
              </a:solidFill>
              <a:prstDash val="solid"/>
              <a:round/>
            </a:ln>
          </c:spPr>
          <c:marker>
            <c:symbol val="none"/>
          </c:marker>
          <c:cat>
            <c:strRef>
              <c:f>Динамика_НПВ_ПНВ!$A$5:$A$35</c:f>
              <c:strCache>
                <c:ptCount val="30"/>
                <c:pt idx="0">
                  <c:v>02 мая 2026 г.</c:v>
                </c:pt>
                <c:pt idx="1">
                  <c:v>03 мая 2026 г.</c:v>
                </c:pt>
                <c:pt idx="2">
                  <c:v>04 мая 2026 г.</c:v>
                </c:pt>
                <c:pt idx="3">
                  <c:v>05 мая 2026 г.</c:v>
                </c:pt>
                <c:pt idx="4">
                  <c:v>06 мая 2026 г.</c:v>
                </c:pt>
                <c:pt idx="5">
                  <c:v>07 мая 2026 г.</c:v>
                </c:pt>
                <c:pt idx="6">
                  <c:v>08 мая 2026 г.</c:v>
                </c:pt>
                <c:pt idx="7">
                  <c:v>09 мая 2026 г.</c:v>
                </c:pt>
                <c:pt idx="8">
                  <c:v>10 мая 2026 г.</c:v>
                </c:pt>
                <c:pt idx="9">
                  <c:v>11 мая 2026 г.</c:v>
                </c:pt>
                <c:pt idx="10">
                  <c:v>12 мая 2026 г.</c:v>
                </c:pt>
                <c:pt idx="11">
                  <c:v>13 мая 2026 г.</c:v>
                </c:pt>
                <c:pt idx="12">
                  <c:v>14 мая 2026 г.</c:v>
                </c:pt>
                <c:pt idx="13">
                  <c:v>15 мая 2026 г.</c:v>
                </c:pt>
                <c:pt idx="14">
                  <c:v>16 мая 2026 г.</c:v>
                </c:pt>
                <c:pt idx="15">
                  <c:v>17 мая 2026 г.</c:v>
                </c:pt>
                <c:pt idx="16">
                  <c:v>18 мая 2026 г.</c:v>
                </c:pt>
                <c:pt idx="17">
                  <c:v>19 мая 2026 г.</c:v>
                </c:pt>
                <c:pt idx="18">
                  <c:v>20 мая 2026 г.</c:v>
                </c:pt>
                <c:pt idx="19">
                  <c:v>21 мая 2026 г.</c:v>
                </c:pt>
                <c:pt idx="20">
                  <c:v>22 мая 2026 г.</c:v>
                </c:pt>
                <c:pt idx="21">
                  <c:v>23 мая 2026 г.</c:v>
                </c:pt>
                <c:pt idx="22">
                  <c:v>24 мая 2026 г.</c:v>
                </c:pt>
                <c:pt idx="23">
                  <c:v>25 мая 2026 г.</c:v>
                </c:pt>
                <c:pt idx="24">
                  <c:v>26 мая 2026 г.</c:v>
                </c:pt>
                <c:pt idx="25">
                  <c:v>27 мая 2026 г.</c:v>
                </c:pt>
                <c:pt idx="26">
                  <c:v>28 мая 2026 г.</c:v>
                </c:pt>
                <c:pt idx="27">
                  <c:v>29 мая 2026 г.</c:v>
                </c:pt>
                <c:pt idx="28">
                  <c:v>30 мая 2026 г.</c:v>
                </c:pt>
                <c:pt idx="29">
                  <c:v>31 мая 2026 г.</c:v>
                </c:pt>
              </c:strCache>
            </c:strRef>
          </c:cat>
          <c:val>
            <c:numRef>
              <c:f>Динамика_НПВ_ПНВ!$B$5:$B$35</c:f>
              <c:numCache>
                <c:formatCode>0</c:formatCode>
                <c:ptCount val="30"/>
                <c:pt idx="0">
                  <c:v>0</c:v>
                </c:pt>
                <c:pt idx="1">
                  <c:v>6</c:v>
                </c:pt>
                <c:pt idx="2">
                  <c:v>9</c:v>
                </c:pt>
                <c:pt idx="3">
                  <c:v>9</c:v>
                </c:pt>
                <c:pt idx="4">
                  <c:v>9</c:v>
                </c:pt>
                <c:pt idx="5">
                  <c:v>0</c:v>
                </c:pt>
                <c:pt idx="6">
                  <c:v>0</c:v>
                </c:pt>
                <c:pt idx="7">
                  <c:v>4</c:v>
                </c:pt>
                <c:pt idx="8">
                  <c:v>4</c:v>
                </c:pt>
                <c:pt idx="9">
                  <c:v>4</c:v>
                </c:pt>
                <c:pt idx="10">
                  <c:v>13</c:v>
                </c:pt>
                <c:pt idx="11">
                  <c:v>25</c:v>
                </c:pt>
                <c:pt idx="12">
                  <c:v>29</c:v>
                </c:pt>
                <c:pt idx="13">
                  <c:v>41</c:v>
                </c:pt>
                <c:pt idx="14">
                  <c:v>57</c:v>
                </c:pt>
                <c:pt idx="15">
                  <c:v>81</c:v>
                </c:pt>
                <c:pt idx="16">
                  <c:v>97</c:v>
                </c:pt>
                <c:pt idx="17">
                  <c:v>121</c:v>
                </c:pt>
                <c:pt idx="18">
                  <c:v>126</c:v>
                </c:pt>
                <c:pt idx="19">
                  <c:v>126</c:v>
                </c:pt>
                <c:pt idx="20">
                  <c:v>126</c:v>
                </c:pt>
                <c:pt idx="21">
                  <c:v>126</c:v>
                </c:pt>
                <c:pt idx="22">
                  <c:v>126</c:v>
                </c:pt>
                <c:pt idx="23">
                  <c:v>5.5</c:v>
                </c:pt>
                <c:pt idx="24">
                  <c:v>23.5</c:v>
                </c:pt>
                <c:pt idx="25">
                  <c:v>33.5</c:v>
                </c:pt>
                <c:pt idx="26">
                  <c:v>42.5</c:v>
                </c:pt>
                <c:pt idx="27">
                  <c:v>42.5</c:v>
                </c:pt>
                <c:pt idx="28">
                  <c:v>46</c:v>
                </c:pt>
                <c:pt idx="29">
                  <c:v>58</c:v>
                </c:pt>
              </c:numCache>
            </c:numRef>
          </c:val>
          <c:smooth val="0"/>
          <c:extLst>
            <c:ext xmlns:c16="http://schemas.microsoft.com/office/drawing/2014/chart" uri="{C3380CC4-5D6E-409C-BE32-E72D297353CC}">
              <c16:uniqueId val="{00000000-B756-4EF9-97FE-2A49BE3A5B67}"/>
            </c:ext>
          </c:extLst>
        </c:ser>
        <c:ser>
          <c:idx val="1"/>
          <c:order val="1"/>
          <c:tx>
            <c:strRef>
              <c:f>Динамика_НПВ_ПНВ!$C$3:$C$4</c:f>
              <c:strCache>
                <c:ptCount val="1"/>
                <c:pt idx="0">
                  <c:v>ПНВ </c:v>
                </c:pt>
              </c:strCache>
            </c:strRef>
          </c:tx>
          <c:spPr>
            <a:ln w="38100" cap="rnd">
              <a:solidFill>
                <a:schemeClr val="accent4"/>
              </a:solidFill>
              <a:prstDash val="solid"/>
              <a:round/>
            </a:ln>
          </c:spPr>
          <c:marker>
            <c:symbol val="none"/>
          </c:marker>
          <c:cat>
            <c:strRef>
              <c:f>Динамика_НПВ_ПНВ!$A$5:$A$35</c:f>
              <c:strCache>
                <c:ptCount val="30"/>
                <c:pt idx="0">
                  <c:v>02 мая 2026 г.</c:v>
                </c:pt>
                <c:pt idx="1">
                  <c:v>03 мая 2026 г.</c:v>
                </c:pt>
                <c:pt idx="2">
                  <c:v>04 мая 2026 г.</c:v>
                </c:pt>
                <c:pt idx="3">
                  <c:v>05 мая 2026 г.</c:v>
                </c:pt>
                <c:pt idx="4">
                  <c:v>06 мая 2026 г.</c:v>
                </c:pt>
                <c:pt idx="5">
                  <c:v>07 мая 2026 г.</c:v>
                </c:pt>
                <c:pt idx="6">
                  <c:v>08 мая 2026 г.</c:v>
                </c:pt>
                <c:pt idx="7">
                  <c:v>09 мая 2026 г.</c:v>
                </c:pt>
                <c:pt idx="8">
                  <c:v>10 мая 2026 г.</c:v>
                </c:pt>
                <c:pt idx="9">
                  <c:v>11 мая 2026 г.</c:v>
                </c:pt>
                <c:pt idx="10">
                  <c:v>12 мая 2026 г.</c:v>
                </c:pt>
                <c:pt idx="11">
                  <c:v>13 мая 2026 г.</c:v>
                </c:pt>
                <c:pt idx="12">
                  <c:v>14 мая 2026 г.</c:v>
                </c:pt>
                <c:pt idx="13">
                  <c:v>15 мая 2026 г.</c:v>
                </c:pt>
                <c:pt idx="14">
                  <c:v>16 мая 2026 г.</c:v>
                </c:pt>
                <c:pt idx="15">
                  <c:v>17 мая 2026 г.</c:v>
                </c:pt>
                <c:pt idx="16">
                  <c:v>18 мая 2026 г.</c:v>
                </c:pt>
                <c:pt idx="17">
                  <c:v>19 мая 2026 г.</c:v>
                </c:pt>
                <c:pt idx="18">
                  <c:v>20 мая 2026 г.</c:v>
                </c:pt>
                <c:pt idx="19">
                  <c:v>21 мая 2026 г.</c:v>
                </c:pt>
                <c:pt idx="20">
                  <c:v>22 мая 2026 г.</c:v>
                </c:pt>
                <c:pt idx="21">
                  <c:v>23 мая 2026 г.</c:v>
                </c:pt>
                <c:pt idx="22">
                  <c:v>24 мая 2026 г.</c:v>
                </c:pt>
                <c:pt idx="23">
                  <c:v>25 мая 2026 г.</c:v>
                </c:pt>
                <c:pt idx="24">
                  <c:v>26 мая 2026 г.</c:v>
                </c:pt>
                <c:pt idx="25">
                  <c:v>27 мая 2026 г.</c:v>
                </c:pt>
                <c:pt idx="26">
                  <c:v>28 мая 2026 г.</c:v>
                </c:pt>
                <c:pt idx="27">
                  <c:v>29 мая 2026 г.</c:v>
                </c:pt>
                <c:pt idx="28">
                  <c:v>30 мая 2026 г.</c:v>
                </c:pt>
                <c:pt idx="29">
                  <c:v>31 мая 2026 г.</c:v>
                </c:pt>
              </c:strCache>
            </c:strRef>
          </c:cat>
          <c:val>
            <c:numRef>
              <c:f>Динамика_НПВ_ПНВ!$C$5:$C$35</c:f>
              <c:numCache>
                <c:formatCode>0</c:formatCode>
                <c:ptCount val="30"/>
                <c:pt idx="0">
                  <c:v>0</c:v>
                </c:pt>
                <c:pt idx="1">
                  <c:v>3.5</c:v>
                </c:pt>
                <c:pt idx="2">
                  <c:v>11.059999999999999</c:v>
                </c:pt>
                <c:pt idx="3">
                  <c:v>15.669999999999998</c:v>
                </c:pt>
                <c:pt idx="4">
                  <c:v>26.24</c:v>
                </c:pt>
                <c:pt idx="5">
                  <c:v>10.030000000000001</c:v>
                </c:pt>
                <c:pt idx="6">
                  <c:v>34.03</c:v>
                </c:pt>
                <c:pt idx="7">
                  <c:v>45.09</c:v>
                </c:pt>
                <c:pt idx="8">
                  <c:v>63.048000000000009</c:v>
                </c:pt>
                <c:pt idx="9">
                  <c:v>86.593599999999995</c:v>
                </c:pt>
                <c:pt idx="10">
                  <c:v>101.08959999999999</c:v>
                </c:pt>
                <c:pt idx="11">
                  <c:v>103.3496</c:v>
                </c:pt>
                <c:pt idx="12">
                  <c:v>107.0496</c:v>
                </c:pt>
                <c:pt idx="13">
                  <c:v>118.0752</c:v>
                </c:pt>
                <c:pt idx="14">
                  <c:v>121.23519999999999</c:v>
                </c:pt>
                <c:pt idx="15">
                  <c:v>121.23519999999999</c:v>
                </c:pt>
                <c:pt idx="16">
                  <c:v>121.23519999999999</c:v>
                </c:pt>
                <c:pt idx="17">
                  <c:v>121.23519999999999</c:v>
                </c:pt>
                <c:pt idx="18">
                  <c:v>132.21519999999998</c:v>
                </c:pt>
                <c:pt idx="19">
                  <c:v>145.21719999999999</c:v>
                </c:pt>
                <c:pt idx="20">
                  <c:v>148.34839999999997</c:v>
                </c:pt>
                <c:pt idx="21">
                  <c:v>172.34839999999997</c:v>
                </c:pt>
                <c:pt idx="22">
                  <c:v>176.84839999999997</c:v>
                </c:pt>
                <c:pt idx="23">
                  <c:v>9.76</c:v>
                </c:pt>
                <c:pt idx="24">
                  <c:v>11.149999999999999</c:v>
                </c:pt>
                <c:pt idx="25">
                  <c:v>16.959999999999997</c:v>
                </c:pt>
                <c:pt idx="26">
                  <c:v>16.959999999999997</c:v>
                </c:pt>
                <c:pt idx="27">
                  <c:v>33.03</c:v>
                </c:pt>
                <c:pt idx="28">
                  <c:v>33.03</c:v>
                </c:pt>
                <c:pt idx="29">
                  <c:v>33.03</c:v>
                </c:pt>
              </c:numCache>
            </c:numRef>
          </c:val>
          <c:smooth val="0"/>
          <c:extLst>
            <c:ext xmlns:c16="http://schemas.microsoft.com/office/drawing/2014/chart" uri="{C3380CC4-5D6E-409C-BE32-E72D297353CC}">
              <c16:uniqueId val="{00000001-B756-4EF9-97FE-2A49BE3A5B67}"/>
            </c:ext>
          </c:extLst>
        </c:ser>
        <c:dLbls>
          <c:showLegendKey val="0"/>
          <c:showVal val="0"/>
          <c:showCatName val="0"/>
          <c:showSerName val="0"/>
          <c:showPercent val="0"/>
          <c:showBubbleSize val="0"/>
        </c:dLbls>
        <c:smooth val="0"/>
        <c:axId val="876018559"/>
        <c:axId val="1136342591"/>
      </c:lineChart>
      <c:catAx>
        <c:axId val="876018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solidFill>
                <a:latin typeface="Century Gothic" panose="020B0502020202020204" pitchFamily="34" charset="0"/>
                <a:ea typeface="+mn-ea"/>
                <a:cs typeface="+mn-cs"/>
              </a:defRPr>
            </a:pPr>
            <a:endParaRPr lang="ru-RU"/>
          </a:p>
        </c:txPr>
        <c:crossAx val="1136342591"/>
        <c:crosses val="autoZero"/>
        <c:auto val="1"/>
        <c:lblAlgn val="ctr"/>
        <c:lblOffset val="100"/>
        <c:noMultiLvlLbl val="0"/>
      </c:catAx>
      <c:valAx>
        <c:axId val="113634259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solidFill>
                <a:latin typeface="Century Gothic" panose="020B0502020202020204" pitchFamily="34" charset="0"/>
                <a:ea typeface="+mn-ea"/>
                <a:cs typeface="+mn-cs"/>
              </a:defRPr>
            </a:pPr>
            <a:endParaRPr lang="ru-RU"/>
          </a:p>
        </c:txPr>
        <c:crossAx val="876018559"/>
        <c:crosses val="autoZero"/>
        <c:crossBetween val="between"/>
      </c:valAx>
    </c:plotArea>
    <c:legend>
      <c:legendPos val="t"/>
      <c:overlay val="0"/>
      <c:spPr>
        <a:noFill/>
        <a:ln>
          <a:noFill/>
          <a:prstDash val="solid"/>
        </a:ln>
      </c:spPr>
      <c:txPr>
        <a:bodyPr rot="0" spcFirstLastPara="1" vertOverflow="ellipsis" vert="horz" wrap="square" anchor="ctr" anchorCtr="1"/>
        <a:lstStyle/>
        <a:p>
          <a:pPr>
            <a:defRPr sz="900" b="0" i="0" strike="noStrike" kern="1200" baseline="0">
              <a:solidFill>
                <a:schemeClr val="tx1"/>
              </a:solidFill>
              <a:latin typeface="Century Gothic" panose="020B0502020202020204" pitchFamily="34" charset="0"/>
              <a:ea typeface="+mn-ea"/>
              <a:cs typeface="+mn-cs"/>
            </a:defRPr>
          </a:pPr>
          <a:endParaRPr lang="ru-RU"/>
        </a:p>
      </c:txPr>
    </c:legend>
    <c:plotVisOnly val="1"/>
    <c:dispBlanksAs val="gap"/>
    <c:showDLblsOverMax val="1"/>
  </c:chart>
  <c:spPr>
    <a:solidFill>
      <a:schemeClr val="bg1">
        <a:lumMod val="95000"/>
      </a:schemeClr>
    </a:solidFill>
    <a:ln w="9525" cap="flat" cmpd="sng" algn="ctr">
      <a:noFill/>
      <a:prstDash val="solid"/>
      <a:round/>
    </a:ln>
  </c:sp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pivotSource>
    <c:name>[КРС-3 обнова планирование.xlsx]НПВ_по_отв.!НПВ_по_отв</c:name>
    <c:fmtId val="0"/>
  </c:pivotSource>
  <c:chart>
    <c:title>
      <c:tx>
        <c:rich>
          <a:bodyPr rot="0" spcFirstLastPara="1" vertOverflow="ellipsis" vert="horz" wrap="square" anchor="ctr" anchorCtr="1"/>
          <a:lstStyle/>
          <a:p>
            <a:pPr>
              <a:defRPr sz="1400" b="0" i="0" strike="noStrike" kern="1200" spc="0" baseline="0">
                <a:solidFill>
                  <a:schemeClr val="tx1"/>
                </a:solidFill>
                <a:latin typeface="Century Gothic" panose="020B0502020202020204" pitchFamily="34" charset="0"/>
                <a:ea typeface="+mn-ea"/>
                <a:cs typeface="+mn-cs"/>
              </a:defRPr>
            </a:pPr>
            <a:r>
              <a:rPr lang="ru-RU"/>
              <a:t>Топ</a:t>
            </a:r>
            <a:r>
              <a:rPr lang="ru-RU" baseline="0"/>
              <a:t> причин НПВ</a:t>
            </a:r>
            <a:endParaRPr lang="ru-RU"/>
          </a:p>
        </c:rich>
      </c:tx>
      <c:overlay val="0"/>
      <c:spPr>
        <a:noFill/>
        <a:ln>
          <a:noFill/>
          <a:prstDash val="solid"/>
        </a:ln>
      </c:spPr>
    </c:title>
    <c:autoTitleDeleted val="0"/>
    <c:pivotFmts>
      <c:pivotFmt>
        <c:idx val="0"/>
        <c:spPr>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1600" b="1" i="0" strike="noStrike" kern="1200" baseline="0">
                  <a:solidFill>
                    <a:schemeClr val="bg1"/>
                  </a:solidFill>
                  <a:latin typeface="Century Gothic" panose="020B0502020202020204" pitchFamily="34" charset="0"/>
                  <a:ea typeface="+mn-ea"/>
                  <a:cs typeface="+mn-cs"/>
                </a:defRPr>
              </a:pPr>
              <a:endParaRPr lang="ru-RU"/>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70AD47"/>
          </a:solidFill>
          <a:ln w="19050">
            <a:noFill/>
            <a:prstDash val="solid"/>
          </a:ln>
        </c:spPr>
      </c:pivotFmt>
      <c:pivotFmt>
        <c:idx val="2"/>
        <c:spPr>
          <a:solidFill>
            <a:srgbClr val="FFC000"/>
          </a:solidFill>
          <a:ln w="19050">
            <a:noFill/>
            <a:prstDash val="solid"/>
          </a:ln>
        </c:spPr>
      </c:pivotFmt>
      <c:pivotFmt>
        <c:idx val="3"/>
        <c:spPr>
          <a:solidFill>
            <a:srgbClr val="C00000"/>
          </a:solidFill>
          <a:ln w="19050">
            <a:noFill/>
            <a:prstDash val="solid"/>
          </a:ln>
        </c:spPr>
      </c:pivotFmt>
      <c:pivotFmt>
        <c:idx val="4"/>
        <c:spPr>
          <a:solidFill>
            <a:schemeClr val="accent1"/>
          </a:solidFill>
          <a:ln w="19050">
            <a:noFill/>
            <a:prstDash val="solid"/>
          </a:ln>
        </c:spPr>
      </c:pivotFmt>
      <c:pivotFmt>
        <c:idx val="5"/>
        <c:spPr>
          <a:solidFill>
            <a:schemeClr val="accent1"/>
          </a:solidFill>
          <a:ln w="19050">
            <a:noFill/>
            <a:prstDash val="solid"/>
          </a:ln>
        </c:spPr>
      </c:pivotFmt>
      <c:pivotFmt>
        <c:idx val="6"/>
        <c:spPr>
          <a:solidFill>
            <a:schemeClr val="accent2"/>
          </a:solidFill>
          <a:ln w="19050">
            <a:noFill/>
            <a:prstDash val="solid"/>
          </a:ln>
        </c:spPr>
      </c:pivotFmt>
      <c:pivotFmt>
        <c:idx val="7"/>
        <c:spPr>
          <a:solidFill>
            <a:schemeClr val="accent3"/>
          </a:solidFill>
          <a:ln w="19050">
            <a:noFill/>
            <a:prstDash val="solid"/>
          </a:ln>
        </c:spPr>
      </c:pivotFmt>
      <c:pivotFmt>
        <c:idx val="8"/>
      </c:pivotFmt>
      <c:pivotFmt>
        <c:idx val="9"/>
        <c:spPr>
          <a:solidFill>
            <a:schemeClr val="accent2"/>
          </a:solidFill>
          <a:ln w="19050">
            <a:noFill/>
            <a:prstDash val="solid"/>
          </a:ln>
        </c:spPr>
      </c:pivotFmt>
      <c:pivotFmt>
        <c:idx val="10"/>
        <c:spPr>
          <a:solidFill>
            <a:schemeClr val="accent3"/>
          </a:solidFill>
          <a:ln w="19050">
            <a:noFill/>
            <a:prstDash val="solid"/>
          </a:ln>
        </c:spPr>
      </c:pivotFmt>
    </c:pivotFmts>
    <c:plotArea>
      <c:layout/>
      <c:pieChart>
        <c:varyColors val="1"/>
        <c:ser>
          <c:idx val="0"/>
          <c:order val="0"/>
          <c:tx>
            <c:strRef>
              <c:f>НПВ_по_отв.!$B$3</c:f>
              <c:strCache>
                <c:ptCount val="1"/>
                <c:pt idx="0">
                  <c:v>Итог</c:v>
                </c:pt>
              </c:strCache>
            </c:strRef>
          </c:tx>
          <c:spPr>
            <a:ln>
              <a:noFill/>
              <a:prstDash val="solid"/>
            </a:ln>
          </c:spPr>
          <c:dPt>
            <c:idx val="0"/>
            <c:bubble3D val="0"/>
            <c:extLst>
              <c:ext xmlns:c16="http://schemas.microsoft.com/office/drawing/2014/chart" uri="{C3380CC4-5D6E-409C-BE32-E72D297353CC}">
                <c16:uniqueId val="{00000001-2384-451B-8B75-26419F3E2D57}"/>
              </c:ext>
            </c:extLst>
          </c:dPt>
          <c:dPt>
            <c:idx val="1"/>
            <c:bubble3D val="0"/>
            <c:spPr>
              <a:solidFill>
                <a:schemeClr val="accent2"/>
              </a:solidFill>
              <a:ln w="19050">
                <a:noFill/>
                <a:prstDash val="solid"/>
              </a:ln>
            </c:spPr>
            <c:extLst>
              <c:ext xmlns:c16="http://schemas.microsoft.com/office/drawing/2014/chart" uri="{C3380CC4-5D6E-409C-BE32-E72D297353CC}">
                <c16:uniqueId val="{00000003-2384-451B-8B75-26419F3E2D57}"/>
              </c:ext>
            </c:extLst>
          </c:dPt>
          <c:dPt>
            <c:idx val="2"/>
            <c:bubble3D val="0"/>
            <c:spPr>
              <a:solidFill>
                <a:schemeClr val="accent3"/>
              </a:solidFill>
              <a:ln w="19050">
                <a:noFill/>
                <a:prstDash val="solid"/>
              </a:ln>
            </c:spPr>
            <c:extLst>
              <c:ext xmlns:c16="http://schemas.microsoft.com/office/drawing/2014/chart" uri="{C3380CC4-5D6E-409C-BE32-E72D297353CC}">
                <c16:uniqueId val="{00000005-2384-451B-8B75-26419F3E2D57}"/>
              </c:ext>
            </c:extLst>
          </c:dPt>
          <c:dLbls>
            <c:spPr>
              <a:noFill/>
              <a:ln>
                <a:noFill/>
                <a:prstDash val="solid"/>
              </a:ln>
            </c:spPr>
            <c:txPr>
              <a:bodyPr rot="0" spcFirstLastPara="1" vertOverflow="ellipsis" vert="horz" wrap="square" lIns="38100" tIns="19050" rIns="38100" bIns="19050" anchor="ctr" anchorCtr="1">
                <a:spAutoFit/>
              </a:bodyPr>
              <a:lstStyle/>
              <a:p>
                <a:pPr>
                  <a:defRPr sz="1600" b="1" i="0" strike="noStrike" kern="1200" baseline="0">
                    <a:solidFill>
                      <a:schemeClr val="bg1"/>
                    </a:solidFill>
                    <a:latin typeface="Century Gothic" panose="020B0502020202020204" pitchFamily="34" charset="0"/>
                    <a:ea typeface="+mn-ea"/>
                    <a:cs typeface="+mn-cs"/>
                  </a:defRPr>
                </a:pPr>
                <a:endParaRPr lang="ru-RU"/>
              </a:p>
            </c:txPr>
            <c:dLblPos val="inEnd"/>
            <c:showLegendKey val="0"/>
            <c:showVal val="0"/>
            <c:showCatName val="0"/>
            <c:showSerName val="0"/>
            <c:showPercent val="1"/>
            <c:showBubbleSize val="0"/>
            <c:showLeaderLines val="1"/>
            <c:extLst>
              <c:ext xmlns:c15="http://schemas.microsoft.com/office/drawing/2012/chart" uri="{CE6537A1-D6FC-4f65-9D91-7224C49458BB}"/>
            </c:extLst>
          </c:dLbls>
          <c:cat>
            <c:strRef>
              <c:f>НПВ_по_отв.!$A$4:$A$7</c:f>
              <c:strCache>
                <c:ptCount val="3"/>
                <c:pt idx="0">
                  <c:v>(пусто)</c:v>
                </c:pt>
                <c:pt idx="1">
                  <c:v>Организационные</c:v>
                </c:pt>
                <c:pt idx="2">
                  <c:v>Технические</c:v>
                </c:pt>
              </c:strCache>
            </c:strRef>
          </c:cat>
          <c:val>
            <c:numRef>
              <c:f>НПВ_по_отв.!$B$4:$B$7</c:f>
              <c:numCache>
                <c:formatCode>0.0</c:formatCode>
                <c:ptCount val="3"/>
                <c:pt idx="0">
                  <c:v>231.5</c:v>
                </c:pt>
                <c:pt idx="1">
                  <c:v>126</c:v>
                </c:pt>
                <c:pt idx="2">
                  <c:v>9</c:v>
                </c:pt>
              </c:numCache>
            </c:numRef>
          </c:val>
          <c:extLst>
            <c:ext xmlns:c16="http://schemas.microsoft.com/office/drawing/2014/chart" uri="{C3380CC4-5D6E-409C-BE32-E72D297353CC}">
              <c16:uniqueId val="{00000006-2384-451B-8B75-26419F3E2D57}"/>
            </c:ext>
          </c:extLst>
        </c:ser>
        <c:dLbls>
          <c:showLegendKey val="0"/>
          <c:showVal val="0"/>
          <c:showCatName val="0"/>
          <c:showSerName val="0"/>
          <c:showPercent val="0"/>
          <c:showBubbleSize val="0"/>
          <c:showLeaderLines val="1"/>
        </c:dLbls>
        <c:firstSliceAng val="0"/>
      </c:pieChart>
    </c:plotArea>
    <c:legend>
      <c:legendPos val="t"/>
      <c:overlay val="0"/>
      <c:spPr>
        <a:noFill/>
        <a:ln>
          <a:noFill/>
          <a:prstDash val="solid"/>
        </a:ln>
      </c:spPr>
      <c:txPr>
        <a:bodyPr rot="0" spcFirstLastPara="1" vertOverflow="ellipsis" vert="horz" wrap="square" anchor="ctr" anchorCtr="1"/>
        <a:lstStyle/>
        <a:p>
          <a:pPr rtl="0">
            <a:defRPr sz="900" b="0" i="0" strike="noStrike" kern="1200" baseline="0">
              <a:solidFill>
                <a:schemeClr val="tx1"/>
              </a:solidFill>
              <a:latin typeface="Century Gothic" panose="020B0502020202020204" pitchFamily="34" charset="0"/>
              <a:ea typeface="+mn-ea"/>
              <a:cs typeface="+mn-cs"/>
            </a:defRPr>
          </a:pPr>
          <a:endParaRPr lang="ru-RU"/>
        </a:p>
      </c:txPr>
    </c:legend>
    <c:plotVisOnly val="1"/>
    <c:dispBlanksAs val="gap"/>
    <c:showDLblsOverMax val="1"/>
  </c:chart>
  <c:spPr>
    <a:solidFill>
      <a:schemeClr val="bg1">
        <a:lumMod val="95000"/>
      </a:schemeClr>
    </a:solidFill>
    <a:ln w="9525" cap="flat" cmpd="sng" algn="ctr">
      <a:noFill/>
      <a:prstDash val="solid"/>
      <a:round/>
    </a:ln>
  </c:sp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pivotSource>
    <c:name>[КРС-3 обнова планирование.xlsx]БВ_по_неделям!БВ_по_неделям</c:name>
    <c:fmtId val="8"/>
  </c:pivotSource>
  <c:chart>
    <c:title>
      <c:tx>
        <c:rich>
          <a:bodyPr rot="0" spcFirstLastPara="1" vertOverflow="ellipsis" vert="horz" wrap="square" anchor="ctr" anchorCtr="1"/>
          <a:lstStyle/>
          <a:p>
            <a:pPr>
              <a:defRPr sz="1200" b="0" i="0" strike="noStrike" kern="1200" spc="0" baseline="0">
                <a:solidFill>
                  <a:schemeClr val="tx1"/>
                </a:solidFill>
                <a:latin typeface="Century Gothic" panose="020B0502020202020204" pitchFamily="34" charset="0"/>
                <a:ea typeface="+mn-ea"/>
                <a:cs typeface="+mn-cs"/>
              </a:defRPr>
            </a:pPr>
            <a:r>
              <a:rPr lang="ru-RU"/>
              <a:t>Балансы времени по неделям строительства скважины</a:t>
            </a:r>
          </a:p>
        </c:rich>
      </c:tx>
      <c:overlay val="0"/>
      <c:spPr>
        <a:noFill/>
        <a:ln>
          <a:noFill/>
          <a:prstDash val="solid"/>
        </a:ln>
      </c:spPr>
    </c:title>
    <c:autoTitleDeleted val="0"/>
    <c:pivotFmts>
      <c:pivotFmt>
        <c:idx val="0"/>
        <c:spPr>
          <a:solidFill>
            <a:schemeClr val="accent6"/>
          </a:solidFill>
          <a:ln>
            <a:noFill/>
            <a:prstDash val="solid"/>
          </a:ln>
        </c:spPr>
        <c:marker>
          <c:symbol val="none"/>
        </c:marker>
        <c:dLbl>
          <c:idx val="0"/>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4"/>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tx1"/>
                  </a:solidFill>
                  <a:latin typeface="Century Gothic" panose="020B0502020202020204" pitchFamily="34" charset="0"/>
                  <a:ea typeface="+mn-ea"/>
                  <a:cs typeface="+mn-cs"/>
                </a:defRPr>
              </a:pPr>
              <a:endParaRPr lang="ru-RU"/>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prstDash val="solid"/>
          </a:ln>
        </c:spPr>
      </c:pivotFmt>
      <c:pivotFmt>
        <c:idx val="3"/>
        <c:spPr>
          <a:solidFill>
            <a:srgbClr val="C00000"/>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bg1">
                      <a:lumMod val="95000"/>
                    </a:schemeClr>
                  </a:solidFill>
                  <a:latin typeface="Century Gothic" panose="020B0502020202020204" pitchFamily="34" charset="0"/>
                  <a:ea typeface="+mn-ea"/>
                  <a:cs typeface="+mn-cs"/>
                </a:defRPr>
              </a:pPr>
              <a:endParaRPr lang="ru-RU"/>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prstDash val="solid"/>
          </a:ln>
        </c:spPr>
      </c:pivotFmt>
      <c:pivotFmt>
        <c:idx val="5"/>
        <c:spPr>
          <a:solidFill>
            <a:srgbClr val="C00000"/>
          </a:solidFill>
          <a:ln>
            <a:noFill/>
            <a:prstDash val="solid"/>
          </a:ln>
        </c:spPr>
      </c:pivotFmt>
      <c:pivotFmt>
        <c:idx val="6"/>
        <c:spPr>
          <a:solidFill>
            <a:schemeClr val="accent6"/>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tx1"/>
                  </a:solidFill>
                  <a:latin typeface="Century Gothic" panose="020B0502020202020204" pitchFamily="34" charset="0"/>
                  <a:ea typeface="+mn-ea"/>
                  <a:cs typeface="+mn-cs"/>
                </a:defRPr>
              </a:pPr>
              <a:endParaRPr lang="ru-RU"/>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tx1"/>
                  </a:solidFill>
                  <a:latin typeface="Century Gothic" panose="020B0502020202020204" pitchFamily="34" charset="0"/>
                  <a:ea typeface="+mn-ea"/>
                  <a:cs typeface="+mn-cs"/>
                </a:defRPr>
              </a:pPr>
              <a:endParaRPr lang="ru-RU"/>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C00000"/>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bg1">
                      <a:lumMod val="95000"/>
                    </a:schemeClr>
                  </a:solidFill>
                  <a:latin typeface="Century Gothic" panose="020B0502020202020204" pitchFamily="34" charset="0"/>
                  <a:ea typeface="+mn-ea"/>
                  <a:cs typeface="+mn-cs"/>
                </a:defRPr>
              </a:pPr>
              <a:endParaRPr lang="ru-RU"/>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1000" b="0" i="0" strike="noStrike" kern="1200" baseline="0">
                  <a:solidFill>
                    <a:schemeClr val="tx1"/>
                  </a:solidFill>
                  <a:latin typeface="Century Gothic" panose="020B0502020202020204" pitchFamily="34" charset="0"/>
                  <a:ea typeface="+mn-ea"/>
                  <a:cs typeface="+mn-cs"/>
                </a:defRPr>
              </a:pPr>
              <a:endParaRPr lang="ru-RU"/>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70AD47"/>
          </a:solidFill>
          <a:ln>
            <a:noFill/>
            <a:prstDash val="solid"/>
          </a:ln>
        </c:spPr>
        <c:marker>
          <c:symbol val="none"/>
        </c:marker>
        <c:dLbl>
          <c:idx val="0"/>
          <c:spPr>
            <a:noFill/>
            <a:ln>
              <a:noFill/>
              <a:prstDash val="solid"/>
            </a:ln>
          </c:spPr>
          <c:txPr>
            <a:bodyPr rot="0" spcFirstLastPara="1" vertOverflow="ellipsis" vert="horz" wrap="square" anchor="ctr" anchorCtr="1"/>
            <a:lstStyle/>
            <a:p>
              <a:pPr>
                <a:defRPr sz="1600" b="1" i="0" strike="noStrike" kern="1200" baseline="0">
                  <a:solidFill>
                    <a:schemeClr val="tx1"/>
                  </a:solidFill>
                  <a:latin typeface="Century Gothic" panose="020B0502020202020204" pitchFamily="34" charset="0"/>
                  <a:ea typeface="+mn-ea"/>
                  <a:cs typeface="+mn-cs"/>
                </a:defRPr>
              </a:pPr>
              <a:endParaRPr lang="ru-RU"/>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C000"/>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1000" b="0" i="0" strike="noStrike" kern="1200" baseline="0">
                  <a:solidFill>
                    <a:schemeClr val="tx1"/>
                  </a:solidFill>
                  <a:latin typeface="Century Gothic" panose="020B0502020202020204" pitchFamily="34" charset="0"/>
                  <a:ea typeface="+mn-ea"/>
                  <a:cs typeface="+mn-cs"/>
                </a:defRPr>
              </a:pPr>
              <a:endParaRPr lang="ru-RU"/>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C00000"/>
          </a:solidFill>
          <a:ln>
            <a:noFill/>
            <a:prstDash val="solid"/>
          </a:ln>
        </c:spPr>
        <c:marker>
          <c:symbol val="none"/>
        </c:marker>
        <c:dLbl>
          <c:idx val="0"/>
          <c:spPr>
            <a:noFill/>
            <a:ln>
              <a:noFill/>
              <a:prstDash val="solid"/>
            </a:ln>
          </c:spPr>
          <c:txPr>
            <a:bodyPr rot="0" spcFirstLastPara="1" vertOverflow="ellipsis" vert="horz" wrap="square" anchor="ctr" anchorCtr="1"/>
            <a:lstStyle/>
            <a:p>
              <a:pPr>
                <a:defRPr sz="1600" b="1" i="0" strike="noStrike" kern="1200" baseline="0">
                  <a:solidFill>
                    <a:schemeClr val="bg1">
                      <a:lumMod val="95000"/>
                    </a:schemeClr>
                  </a:solidFill>
                  <a:latin typeface="Century Gothic" panose="020B0502020202020204" pitchFamily="34" charset="0"/>
                  <a:ea typeface="+mn-ea"/>
                  <a:cs typeface="+mn-cs"/>
                </a:defRPr>
              </a:pPr>
              <a:endParaRPr lang="ru-RU"/>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БВ_по_неделям!$B$3:$B$4</c:f>
              <c:strCache>
                <c:ptCount val="1"/>
                <c:pt idx="0">
                  <c:v>ПВ, % </c:v>
                </c:pt>
              </c:strCache>
            </c:strRef>
          </c:tx>
          <c:spPr>
            <a:solidFill>
              <a:srgbClr val="70AD47"/>
            </a:solidFill>
            <a:ln>
              <a:noFill/>
              <a:prstDash val="solid"/>
            </a:ln>
          </c:spPr>
          <c:invertIfNegative val="0"/>
          <c:dLbls>
            <c:spPr>
              <a:noFill/>
              <a:ln>
                <a:noFill/>
                <a:prstDash val="solid"/>
              </a:ln>
            </c:spPr>
            <c:txPr>
              <a:bodyPr rot="0" spcFirstLastPara="1" vertOverflow="ellipsis" vert="horz" wrap="square" anchor="ctr" anchorCtr="1"/>
              <a:lstStyle/>
              <a:p>
                <a:pPr>
                  <a:defRPr sz="1600" b="1" i="0" strike="noStrike" kern="1200" baseline="0">
                    <a:solidFill>
                      <a:schemeClr val="tx1"/>
                    </a:solidFill>
                    <a:latin typeface="Century Gothic" panose="020B0502020202020204" pitchFamily="34" charset="0"/>
                    <a:ea typeface="+mn-ea"/>
                    <a:cs typeface="+mn-cs"/>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БВ_по_неделям!$A$5:$A$10</c:f>
              <c:strCache>
                <c:ptCount val="5"/>
                <c:pt idx="0">
                  <c:v>27.04.2026 - 03.05.2026</c:v>
                </c:pt>
                <c:pt idx="1">
                  <c:v>04.05.2026 - 10.05.2026</c:v>
                </c:pt>
                <c:pt idx="2">
                  <c:v>11.05.2026 - 17.05.2026</c:v>
                </c:pt>
                <c:pt idx="3">
                  <c:v>18.05.2026 - 24.05.2026</c:v>
                </c:pt>
                <c:pt idx="4">
                  <c:v>25.05.2026 - 31.05.2026</c:v>
                </c:pt>
              </c:strCache>
            </c:strRef>
          </c:cat>
          <c:val>
            <c:numRef>
              <c:f>БВ_по_неделям!$B$5:$B$10</c:f>
              <c:numCache>
                <c:formatCode>0%</c:formatCode>
                <c:ptCount val="5"/>
                <c:pt idx="0">
                  <c:v>0.6607142857142857</c:v>
                </c:pt>
                <c:pt idx="1">
                  <c:v>0.44769047619047614</c:v>
                </c:pt>
                <c:pt idx="2">
                  <c:v>0.19531428571428569</c:v>
                </c:pt>
                <c:pt idx="3">
                  <c:v>0.38373095238095234</c:v>
                </c:pt>
                <c:pt idx="4">
                  <c:v>0.47553571428571423</c:v>
                </c:pt>
              </c:numCache>
            </c:numRef>
          </c:val>
          <c:extLst>
            <c:ext xmlns:c16="http://schemas.microsoft.com/office/drawing/2014/chart" uri="{C3380CC4-5D6E-409C-BE32-E72D297353CC}">
              <c16:uniqueId val="{00000000-5BB7-41F6-A5D7-E2C1C4879188}"/>
            </c:ext>
          </c:extLst>
        </c:ser>
        <c:ser>
          <c:idx val="1"/>
          <c:order val="1"/>
          <c:tx>
            <c:strRef>
              <c:f>БВ_по_неделям!$C$3:$C$4</c:f>
              <c:strCache>
                <c:ptCount val="1"/>
                <c:pt idx="0">
                  <c:v>ПНВ, % </c:v>
                </c:pt>
              </c:strCache>
            </c:strRef>
          </c:tx>
          <c:spPr>
            <a:solidFill>
              <a:srgbClr val="FFC000"/>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1000" b="0" i="0" strike="noStrike" kern="1200" baseline="0">
                    <a:solidFill>
                      <a:schemeClr val="tx1"/>
                    </a:solidFill>
                    <a:latin typeface="Century Gothic" panose="020B0502020202020204" pitchFamily="34" charset="0"/>
                    <a:ea typeface="+mn-ea"/>
                    <a:cs typeface="+mn-cs"/>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БВ_по_неделям!$A$5:$A$10</c:f>
              <c:strCache>
                <c:ptCount val="5"/>
                <c:pt idx="0">
                  <c:v>27.04.2026 - 03.05.2026</c:v>
                </c:pt>
                <c:pt idx="1">
                  <c:v>04.05.2026 - 10.05.2026</c:v>
                </c:pt>
                <c:pt idx="2">
                  <c:v>11.05.2026 - 17.05.2026</c:v>
                </c:pt>
                <c:pt idx="3">
                  <c:v>18.05.2026 - 24.05.2026</c:v>
                </c:pt>
                <c:pt idx="4">
                  <c:v>25.05.2026 - 31.05.2026</c:v>
                </c:pt>
              </c:strCache>
            </c:strRef>
          </c:cat>
          <c:val>
            <c:numRef>
              <c:f>БВ_по_неделям!$C$5:$C$10</c:f>
              <c:numCache>
                <c:formatCode>0%</c:formatCode>
                <c:ptCount val="5"/>
                <c:pt idx="0">
                  <c:v>0.125</c:v>
                </c:pt>
                <c:pt idx="1">
                  <c:v>0.51064285714285718</c:v>
                </c:pt>
                <c:pt idx="2">
                  <c:v>0.34635238095238097</c:v>
                </c:pt>
                <c:pt idx="3">
                  <c:v>0.34841190476190476</c:v>
                </c:pt>
                <c:pt idx="4">
                  <c:v>0.17922619047619048</c:v>
                </c:pt>
              </c:numCache>
            </c:numRef>
          </c:val>
          <c:extLst>
            <c:ext xmlns:c16="http://schemas.microsoft.com/office/drawing/2014/chart" uri="{C3380CC4-5D6E-409C-BE32-E72D297353CC}">
              <c16:uniqueId val="{00000001-5BB7-41F6-A5D7-E2C1C4879188}"/>
            </c:ext>
          </c:extLst>
        </c:ser>
        <c:ser>
          <c:idx val="2"/>
          <c:order val="2"/>
          <c:tx>
            <c:strRef>
              <c:f>БВ_по_неделям!$D$3:$D$4</c:f>
              <c:strCache>
                <c:ptCount val="1"/>
                <c:pt idx="0">
                  <c:v>НПВ, % </c:v>
                </c:pt>
              </c:strCache>
            </c:strRef>
          </c:tx>
          <c:spPr>
            <a:solidFill>
              <a:srgbClr val="C00000"/>
            </a:solidFill>
            <a:ln>
              <a:noFill/>
              <a:prstDash val="solid"/>
            </a:ln>
          </c:spPr>
          <c:invertIfNegative val="0"/>
          <c:dLbls>
            <c:spPr>
              <a:noFill/>
              <a:ln>
                <a:noFill/>
                <a:prstDash val="solid"/>
              </a:ln>
            </c:spPr>
            <c:txPr>
              <a:bodyPr rot="0" spcFirstLastPara="1" vertOverflow="ellipsis" vert="horz" wrap="square" anchor="ctr" anchorCtr="1"/>
              <a:lstStyle/>
              <a:p>
                <a:pPr>
                  <a:defRPr sz="1600" b="1" i="0" strike="noStrike" kern="1200" baseline="0">
                    <a:solidFill>
                      <a:schemeClr val="bg1">
                        <a:lumMod val="95000"/>
                      </a:schemeClr>
                    </a:solidFill>
                    <a:latin typeface="Century Gothic" panose="020B0502020202020204" pitchFamily="34" charset="0"/>
                    <a:ea typeface="+mn-ea"/>
                    <a:cs typeface="+mn-cs"/>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БВ_по_неделям!$A$5:$A$10</c:f>
              <c:strCache>
                <c:ptCount val="5"/>
                <c:pt idx="0">
                  <c:v>27.04.2026 - 03.05.2026</c:v>
                </c:pt>
                <c:pt idx="1">
                  <c:v>04.05.2026 - 10.05.2026</c:v>
                </c:pt>
                <c:pt idx="2">
                  <c:v>11.05.2026 - 17.05.2026</c:v>
                </c:pt>
                <c:pt idx="3">
                  <c:v>18.05.2026 - 24.05.2026</c:v>
                </c:pt>
                <c:pt idx="4">
                  <c:v>25.05.2026 - 31.05.2026</c:v>
                </c:pt>
              </c:strCache>
            </c:strRef>
          </c:cat>
          <c:val>
            <c:numRef>
              <c:f>БВ_по_неделям!$D$5:$D$10</c:f>
              <c:numCache>
                <c:formatCode>0%</c:formatCode>
                <c:ptCount val="5"/>
                <c:pt idx="0">
                  <c:v>0.21428571428571427</c:v>
                </c:pt>
                <c:pt idx="1">
                  <c:v>4.1666666666666664E-2</c:v>
                </c:pt>
                <c:pt idx="2">
                  <c:v>0.45833333333333331</c:v>
                </c:pt>
                <c:pt idx="3">
                  <c:v>0.26785714285714285</c:v>
                </c:pt>
                <c:pt idx="4">
                  <c:v>0.34523809523809523</c:v>
                </c:pt>
              </c:numCache>
            </c:numRef>
          </c:val>
          <c:extLst>
            <c:ext xmlns:c16="http://schemas.microsoft.com/office/drawing/2014/chart" uri="{C3380CC4-5D6E-409C-BE32-E72D297353CC}">
              <c16:uniqueId val="{00000002-5BB7-41F6-A5D7-E2C1C4879188}"/>
            </c:ext>
          </c:extLst>
        </c:ser>
        <c:dLbls>
          <c:dLblPos val="ctr"/>
          <c:showLegendKey val="0"/>
          <c:showVal val="1"/>
          <c:showCatName val="0"/>
          <c:showSerName val="0"/>
          <c:showPercent val="0"/>
          <c:showBubbleSize val="0"/>
        </c:dLbls>
        <c:gapWidth val="300"/>
        <c:overlap val="100"/>
        <c:axId val="192346111"/>
        <c:axId val="192344319"/>
      </c:barChart>
      <c:catAx>
        <c:axId val="192346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1000" b="0" i="0" strike="noStrike" kern="1200" baseline="0">
                <a:solidFill>
                  <a:schemeClr val="tx1"/>
                </a:solidFill>
                <a:latin typeface="Century Gothic" panose="020B0502020202020204" pitchFamily="34" charset="0"/>
                <a:ea typeface="+mn-ea"/>
                <a:cs typeface="+mn-cs"/>
              </a:defRPr>
            </a:pPr>
            <a:endParaRPr lang="ru-RU"/>
          </a:p>
        </c:txPr>
        <c:crossAx val="192344319"/>
        <c:crosses val="autoZero"/>
        <c:auto val="1"/>
        <c:lblAlgn val="ctr"/>
        <c:lblOffset val="100"/>
        <c:noMultiLvlLbl val="0"/>
      </c:catAx>
      <c:valAx>
        <c:axId val="192344319"/>
        <c:scaling>
          <c:orientation val="minMax"/>
        </c:scaling>
        <c:delete val="1"/>
        <c:axPos val="l"/>
        <c:numFmt formatCode="0%" sourceLinked="1"/>
        <c:majorTickMark val="out"/>
        <c:minorTickMark val="none"/>
        <c:tickLblPos val="nextTo"/>
        <c:crossAx val="192346111"/>
        <c:crosses val="autoZero"/>
        <c:crossBetween val="between"/>
        <c:majorUnit val="0.2"/>
      </c:valAx>
    </c:plotArea>
    <c:plotVisOnly val="1"/>
    <c:dispBlanksAs val="gap"/>
    <c:showDLblsOverMax val="1"/>
  </c:chart>
  <c:spPr>
    <a:solidFill>
      <a:schemeClr val="bg1">
        <a:lumMod val="95000"/>
      </a:schemeClr>
    </a:solidFill>
    <a:ln w="9525" cap="flat" cmpd="sng" algn="ctr">
      <a:noFill/>
      <a:prstDash val="solid"/>
      <a:round/>
    </a:ln>
  </c:sp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pivotSource>
    <c:name>[КРС-3 обнова планирование.xlsx]БВ_по_дням!БВ_по_дням</c:name>
    <c:fmtId val="4"/>
  </c:pivotSource>
  <c:chart>
    <c:title>
      <c:tx>
        <c:rich>
          <a:bodyPr rot="0" spcFirstLastPara="1" vertOverflow="ellipsis" vert="horz" wrap="square" anchor="ctr" anchorCtr="1"/>
          <a:lstStyle/>
          <a:p>
            <a:pPr>
              <a:defRPr sz="1400" b="0" i="0" strike="noStrike" kern="1200" spc="0" baseline="0">
                <a:solidFill>
                  <a:schemeClr val="tx1"/>
                </a:solidFill>
                <a:latin typeface="Century Gothic" panose="020B0502020202020204" pitchFamily="34" charset="0"/>
                <a:ea typeface="+mn-ea"/>
                <a:cs typeface="+mn-cs"/>
              </a:defRPr>
            </a:pPr>
            <a:r>
              <a:rPr lang="ru-RU" sz="1400" b="0" i="0" strike="noStrike" kern="1200" spc="0" baseline="0">
                <a:solidFill>
                  <a:sysClr val="windowText" lastClr="000000"/>
                </a:solidFill>
                <a:latin typeface="Century Gothic" panose="020B0502020202020204" pitchFamily="34" charset="0"/>
              </a:rPr>
              <a:t>ПВ, ПНВ, НПВ по дням строительства</a:t>
            </a:r>
          </a:p>
        </c:rich>
      </c:tx>
      <c:overlay val="0"/>
      <c:spPr>
        <a:noFill/>
        <a:ln>
          <a:noFill/>
          <a:prstDash val="solid"/>
        </a:ln>
      </c:spPr>
    </c:title>
    <c:autoTitleDeleted val="0"/>
    <c:pivotFmts>
      <c:pivotFmt>
        <c:idx val="0"/>
        <c:spPr>
          <a:solidFill>
            <a:srgbClr val="C00000"/>
          </a:solidFill>
          <a:ln>
            <a:noFill/>
            <a:prstDash val="solid"/>
          </a:ln>
        </c:spPr>
        <c:marker>
          <c:symbol val="none"/>
        </c:marker>
        <c:dLbl>
          <c:idx val="0"/>
          <c:spPr>
            <a:noFill/>
            <a:ln>
              <a:noFill/>
              <a:prstDash val="solid"/>
            </a:ln>
          </c:spPr>
          <c:txPr>
            <a:bodyPr rot="0" spcFirstLastPara="1" vertOverflow="ellipsis" vert="horz" wrap="square" anchor="ctr" anchorCtr="1"/>
            <a:lstStyle/>
            <a:p>
              <a:pPr>
                <a:defRPr sz="900" b="1" i="0" strike="noStrike" kern="1200" baseline="0">
                  <a:solidFill>
                    <a:schemeClr val="tx1"/>
                  </a:solidFill>
                  <a:latin typeface="Century Gothic" panose="020B0502020202020204" pitchFamily="34" charset="0"/>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prstDash val="solid"/>
          </a:ln>
        </c:spPr>
        <c:marker>
          <c:symbol val="none"/>
        </c:marker>
        <c:dLbl>
          <c:idx val="0"/>
          <c:spPr>
            <a:noFill/>
            <a:ln>
              <a:noFill/>
              <a:prstDash val="solid"/>
            </a:ln>
          </c:spPr>
          <c:txPr>
            <a:bodyPr rot="0" spcFirstLastPara="1" vertOverflow="ellipsis" vert="horz" wrap="square" anchor="ctr" anchorCtr="1"/>
            <a:lstStyle/>
            <a:p>
              <a:pPr>
                <a:defRPr sz="900" b="1" i="0" strike="noStrike" kern="1200" baseline="0">
                  <a:solidFill>
                    <a:schemeClr val="tx1"/>
                  </a:solidFill>
                  <a:latin typeface="Century Gothic" panose="020B0502020202020204" pitchFamily="34" charset="0"/>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prstDash val="solid"/>
          </a:ln>
        </c:spPr>
        <c:marker>
          <c:symbol val="none"/>
        </c:marker>
        <c:dLbl>
          <c:idx val="0"/>
          <c:spPr>
            <a:noFill/>
            <a:ln>
              <a:noFill/>
              <a:prstDash val="solid"/>
            </a:ln>
          </c:spPr>
          <c:txPr>
            <a:bodyPr rot="0" spcFirstLastPara="1" vertOverflow="ellipsis" vert="horz" wrap="square" anchor="ctr" anchorCtr="1"/>
            <a:lstStyle/>
            <a:p>
              <a:pPr>
                <a:defRPr sz="900" b="1" i="0" strike="noStrike" kern="1200" baseline="0">
                  <a:solidFill>
                    <a:schemeClr val="tx1"/>
                  </a:solidFill>
                  <a:latin typeface="Century Gothic" panose="020B0502020202020204" pitchFamily="34" charset="0"/>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70AD47"/>
          </a:solidFill>
          <a:ln>
            <a:noFill/>
            <a:prstDash val="solid"/>
          </a:ln>
        </c:spPr>
        <c:marker>
          <c:symbol val="none"/>
        </c:marker>
        <c:dLbl>
          <c:idx val="0"/>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FFC000"/>
          </a:solidFill>
          <a:ln>
            <a:noFill/>
            <a:prstDash val="solid"/>
          </a:ln>
        </c:spPr>
        <c:marker>
          <c:symbol val="none"/>
        </c:marker>
        <c:dLbl>
          <c:idx val="0"/>
          <c:showLegendKey val="1"/>
          <c:showVal val="1"/>
          <c:showCatName val="1"/>
          <c:showSerName val="1"/>
          <c:showPercent val="1"/>
          <c:showBubbleSize val="1"/>
          <c:extLst>
            <c:ext xmlns:c15="http://schemas.microsoft.com/office/drawing/2012/chart" uri="{CE6537A1-D6FC-4f65-9D91-7224C49458BB}"/>
          </c:extLst>
        </c:dLbl>
      </c:pivotFmt>
      <c:pivotFmt>
        <c:idx val="5"/>
        <c:spPr>
          <a:solidFill>
            <a:srgbClr val="C00000"/>
          </a:solidFill>
          <a:ln>
            <a:noFill/>
            <a:prstDash val="solid"/>
          </a:ln>
        </c:spPr>
        <c:marker>
          <c:symbol val="none"/>
        </c:marker>
        <c:dLbl>
          <c:idx val="0"/>
          <c:showLegendKey val="1"/>
          <c:showVal val="1"/>
          <c:showCatName val="1"/>
          <c:showSerName val="1"/>
          <c:showPercent val="1"/>
          <c:showBubbleSize val="1"/>
          <c:extLst>
            <c:ext xmlns:c15="http://schemas.microsoft.com/office/drawing/2012/chart" uri="{CE6537A1-D6FC-4f65-9D91-7224C49458BB}"/>
          </c:extLst>
        </c:dLbl>
      </c:pivotFmt>
      <c:pivotFmt>
        <c:idx val="6"/>
        <c:spPr>
          <a:solidFill>
            <a:srgbClr val="70AD47"/>
          </a:solidFill>
          <a:ln>
            <a:noFill/>
            <a:prstDash val="solid"/>
          </a:ln>
        </c:spPr>
        <c:marker>
          <c:symbol val="none"/>
        </c:marker>
        <c:dLbl>
          <c:idx val="0"/>
          <c:delete val="1"/>
          <c:extLst>
            <c:ext xmlns:c15="http://schemas.microsoft.com/office/drawing/2012/chart" uri="{CE6537A1-D6FC-4f65-9D91-7224C49458BB}"/>
          </c:extLst>
        </c:dLbl>
      </c:pivotFmt>
      <c:pivotFmt>
        <c:idx val="7"/>
        <c:spPr>
          <a:solidFill>
            <a:srgbClr val="FFC000"/>
          </a:solidFill>
          <a:ln>
            <a:noFill/>
            <a:prstDash val="solid"/>
          </a:ln>
        </c:spPr>
        <c:marker>
          <c:symbol val="none"/>
        </c:marker>
        <c:dLbl>
          <c:idx val="0"/>
          <c:delete val="1"/>
          <c:extLst>
            <c:ext xmlns:c15="http://schemas.microsoft.com/office/drawing/2012/chart" uri="{CE6537A1-D6FC-4f65-9D91-7224C49458BB}"/>
          </c:extLst>
        </c:dLbl>
      </c:pivotFmt>
      <c:pivotFmt>
        <c:idx val="8"/>
        <c:spPr>
          <a:solidFill>
            <a:srgbClr val="C00000"/>
          </a:solidFill>
          <a:ln>
            <a:noFill/>
            <a:prstDash val="solid"/>
          </a:ln>
        </c:spPr>
        <c:marker>
          <c:symbol val="none"/>
        </c:marker>
        <c:dLbl>
          <c:idx val="0"/>
          <c:delete val="1"/>
          <c:extLst>
            <c:ext xmlns:c15="http://schemas.microsoft.com/office/drawing/2012/chart" uri="{CE6537A1-D6FC-4f65-9D91-7224C49458BB}"/>
          </c:extLst>
        </c:dLbl>
      </c:pivotFmt>
    </c:pivotFmts>
    <c:plotArea>
      <c:layout/>
      <c:barChart>
        <c:barDir val="col"/>
        <c:grouping val="percentStacked"/>
        <c:varyColors val="0"/>
        <c:ser>
          <c:idx val="0"/>
          <c:order val="0"/>
          <c:tx>
            <c:strRef>
              <c:f>БВ_по_дням!$B$3:$B$4</c:f>
              <c:strCache>
                <c:ptCount val="1"/>
                <c:pt idx="0">
                  <c:v>Сумма по полю ПВ</c:v>
                </c:pt>
              </c:strCache>
            </c:strRef>
          </c:tx>
          <c:spPr>
            <a:solidFill>
              <a:srgbClr val="70AD47"/>
            </a:solidFill>
            <a:ln>
              <a:noFill/>
              <a:prstDash val="solid"/>
            </a:ln>
          </c:spPr>
          <c:invertIfNegative val="0"/>
          <c:cat>
            <c:multiLvlStrRef>
              <c:f>БВ_по_дням!$A$5:$A$67</c:f>
              <c:multiLvlStrCache>
                <c:ptCount val="58"/>
                <c:lvl>
                  <c:pt idx="0">
                    <c:v>15 мая 2026 г.</c:v>
                  </c:pt>
                  <c:pt idx="1">
                    <c:v>16 мая 2026 г.</c:v>
                  </c:pt>
                  <c:pt idx="2">
                    <c:v>17 мая 2026 г.</c:v>
                  </c:pt>
                  <c:pt idx="3">
                    <c:v>18 мая 2026 г.</c:v>
                  </c:pt>
                  <c:pt idx="4">
                    <c:v>20 мая 2026 г.</c:v>
                  </c:pt>
                  <c:pt idx="5">
                    <c:v>21 мая 2026 г.</c:v>
                  </c:pt>
                  <c:pt idx="6">
                    <c:v>22 мая 2026 г.</c:v>
                  </c:pt>
                  <c:pt idx="7">
                    <c:v>24 мая 2026 г.</c:v>
                  </c:pt>
                  <c:pt idx="8">
                    <c:v>25 мая 2026 г.</c:v>
                  </c:pt>
                  <c:pt idx="9">
                    <c:v>26 мая 2026 г.</c:v>
                  </c:pt>
                  <c:pt idx="10">
                    <c:v>27 мая 2026 г.</c:v>
                  </c:pt>
                  <c:pt idx="11">
                    <c:v>28 мая 2026 г.</c:v>
                  </c:pt>
                  <c:pt idx="12">
                    <c:v>29 мая 2026 г.</c:v>
                  </c:pt>
                  <c:pt idx="13">
                    <c:v>30 мая 2026 г.</c:v>
                  </c:pt>
                  <c:pt idx="14">
                    <c:v>31 мая 2026 г.</c:v>
                  </c:pt>
                  <c:pt idx="15">
                    <c:v>20 мая 2026 г.</c:v>
                  </c:pt>
                  <c:pt idx="16">
                    <c:v>21 мая 2026 г.</c:v>
                  </c:pt>
                  <c:pt idx="17">
                    <c:v>22 мая 2026 г.</c:v>
                  </c:pt>
                  <c:pt idx="18">
                    <c:v>23 мая 2026 г.</c:v>
                  </c:pt>
                  <c:pt idx="19">
                    <c:v>24 мая 2026 г.</c:v>
                  </c:pt>
                  <c:pt idx="20">
                    <c:v>25 мая 2026 г.</c:v>
                  </c:pt>
                  <c:pt idx="21">
                    <c:v>26 мая 2026 г.</c:v>
                  </c:pt>
                  <c:pt idx="22">
                    <c:v>27 мая 2026 г.</c:v>
                  </c:pt>
                  <c:pt idx="23">
                    <c:v>28 мая 2026 г.</c:v>
                  </c:pt>
                  <c:pt idx="24">
                    <c:v>29 мая 2026 г.</c:v>
                  </c:pt>
                  <c:pt idx="25">
                    <c:v>30 мая 2026 г.</c:v>
                  </c:pt>
                  <c:pt idx="26">
                    <c:v>31 мая 2026 г.</c:v>
                  </c:pt>
                  <c:pt idx="27">
                    <c:v>03 мая 2026 г.</c:v>
                  </c:pt>
                  <c:pt idx="28">
                    <c:v>04 мая 2026 г.</c:v>
                  </c:pt>
                  <c:pt idx="29">
                    <c:v>05 мая 2026 г.</c:v>
                  </c:pt>
                  <c:pt idx="30">
                    <c:v>06 мая 2026 г.</c:v>
                  </c:pt>
                  <c:pt idx="31">
                    <c:v>07 мая 2026 г.</c:v>
                  </c:pt>
                  <c:pt idx="32">
                    <c:v>08 мая 2026 г.</c:v>
                  </c:pt>
                  <c:pt idx="33">
                    <c:v>09 мая 2026 г.</c:v>
                  </c:pt>
                  <c:pt idx="34">
                    <c:v>10 мая 2026 г.</c:v>
                  </c:pt>
                  <c:pt idx="35">
                    <c:v>11 мая 2026 г.</c:v>
                  </c:pt>
                  <c:pt idx="36">
                    <c:v>12 мая 2026 г.</c:v>
                  </c:pt>
                  <c:pt idx="37">
                    <c:v>13 мая 2026 г.</c:v>
                  </c:pt>
                  <c:pt idx="38">
                    <c:v>14 мая 2026 г.</c:v>
                  </c:pt>
                  <c:pt idx="39">
                    <c:v>15 мая 2026 г.</c:v>
                  </c:pt>
                  <c:pt idx="40">
                    <c:v>16 мая 2026 г.</c:v>
                  </c:pt>
                  <c:pt idx="41">
                    <c:v>17 мая 2026 г.</c:v>
                  </c:pt>
                  <c:pt idx="42">
                    <c:v>18 мая 2026 г.</c:v>
                  </c:pt>
                  <c:pt idx="43">
                    <c:v>19 мая 2026 г.</c:v>
                  </c:pt>
                  <c:pt idx="44">
                    <c:v>20 мая 2026 г.</c:v>
                  </c:pt>
                  <c:pt idx="45">
                    <c:v>02 мая 2026 г.</c:v>
                  </c:pt>
                  <c:pt idx="46">
                    <c:v>03 мая 2026 г.</c:v>
                  </c:pt>
                  <c:pt idx="47">
                    <c:v>04 мая 2026 г.</c:v>
                  </c:pt>
                  <c:pt idx="48">
                    <c:v>05 мая 2026 г.</c:v>
                  </c:pt>
                  <c:pt idx="49">
                    <c:v>06 мая 2026 г.</c:v>
                  </c:pt>
                  <c:pt idx="50">
                    <c:v>07 мая 2026 г.</c:v>
                  </c:pt>
                  <c:pt idx="51">
                    <c:v>08 мая 2026 г.</c:v>
                  </c:pt>
                  <c:pt idx="52">
                    <c:v>09 мая 2026 г.</c:v>
                  </c:pt>
                  <c:pt idx="53">
                    <c:v>10 мая 2026 г.</c:v>
                  </c:pt>
                  <c:pt idx="54">
                    <c:v>11 мая 2026 г.</c:v>
                  </c:pt>
                  <c:pt idx="55">
                    <c:v>12 мая 2026 г.</c:v>
                  </c:pt>
                  <c:pt idx="56">
                    <c:v>13 мая 2026 г.</c:v>
                  </c:pt>
                  <c:pt idx="57">
                    <c:v>14 мая 2026 г.</c:v>
                  </c:pt>
                </c:lvl>
                <c:lvl>
                  <c:pt idx="0">
                    <c:v>Тарасов А.С.</c:v>
                  </c:pt>
                  <c:pt idx="15">
                    <c:v>Епифанов Д.Б.</c:v>
                  </c:pt>
                  <c:pt idx="27">
                    <c:v>Жабин П.П.</c:v>
                  </c:pt>
                  <c:pt idx="45">
                    <c:v>Вдовин И.О.</c:v>
                  </c:pt>
                </c:lvl>
              </c:multiLvlStrCache>
            </c:multiLvlStrRef>
          </c:cat>
          <c:val>
            <c:numRef>
              <c:f>БВ_по_дням!$B$5:$B$67</c:f>
              <c:numCache>
                <c:formatCode>0</c:formatCode>
                <c:ptCount val="58"/>
                <c:pt idx="0">
                  <c:v>0.97440000000000015</c:v>
                </c:pt>
                <c:pt idx="1">
                  <c:v>4.84</c:v>
                </c:pt>
                <c:pt idx="2">
                  <c:v>0</c:v>
                </c:pt>
                <c:pt idx="3">
                  <c:v>8</c:v>
                </c:pt>
                <c:pt idx="4">
                  <c:v>3.0199999999999996</c:v>
                </c:pt>
                <c:pt idx="5">
                  <c:v>8.9980000000000011</c:v>
                </c:pt>
                <c:pt idx="6">
                  <c:v>10.868799999999998</c:v>
                </c:pt>
                <c:pt idx="7">
                  <c:v>15.71</c:v>
                </c:pt>
                <c:pt idx="8">
                  <c:v>8.11</c:v>
                </c:pt>
                <c:pt idx="9">
                  <c:v>3.64</c:v>
                </c:pt>
                <c:pt idx="10">
                  <c:v>8.1900000000000013</c:v>
                </c:pt>
                <c:pt idx="11">
                  <c:v>7</c:v>
                </c:pt>
                <c:pt idx="12">
                  <c:v>2.5</c:v>
                </c:pt>
                <c:pt idx="13">
                  <c:v>14.5</c:v>
                </c:pt>
                <c:pt idx="14">
                  <c:v>4</c:v>
                </c:pt>
                <c:pt idx="15">
                  <c:v>0</c:v>
                </c:pt>
                <c:pt idx="16">
                  <c:v>2</c:v>
                </c:pt>
                <c:pt idx="17">
                  <c:v>10</c:v>
                </c:pt>
                <c:pt idx="18">
                  <c:v>0</c:v>
                </c:pt>
                <c:pt idx="19">
                  <c:v>0.87000000000000011</c:v>
                </c:pt>
                <c:pt idx="20">
                  <c:v>3.5500000000000007</c:v>
                </c:pt>
                <c:pt idx="21">
                  <c:v>0.97</c:v>
                </c:pt>
                <c:pt idx="22">
                  <c:v>0</c:v>
                </c:pt>
                <c:pt idx="23">
                  <c:v>8</c:v>
                </c:pt>
                <c:pt idx="24">
                  <c:v>5.43</c:v>
                </c:pt>
                <c:pt idx="25">
                  <c:v>6</c:v>
                </c:pt>
                <c:pt idx="26">
                  <c:v>8</c:v>
                </c:pt>
                <c:pt idx="27">
                  <c:v>6.41</c:v>
                </c:pt>
                <c:pt idx="28">
                  <c:v>1.48</c:v>
                </c:pt>
                <c:pt idx="29">
                  <c:v>6.83</c:v>
                </c:pt>
                <c:pt idx="30">
                  <c:v>10.93</c:v>
                </c:pt>
                <c:pt idx="31">
                  <c:v>7</c:v>
                </c:pt>
                <c:pt idx="32">
                  <c:v>0</c:v>
                </c:pt>
                <c:pt idx="33">
                  <c:v>0</c:v>
                </c:pt>
                <c:pt idx="34">
                  <c:v>0</c:v>
                </c:pt>
                <c:pt idx="35">
                  <c:v>8.8817841970012523E-16</c:v>
                </c:pt>
                <c:pt idx="36">
                  <c:v>0.50399999999999956</c:v>
                </c:pt>
                <c:pt idx="37">
                  <c:v>0</c:v>
                </c:pt>
                <c:pt idx="38">
                  <c:v>7</c:v>
                </c:pt>
                <c:pt idx="39">
                  <c:v>8.8817841970012523E-16</c:v>
                </c:pt>
                <c:pt idx="40">
                  <c:v>0</c:v>
                </c:pt>
                <c:pt idx="41">
                  <c:v>0</c:v>
                </c:pt>
                <c:pt idx="42">
                  <c:v>0</c:v>
                </c:pt>
                <c:pt idx="43">
                  <c:v>0</c:v>
                </c:pt>
                <c:pt idx="44">
                  <c:v>5</c:v>
                </c:pt>
                <c:pt idx="45">
                  <c:v>4</c:v>
                </c:pt>
                <c:pt idx="46">
                  <c:v>8.09</c:v>
                </c:pt>
                <c:pt idx="47">
                  <c:v>11.96</c:v>
                </c:pt>
                <c:pt idx="48">
                  <c:v>12.559999999999999</c:v>
                </c:pt>
                <c:pt idx="49">
                  <c:v>2.5</c:v>
                </c:pt>
                <c:pt idx="50">
                  <c:v>6.9699999999999989</c:v>
                </c:pt>
                <c:pt idx="51">
                  <c:v>0</c:v>
                </c:pt>
                <c:pt idx="52">
                  <c:v>8.94</c:v>
                </c:pt>
                <c:pt idx="53">
                  <c:v>6.0419999999999989</c:v>
                </c:pt>
                <c:pt idx="54">
                  <c:v>0.45440000000000014</c:v>
                </c:pt>
                <c:pt idx="55">
                  <c:v>0</c:v>
                </c:pt>
                <c:pt idx="56">
                  <c:v>9.74</c:v>
                </c:pt>
                <c:pt idx="57">
                  <c:v>9.3000000000000007</c:v>
                </c:pt>
              </c:numCache>
            </c:numRef>
          </c:val>
          <c:extLst>
            <c:ext xmlns:c16="http://schemas.microsoft.com/office/drawing/2014/chart" uri="{C3380CC4-5D6E-409C-BE32-E72D297353CC}">
              <c16:uniqueId val="{00000000-3E27-466A-8CC4-015178B4F4A3}"/>
            </c:ext>
          </c:extLst>
        </c:ser>
        <c:ser>
          <c:idx val="1"/>
          <c:order val="1"/>
          <c:tx>
            <c:strRef>
              <c:f>БВ_по_дням!$C$3:$C$4</c:f>
              <c:strCache>
                <c:ptCount val="1"/>
                <c:pt idx="0">
                  <c:v>Сумма по полю ПНВ</c:v>
                </c:pt>
              </c:strCache>
            </c:strRef>
          </c:tx>
          <c:spPr>
            <a:solidFill>
              <a:srgbClr val="FFC000"/>
            </a:solidFill>
            <a:ln>
              <a:noFill/>
              <a:prstDash val="solid"/>
            </a:ln>
          </c:spPr>
          <c:invertIfNegative val="0"/>
          <c:cat>
            <c:multiLvlStrRef>
              <c:f>БВ_по_дням!$A$5:$A$67</c:f>
              <c:multiLvlStrCache>
                <c:ptCount val="58"/>
                <c:lvl>
                  <c:pt idx="0">
                    <c:v>15 мая 2026 г.</c:v>
                  </c:pt>
                  <c:pt idx="1">
                    <c:v>16 мая 2026 г.</c:v>
                  </c:pt>
                  <c:pt idx="2">
                    <c:v>17 мая 2026 г.</c:v>
                  </c:pt>
                  <c:pt idx="3">
                    <c:v>18 мая 2026 г.</c:v>
                  </c:pt>
                  <c:pt idx="4">
                    <c:v>20 мая 2026 г.</c:v>
                  </c:pt>
                  <c:pt idx="5">
                    <c:v>21 мая 2026 г.</c:v>
                  </c:pt>
                  <c:pt idx="6">
                    <c:v>22 мая 2026 г.</c:v>
                  </c:pt>
                  <c:pt idx="7">
                    <c:v>24 мая 2026 г.</c:v>
                  </c:pt>
                  <c:pt idx="8">
                    <c:v>25 мая 2026 г.</c:v>
                  </c:pt>
                  <c:pt idx="9">
                    <c:v>26 мая 2026 г.</c:v>
                  </c:pt>
                  <c:pt idx="10">
                    <c:v>27 мая 2026 г.</c:v>
                  </c:pt>
                  <c:pt idx="11">
                    <c:v>28 мая 2026 г.</c:v>
                  </c:pt>
                  <c:pt idx="12">
                    <c:v>29 мая 2026 г.</c:v>
                  </c:pt>
                  <c:pt idx="13">
                    <c:v>30 мая 2026 г.</c:v>
                  </c:pt>
                  <c:pt idx="14">
                    <c:v>31 мая 2026 г.</c:v>
                  </c:pt>
                  <c:pt idx="15">
                    <c:v>20 мая 2026 г.</c:v>
                  </c:pt>
                  <c:pt idx="16">
                    <c:v>21 мая 2026 г.</c:v>
                  </c:pt>
                  <c:pt idx="17">
                    <c:v>22 мая 2026 г.</c:v>
                  </c:pt>
                  <c:pt idx="18">
                    <c:v>23 мая 2026 г.</c:v>
                  </c:pt>
                  <c:pt idx="19">
                    <c:v>24 мая 2026 г.</c:v>
                  </c:pt>
                  <c:pt idx="20">
                    <c:v>25 мая 2026 г.</c:v>
                  </c:pt>
                  <c:pt idx="21">
                    <c:v>26 мая 2026 г.</c:v>
                  </c:pt>
                  <c:pt idx="22">
                    <c:v>27 мая 2026 г.</c:v>
                  </c:pt>
                  <c:pt idx="23">
                    <c:v>28 мая 2026 г.</c:v>
                  </c:pt>
                  <c:pt idx="24">
                    <c:v>29 мая 2026 г.</c:v>
                  </c:pt>
                  <c:pt idx="25">
                    <c:v>30 мая 2026 г.</c:v>
                  </c:pt>
                  <c:pt idx="26">
                    <c:v>31 мая 2026 г.</c:v>
                  </c:pt>
                  <c:pt idx="27">
                    <c:v>03 мая 2026 г.</c:v>
                  </c:pt>
                  <c:pt idx="28">
                    <c:v>04 мая 2026 г.</c:v>
                  </c:pt>
                  <c:pt idx="29">
                    <c:v>05 мая 2026 г.</c:v>
                  </c:pt>
                  <c:pt idx="30">
                    <c:v>06 мая 2026 г.</c:v>
                  </c:pt>
                  <c:pt idx="31">
                    <c:v>07 мая 2026 г.</c:v>
                  </c:pt>
                  <c:pt idx="32">
                    <c:v>08 мая 2026 г.</c:v>
                  </c:pt>
                  <c:pt idx="33">
                    <c:v>09 мая 2026 г.</c:v>
                  </c:pt>
                  <c:pt idx="34">
                    <c:v>10 мая 2026 г.</c:v>
                  </c:pt>
                  <c:pt idx="35">
                    <c:v>11 мая 2026 г.</c:v>
                  </c:pt>
                  <c:pt idx="36">
                    <c:v>12 мая 2026 г.</c:v>
                  </c:pt>
                  <c:pt idx="37">
                    <c:v>13 мая 2026 г.</c:v>
                  </c:pt>
                  <c:pt idx="38">
                    <c:v>14 мая 2026 г.</c:v>
                  </c:pt>
                  <c:pt idx="39">
                    <c:v>15 мая 2026 г.</c:v>
                  </c:pt>
                  <c:pt idx="40">
                    <c:v>16 мая 2026 г.</c:v>
                  </c:pt>
                  <c:pt idx="41">
                    <c:v>17 мая 2026 г.</c:v>
                  </c:pt>
                  <c:pt idx="42">
                    <c:v>18 мая 2026 г.</c:v>
                  </c:pt>
                  <c:pt idx="43">
                    <c:v>19 мая 2026 г.</c:v>
                  </c:pt>
                  <c:pt idx="44">
                    <c:v>20 мая 2026 г.</c:v>
                  </c:pt>
                  <c:pt idx="45">
                    <c:v>02 мая 2026 г.</c:v>
                  </c:pt>
                  <c:pt idx="46">
                    <c:v>03 мая 2026 г.</c:v>
                  </c:pt>
                  <c:pt idx="47">
                    <c:v>04 мая 2026 г.</c:v>
                  </c:pt>
                  <c:pt idx="48">
                    <c:v>05 мая 2026 г.</c:v>
                  </c:pt>
                  <c:pt idx="49">
                    <c:v>06 мая 2026 г.</c:v>
                  </c:pt>
                  <c:pt idx="50">
                    <c:v>07 мая 2026 г.</c:v>
                  </c:pt>
                  <c:pt idx="51">
                    <c:v>08 мая 2026 г.</c:v>
                  </c:pt>
                  <c:pt idx="52">
                    <c:v>09 мая 2026 г.</c:v>
                  </c:pt>
                  <c:pt idx="53">
                    <c:v>10 мая 2026 г.</c:v>
                  </c:pt>
                  <c:pt idx="54">
                    <c:v>11 мая 2026 г.</c:v>
                  </c:pt>
                  <c:pt idx="55">
                    <c:v>12 мая 2026 г.</c:v>
                  </c:pt>
                  <c:pt idx="56">
                    <c:v>13 мая 2026 г.</c:v>
                  </c:pt>
                  <c:pt idx="57">
                    <c:v>14 мая 2026 г.</c:v>
                  </c:pt>
                </c:lvl>
                <c:lvl>
                  <c:pt idx="0">
                    <c:v>Тарасов А.С.</c:v>
                  </c:pt>
                  <c:pt idx="15">
                    <c:v>Епифанов Д.Б.</c:v>
                  </c:pt>
                  <c:pt idx="27">
                    <c:v>Жабин П.П.</c:v>
                  </c:pt>
                  <c:pt idx="45">
                    <c:v>Вдовин И.О.</c:v>
                  </c:pt>
                </c:lvl>
              </c:multiLvlStrCache>
            </c:multiLvlStrRef>
          </c:cat>
          <c:val>
            <c:numRef>
              <c:f>БВ_по_дням!$C$5:$C$67</c:f>
              <c:numCache>
                <c:formatCode>0</c:formatCode>
                <c:ptCount val="58"/>
                <c:pt idx="0">
                  <c:v>4.0255999999999998</c:v>
                </c:pt>
                <c:pt idx="1">
                  <c:v>3.16</c:v>
                </c:pt>
                <c:pt idx="2">
                  <c:v>0</c:v>
                </c:pt>
                <c:pt idx="3">
                  <c:v>0</c:v>
                </c:pt>
                <c:pt idx="4">
                  <c:v>8.98</c:v>
                </c:pt>
                <c:pt idx="5">
                  <c:v>3.0019999999999998</c:v>
                </c:pt>
                <c:pt idx="6">
                  <c:v>3.1312000000000015</c:v>
                </c:pt>
                <c:pt idx="7">
                  <c:v>0.29000000000000004</c:v>
                </c:pt>
                <c:pt idx="8">
                  <c:v>2.3900000000000006</c:v>
                </c:pt>
                <c:pt idx="9">
                  <c:v>0.35999999999999988</c:v>
                </c:pt>
                <c:pt idx="10">
                  <c:v>5.81</c:v>
                </c:pt>
                <c:pt idx="11">
                  <c:v>0</c:v>
                </c:pt>
                <c:pt idx="12">
                  <c:v>0</c:v>
                </c:pt>
                <c:pt idx="13">
                  <c:v>0</c:v>
                </c:pt>
                <c:pt idx="14">
                  <c:v>0</c:v>
                </c:pt>
                <c:pt idx="15">
                  <c:v>2</c:v>
                </c:pt>
                <c:pt idx="16">
                  <c:v>10</c:v>
                </c:pt>
                <c:pt idx="17">
                  <c:v>0</c:v>
                </c:pt>
                <c:pt idx="18">
                  <c:v>24</c:v>
                </c:pt>
                <c:pt idx="19">
                  <c:v>7.13</c:v>
                </c:pt>
                <c:pt idx="20">
                  <c:v>4.4499999999999993</c:v>
                </c:pt>
                <c:pt idx="21">
                  <c:v>1.03</c:v>
                </c:pt>
                <c:pt idx="22">
                  <c:v>0</c:v>
                </c:pt>
                <c:pt idx="23">
                  <c:v>0</c:v>
                </c:pt>
                <c:pt idx="24">
                  <c:v>16.07</c:v>
                </c:pt>
                <c:pt idx="25">
                  <c:v>0</c:v>
                </c:pt>
                <c:pt idx="26">
                  <c:v>0</c:v>
                </c:pt>
                <c:pt idx="27">
                  <c:v>0.33999999999999986</c:v>
                </c:pt>
                <c:pt idx="28">
                  <c:v>3.52</c:v>
                </c:pt>
                <c:pt idx="29">
                  <c:v>0</c:v>
                </c:pt>
                <c:pt idx="30">
                  <c:v>6.07</c:v>
                </c:pt>
                <c:pt idx="31">
                  <c:v>0</c:v>
                </c:pt>
                <c:pt idx="32">
                  <c:v>7</c:v>
                </c:pt>
                <c:pt idx="33">
                  <c:v>7</c:v>
                </c:pt>
                <c:pt idx="34">
                  <c:v>7</c:v>
                </c:pt>
                <c:pt idx="35">
                  <c:v>6.9999999999999991</c:v>
                </c:pt>
                <c:pt idx="36">
                  <c:v>6.4960000000000004</c:v>
                </c:pt>
                <c:pt idx="37">
                  <c:v>0</c:v>
                </c:pt>
                <c:pt idx="38">
                  <c:v>0</c:v>
                </c:pt>
                <c:pt idx="39">
                  <c:v>6.9999999999999991</c:v>
                </c:pt>
                <c:pt idx="40">
                  <c:v>0</c:v>
                </c:pt>
                <c:pt idx="41">
                  <c:v>0</c:v>
                </c:pt>
                <c:pt idx="42">
                  <c:v>0</c:v>
                </c:pt>
                <c:pt idx="43">
                  <c:v>0</c:v>
                </c:pt>
                <c:pt idx="44">
                  <c:v>0</c:v>
                </c:pt>
                <c:pt idx="45">
                  <c:v>0</c:v>
                </c:pt>
                <c:pt idx="46">
                  <c:v>3.16</c:v>
                </c:pt>
                <c:pt idx="47">
                  <c:v>4.04</c:v>
                </c:pt>
                <c:pt idx="48">
                  <c:v>4.6100000000000003</c:v>
                </c:pt>
                <c:pt idx="49">
                  <c:v>4.5</c:v>
                </c:pt>
                <c:pt idx="50">
                  <c:v>10.030000000000001</c:v>
                </c:pt>
                <c:pt idx="51">
                  <c:v>17</c:v>
                </c:pt>
                <c:pt idx="52">
                  <c:v>4.0600000000000005</c:v>
                </c:pt>
                <c:pt idx="53">
                  <c:v>10.958000000000002</c:v>
                </c:pt>
                <c:pt idx="54">
                  <c:v>16.5456</c:v>
                </c:pt>
                <c:pt idx="55">
                  <c:v>8</c:v>
                </c:pt>
                <c:pt idx="56">
                  <c:v>2.2599999999999998</c:v>
                </c:pt>
                <c:pt idx="57">
                  <c:v>3.7</c:v>
                </c:pt>
              </c:numCache>
            </c:numRef>
          </c:val>
          <c:extLst>
            <c:ext xmlns:c16="http://schemas.microsoft.com/office/drawing/2014/chart" uri="{C3380CC4-5D6E-409C-BE32-E72D297353CC}">
              <c16:uniqueId val="{00000001-3E27-466A-8CC4-015178B4F4A3}"/>
            </c:ext>
          </c:extLst>
        </c:ser>
        <c:ser>
          <c:idx val="2"/>
          <c:order val="2"/>
          <c:tx>
            <c:strRef>
              <c:f>БВ_по_дням!$D$3:$D$4</c:f>
              <c:strCache>
                <c:ptCount val="1"/>
                <c:pt idx="0">
                  <c:v>Сумма по полю НПВ</c:v>
                </c:pt>
              </c:strCache>
            </c:strRef>
          </c:tx>
          <c:spPr>
            <a:solidFill>
              <a:srgbClr val="C00000"/>
            </a:solidFill>
            <a:ln>
              <a:noFill/>
              <a:prstDash val="solid"/>
            </a:ln>
          </c:spPr>
          <c:invertIfNegative val="0"/>
          <c:cat>
            <c:multiLvlStrRef>
              <c:f>БВ_по_дням!$A$5:$A$67</c:f>
              <c:multiLvlStrCache>
                <c:ptCount val="58"/>
                <c:lvl>
                  <c:pt idx="0">
                    <c:v>15 мая 2026 г.</c:v>
                  </c:pt>
                  <c:pt idx="1">
                    <c:v>16 мая 2026 г.</c:v>
                  </c:pt>
                  <c:pt idx="2">
                    <c:v>17 мая 2026 г.</c:v>
                  </c:pt>
                  <c:pt idx="3">
                    <c:v>18 мая 2026 г.</c:v>
                  </c:pt>
                  <c:pt idx="4">
                    <c:v>20 мая 2026 г.</c:v>
                  </c:pt>
                  <c:pt idx="5">
                    <c:v>21 мая 2026 г.</c:v>
                  </c:pt>
                  <c:pt idx="6">
                    <c:v>22 мая 2026 г.</c:v>
                  </c:pt>
                  <c:pt idx="7">
                    <c:v>24 мая 2026 г.</c:v>
                  </c:pt>
                  <c:pt idx="8">
                    <c:v>25 мая 2026 г.</c:v>
                  </c:pt>
                  <c:pt idx="9">
                    <c:v>26 мая 2026 г.</c:v>
                  </c:pt>
                  <c:pt idx="10">
                    <c:v>27 мая 2026 г.</c:v>
                  </c:pt>
                  <c:pt idx="11">
                    <c:v>28 мая 2026 г.</c:v>
                  </c:pt>
                  <c:pt idx="12">
                    <c:v>29 мая 2026 г.</c:v>
                  </c:pt>
                  <c:pt idx="13">
                    <c:v>30 мая 2026 г.</c:v>
                  </c:pt>
                  <c:pt idx="14">
                    <c:v>31 мая 2026 г.</c:v>
                  </c:pt>
                  <c:pt idx="15">
                    <c:v>20 мая 2026 г.</c:v>
                  </c:pt>
                  <c:pt idx="16">
                    <c:v>21 мая 2026 г.</c:v>
                  </c:pt>
                  <c:pt idx="17">
                    <c:v>22 мая 2026 г.</c:v>
                  </c:pt>
                  <c:pt idx="18">
                    <c:v>23 мая 2026 г.</c:v>
                  </c:pt>
                  <c:pt idx="19">
                    <c:v>24 мая 2026 г.</c:v>
                  </c:pt>
                  <c:pt idx="20">
                    <c:v>25 мая 2026 г.</c:v>
                  </c:pt>
                  <c:pt idx="21">
                    <c:v>26 мая 2026 г.</c:v>
                  </c:pt>
                  <c:pt idx="22">
                    <c:v>27 мая 2026 г.</c:v>
                  </c:pt>
                  <c:pt idx="23">
                    <c:v>28 мая 2026 г.</c:v>
                  </c:pt>
                  <c:pt idx="24">
                    <c:v>29 мая 2026 г.</c:v>
                  </c:pt>
                  <c:pt idx="25">
                    <c:v>30 мая 2026 г.</c:v>
                  </c:pt>
                  <c:pt idx="26">
                    <c:v>31 мая 2026 г.</c:v>
                  </c:pt>
                  <c:pt idx="27">
                    <c:v>03 мая 2026 г.</c:v>
                  </c:pt>
                  <c:pt idx="28">
                    <c:v>04 мая 2026 г.</c:v>
                  </c:pt>
                  <c:pt idx="29">
                    <c:v>05 мая 2026 г.</c:v>
                  </c:pt>
                  <c:pt idx="30">
                    <c:v>06 мая 2026 г.</c:v>
                  </c:pt>
                  <c:pt idx="31">
                    <c:v>07 мая 2026 г.</c:v>
                  </c:pt>
                  <c:pt idx="32">
                    <c:v>08 мая 2026 г.</c:v>
                  </c:pt>
                  <c:pt idx="33">
                    <c:v>09 мая 2026 г.</c:v>
                  </c:pt>
                  <c:pt idx="34">
                    <c:v>10 мая 2026 г.</c:v>
                  </c:pt>
                  <c:pt idx="35">
                    <c:v>11 мая 2026 г.</c:v>
                  </c:pt>
                  <c:pt idx="36">
                    <c:v>12 мая 2026 г.</c:v>
                  </c:pt>
                  <c:pt idx="37">
                    <c:v>13 мая 2026 г.</c:v>
                  </c:pt>
                  <c:pt idx="38">
                    <c:v>14 мая 2026 г.</c:v>
                  </c:pt>
                  <c:pt idx="39">
                    <c:v>15 мая 2026 г.</c:v>
                  </c:pt>
                  <c:pt idx="40">
                    <c:v>16 мая 2026 г.</c:v>
                  </c:pt>
                  <c:pt idx="41">
                    <c:v>17 мая 2026 г.</c:v>
                  </c:pt>
                  <c:pt idx="42">
                    <c:v>18 мая 2026 г.</c:v>
                  </c:pt>
                  <c:pt idx="43">
                    <c:v>19 мая 2026 г.</c:v>
                  </c:pt>
                  <c:pt idx="44">
                    <c:v>20 мая 2026 г.</c:v>
                  </c:pt>
                  <c:pt idx="45">
                    <c:v>02 мая 2026 г.</c:v>
                  </c:pt>
                  <c:pt idx="46">
                    <c:v>03 мая 2026 г.</c:v>
                  </c:pt>
                  <c:pt idx="47">
                    <c:v>04 мая 2026 г.</c:v>
                  </c:pt>
                  <c:pt idx="48">
                    <c:v>05 мая 2026 г.</c:v>
                  </c:pt>
                  <c:pt idx="49">
                    <c:v>06 мая 2026 г.</c:v>
                  </c:pt>
                  <c:pt idx="50">
                    <c:v>07 мая 2026 г.</c:v>
                  </c:pt>
                  <c:pt idx="51">
                    <c:v>08 мая 2026 г.</c:v>
                  </c:pt>
                  <c:pt idx="52">
                    <c:v>09 мая 2026 г.</c:v>
                  </c:pt>
                  <c:pt idx="53">
                    <c:v>10 мая 2026 г.</c:v>
                  </c:pt>
                  <c:pt idx="54">
                    <c:v>11 мая 2026 г.</c:v>
                  </c:pt>
                  <c:pt idx="55">
                    <c:v>12 мая 2026 г.</c:v>
                  </c:pt>
                  <c:pt idx="56">
                    <c:v>13 мая 2026 г.</c:v>
                  </c:pt>
                  <c:pt idx="57">
                    <c:v>14 мая 2026 г.</c:v>
                  </c:pt>
                </c:lvl>
                <c:lvl>
                  <c:pt idx="0">
                    <c:v>Тарасов А.С.</c:v>
                  </c:pt>
                  <c:pt idx="15">
                    <c:v>Епифанов Д.Б.</c:v>
                  </c:pt>
                  <c:pt idx="27">
                    <c:v>Жабин П.П.</c:v>
                  </c:pt>
                  <c:pt idx="45">
                    <c:v>Вдовин И.О.</c:v>
                  </c:pt>
                </c:lvl>
              </c:multiLvlStrCache>
            </c:multiLvlStrRef>
          </c:cat>
          <c:val>
            <c:numRef>
              <c:f>БВ_по_дням!$D$5:$D$67</c:f>
              <c:numCache>
                <c:formatCode>0</c:formatCode>
                <c:ptCount val="58"/>
                <c:pt idx="0">
                  <c:v>12</c:v>
                </c:pt>
                <c:pt idx="1">
                  <c:v>0</c:v>
                </c:pt>
                <c:pt idx="2">
                  <c:v>17</c:v>
                </c:pt>
                <c:pt idx="3">
                  <c:v>2</c:v>
                </c:pt>
                <c:pt idx="4">
                  <c:v>0</c:v>
                </c:pt>
                <c:pt idx="5">
                  <c:v>0</c:v>
                </c:pt>
                <c:pt idx="6">
                  <c:v>0</c:v>
                </c:pt>
                <c:pt idx="7">
                  <c:v>0</c:v>
                </c:pt>
                <c:pt idx="8">
                  <c:v>5.5</c:v>
                </c:pt>
                <c:pt idx="9">
                  <c:v>10</c:v>
                </c:pt>
                <c:pt idx="10">
                  <c:v>0</c:v>
                </c:pt>
                <c:pt idx="11">
                  <c:v>9</c:v>
                </c:pt>
                <c:pt idx="12">
                  <c:v>0</c:v>
                </c:pt>
                <c:pt idx="13">
                  <c:v>3.5</c:v>
                </c:pt>
                <c:pt idx="14">
                  <c:v>12</c:v>
                </c:pt>
                <c:pt idx="15">
                  <c:v>0</c:v>
                </c:pt>
                <c:pt idx="16">
                  <c:v>0</c:v>
                </c:pt>
                <c:pt idx="17">
                  <c:v>0</c:v>
                </c:pt>
                <c:pt idx="18">
                  <c:v>0</c:v>
                </c:pt>
                <c:pt idx="19">
                  <c:v>0</c:v>
                </c:pt>
                <c:pt idx="20">
                  <c:v>0</c:v>
                </c:pt>
                <c:pt idx="21">
                  <c:v>8</c:v>
                </c:pt>
                <c:pt idx="22">
                  <c:v>10</c:v>
                </c:pt>
                <c:pt idx="23">
                  <c:v>0</c:v>
                </c:pt>
                <c:pt idx="24">
                  <c:v>0</c:v>
                </c:pt>
                <c:pt idx="25">
                  <c:v>0</c:v>
                </c:pt>
                <c:pt idx="26">
                  <c:v>0</c:v>
                </c:pt>
                <c:pt idx="27">
                  <c:v>0</c:v>
                </c:pt>
                <c:pt idx="28">
                  <c:v>3</c:v>
                </c:pt>
                <c:pt idx="29">
                  <c:v>0</c:v>
                </c:pt>
                <c:pt idx="30">
                  <c:v>0</c:v>
                </c:pt>
                <c:pt idx="31">
                  <c:v>0</c:v>
                </c:pt>
                <c:pt idx="32">
                  <c:v>0</c:v>
                </c:pt>
                <c:pt idx="33">
                  <c:v>0</c:v>
                </c:pt>
                <c:pt idx="34">
                  <c:v>0</c:v>
                </c:pt>
                <c:pt idx="35">
                  <c:v>0</c:v>
                </c:pt>
                <c:pt idx="36">
                  <c:v>0</c:v>
                </c:pt>
                <c:pt idx="37">
                  <c:v>7</c:v>
                </c:pt>
                <c:pt idx="38">
                  <c:v>0</c:v>
                </c:pt>
                <c:pt idx="39">
                  <c:v>0</c:v>
                </c:pt>
                <c:pt idx="40">
                  <c:v>16</c:v>
                </c:pt>
                <c:pt idx="41">
                  <c:v>7</c:v>
                </c:pt>
                <c:pt idx="42">
                  <c:v>14</c:v>
                </c:pt>
                <c:pt idx="43">
                  <c:v>24</c:v>
                </c:pt>
                <c:pt idx="44">
                  <c:v>5</c:v>
                </c:pt>
                <c:pt idx="45">
                  <c:v>0</c:v>
                </c:pt>
                <c:pt idx="46">
                  <c:v>6</c:v>
                </c:pt>
                <c:pt idx="47">
                  <c:v>0</c:v>
                </c:pt>
                <c:pt idx="48">
                  <c:v>0</c:v>
                </c:pt>
                <c:pt idx="49">
                  <c:v>0</c:v>
                </c:pt>
                <c:pt idx="50">
                  <c:v>0</c:v>
                </c:pt>
                <c:pt idx="51">
                  <c:v>0</c:v>
                </c:pt>
                <c:pt idx="52">
                  <c:v>4</c:v>
                </c:pt>
                <c:pt idx="53">
                  <c:v>0</c:v>
                </c:pt>
                <c:pt idx="54">
                  <c:v>0</c:v>
                </c:pt>
                <c:pt idx="55">
                  <c:v>9</c:v>
                </c:pt>
                <c:pt idx="56">
                  <c:v>5</c:v>
                </c:pt>
                <c:pt idx="57">
                  <c:v>4</c:v>
                </c:pt>
              </c:numCache>
            </c:numRef>
          </c:val>
          <c:extLst>
            <c:ext xmlns:c16="http://schemas.microsoft.com/office/drawing/2014/chart" uri="{C3380CC4-5D6E-409C-BE32-E72D297353CC}">
              <c16:uniqueId val="{00000002-3E27-466A-8CC4-015178B4F4A3}"/>
            </c:ext>
          </c:extLst>
        </c:ser>
        <c:dLbls>
          <c:showLegendKey val="0"/>
          <c:showVal val="0"/>
          <c:showCatName val="0"/>
          <c:showSerName val="0"/>
          <c:showPercent val="0"/>
          <c:showBubbleSize val="0"/>
        </c:dLbls>
        <c:gapWidth val="0"/>
        <c:overlap val="100"/>
        <c:axId val="644149295"/>
        <c:axId val="458405087"/>
      </c:barChart>
      <c:catAx>
        <c:axId val="644149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solidFill>
                <a:latin typeface="Century Gothic" panose="020B0502020202020204" pitchFamily="34" charset="0"/>
                <a:ea typeface="+mn-ea"/>
                <a:cs typeface="+mn-cs"/>
              </a:defRPr>
            </a:pPr>
            <a:endParaRPr lang="ru-RU"/>
          </a:p>
        </c:txPr>
        <c:crossAx val="458405087"/>
        <c:crosses val="autoZero"/>
        <c:auto val="1"/>
        <c:lblAlgn val="ctr"/>
        <c:lblOffset val="100"/>
        <c:noMultiLvlLbl val="0"/>
      </c:catAx>
      <c:valAx>
        <c:axId val="458405087"/>
        <c:scaling>
          <c:orientation val="minMax"/>
        </c:scaling>
        <c:delete val="1"/>
        <c:axPos val="l"/>
        <c:numFmt formatCode="0%" sourceLinked="1"/>
        <c:majorTickMark val="none"/>
        <c:minorTickMark val="none"/>
        <c:tickLblPos val="nextTo"/>
        <c:crossAx val="644149295"/>
        <c:crosses val="autoZero"/>
        <c:crossBetween val="between"/>
      </c:valAx>
    </c:plotArea>
    <c:plotVisOnly val="1"/>
    <c:dispBlanksAs val="gap"/>
    <c:showDLblsOverMax val="1"/>
  </c:chart>
  <c:spPr>
    <a:solidFill>
      <a:schemeClr val="bg1">
        <a:lumMod val="95000"/>
      </a:schemeClr>
    </a:solidFill>
    <a:ln w="9525" cap="flat" cmpd="sng" algn="ctr">
      <a:noFill/>
      <a:prstDash val="solid"/>
      <a:round/>
    </a:ln>
  </c:sp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pivotSource>
    <c:name>[КРС-3 обнова планирование.xlsx]БВ_общий!БВ_общий</c:name>
    <c:fmtId val="5"/>
  </c:pivotSource>
  <c:chart>
    <c:title>
      <c:tx>
        <c:rich>
          <a:bodyPr rot="0" spcFirstLastPara="1" vertOverflow="ellipsis" vert="horz" wrap="square" anchor="ctr" anchorCtr="1"/>
          <a:lstStyle/>
          <a:p>
            <a:pPr>
              <a:defRPr sz="1400" b="0" i="0" strike="noStrike" kern="1200" spc="0" baseline="0">
                <a:solidFill>
                  <a:schemeClr val="tx1"/>
                </a:solidFill>
                <a:latin typeface="Century Gothic" panose="020B0502020202020204" pitchFamily="34" charset="0"/>
                <a:ea typeface="+mn-ea"/>
                <a:cs typeface="+mn-cs"/>
              </a:defRPr>
            </a:pPr>
            <a:r>
              <a:rPr lang="ru-RU"/>
              <a:t>КПВ</a:t>
            </a:r>
            <a:r>
              <a:rPr lang="ru-RU" baseline="0"/>
              <a:t> бригад</a:t>
            </a:r>
            <a:endParaRPr lang="ru-RU"/>
          </a:p>
        </c:rich>
      </c:tx>
      <c:overlay val="0"/>
      <c:spPr>
        <a:noFill/>
        <a:ln>
          <a:noFill/>
          <a:prstDash val="solid"/>
        </a:ln>
      </c:spPr>
    </c:title>
    <c:autoTitleDeleted val="0"/>
    <c:pivotFmts>
      <c:pivotFmt>
        <c:idx val="0"/>
        <c:spPr>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1600" b="1" i="0" strike="noStrike" kern="1200" baseline="0">
                  <a:solidFill>
                    <a:schemeClr val="bg1"/>
                  </a:solidFill>
                  <a:latin typeface="Century Gothic" panose="020B0502020202020204" pitchFamily="34" charset="0"/>
                  <a:ea typeface="+mn-ea"/>
                  <a:cs typeface="+mn-cs"/>
                </a:defRPr>
              </a:pPr>
              <a:endParaRPr lang="ru-RU"/>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70AD47"/>
          </a:solidFill>
          <a:ln w="19050">
            <a:noFill/>
            <a:prstDash val="solid"/>
          </a:ln>
        </c:spPr>
      </c:pivotFmt>
      <c:pivotFmt>
        <c:idx val="2"/>
        <c:spPr>
          <a:solidFill>
            <a:srgbClr val="FFC000"/>
          </a:solidFill>
          <a:ln w="19050">
            <a:noFill/>
            <a:prstDash val="solid"/>
          </a:ln>
        </c:spPr>
      </c:pivotFmt>
      <c:pivotFmt>
        <c:idx val="3"/>
        <c:spPr>
          <a:solidFill>
            <a:srgbClr val="C00000"/>
          </a:solidFill>
          <a:ln w="19050">
            <a:noFill/>
            <a:prstDash val="solid"/>
          </a:ln>
        </c:spPr>
      </c:pivotFmt>
    </c:pivotFmts>
    <c:plotArea>
      <c:layout/>
      <c:pieChart>
        <c:varyColors val="1"/>
        <c:ser>
          <c:idx val="0"/>
          <c:order val="0"/>
          <c:tx>
            <c:strRef>
              <c:f>БВ_общий!$B$3</c:f>
              <c:strCache>
                <c:ptCount val="1"/>
                <c:pt idx="0">
                  <c:v>Итог</c:v>
                </c:pt>
              </c:strCache>
            </c:strRef>
          </c:tx>
          <c:spPr>
            <a:ln>
              <a:noFill/>
              <a:prstDash val="solid"/>
            </a:ln>
          </c:spPr>
          <c:dPt>
            <c:idx val="0"/>
            <c:bubble3D val="0"/>
            <c:spPr>
              <a:solidFill>
                <a:srgbClr val="70AD47"/>
              </a:solidFill>
              <a:ln w="19050">
                <a:noFill/>
                <a:prstDash val="solid"/>
              </a:ln>
            </c:spPr>
            <c:extLst>
              <c:ext xmlns:c16="http://schemas.microsoft.com/office/drawing/2014/chart" uri="{C3380CC4-5D6E-409C-BE32-E72D297353CC}">
                <c16:uniqueId val="{00000001-8CA9-4F38-AFB3-90B8FAF1D824}"/>
              </c:ext>
            </c:extLst>
          </c:dPt>
          <c:dPt>
            <c:idx val="1"/>
            <c:bubble3D val="0"/>
            <c:spPr>
              <a:solidFill>
                <a:srgbClr val="FFC000"/>
              </a:solidFill>
              <a:ln w="19050">
                <a:noFill/>
                <a:prstDash val="solid"/>
              </a:ln>
            </c:spPr>
            <c:extLst>
              <c:ext xmlns:c16="http://schemas.microsoft.com/office/drawing/2014/chart" uri="{C3380CC4-5D6E-409C-BE32-E72D297353CC}">
                <c16:uniqueId val="{00000003-8CA9-4F38-AFB3-90B8FAF1D824}"/>
              </c:ext>
            </c:extLst>
          </c:dPt>
          <c:dPt>
            <c:idx val="2"/>
            <c:bubble3D val="0"/>
            <c:spPr>
              <a:solidFill>
                <a:srgbClr val="C00000"/>
              </a:solidFill>
              <a:ln w="19050">
                <a:noFill/>
                <a:prstDash val="solid"/>
              </a:ln>
            </c:spPr>
            <c:extLst>
              <c:ext xmlns:c16="http://schemas.microsoft.com/office/drawing/2014/chart" uri="{C3380CC4-5D6E-409C-BE32-E72D297353CC}">
                <c16:uniqueId val="{00000005-8CA9-4F38-AFB3-90B8FAF1D824}"/>
              </c:ext>
            </c:extLst>
          </c:dPt>
          <c:dLbls>
            <c:spPr>
              <a:noFill/>
              <a:ln>
                <a:noFill/>
                <a:prstDash val="solid"/>
              </a:ln>
            </c:spPr>
            <c:txPr>
              <a:bodyPr rot="0" spcFirstLastPara="1" vertOverflow="ellipsis" vert="horz" wrap="square" lIns="38100" tIns="19050" rIns="38100" bIns="19050" anchor="ctr" anchorCtr="1">
                <a:spAutoFit/>
              </a:bodyPr>
              <a:lstStyle/>
              <a:p>
                <a:pPr>
                  <a:defRPr sz="1600" b="1" i="0" strike="noStrike" kern="1200" baseline="0">
                    <a:solidFill>
                      <a:schemeClr val="bg1"/>
                    </a:solidFill>
                    <a:latin typeface="Century Gothic" panose="020B0502020202020204" pitchFamily="34" charset="0"/>
                    <a:ea typeface="+mn-ea"/>
                    <a:cs typeface="+mn-cs"/>
                  </a:defRPr>
                </a:pPr>
                <a:endParaRPr lang="ru-RU"/>
              </a:p>
            </c:txPr>
            <c:dLblPos val="inEnd"/>
            <c:showLegendKey val="0"/>
            <c:showVal val="0"/>
            <c:showCatName val="0"/>
            <c:showSerName val="0"/>
            <c:showPercent val="1"/>
            <c:showBubbleSize val="0"/>
            <c:showLeaderLines val="1"/>
            <c:extLst>
              <c:ext xmlns:c15="http://schemas.microsoft.com/office/drawing/2012/chart" uri="{CE6537A1-D6FC-4f65-9D91-7224C49458BB}"/>
            </c:extLst>
          </c:dLbls>
          <c:cat>
            <c:strRef>
              <c:f>БВ_общий!$A$4:$A$6</c:f>
              <c:strCache>
                <c:ptCount val="3"/>
                <c:pt idx="0">
                  <c:v>Сумма по полю ПВ</c:v>
                </c:pt>
                <c:pt idx="1">
                  <c:v>Сумма по полю ПНВ</c:v>
                </c:pt>
                <c:pt idx="2">
                  <c:v>Сумма по полю НПВ</c:v>
                </c:pt>
              </c:strCache>
            </c:strRef>
          </c:cat>
          <c:val>
            <c:numRef>
              <c:f>БВ_общий!$B$4:$B$6</c:f>
              <c:numCache>
                <c:formatCode>0</c:formatCode>
                <c:ptCount val="3"/>
                <c:pt idx="0">
                  <c:v>399.33159999999987</c:v>
                </c:pt>
                <c:pt idx="1">
                  <c:v>450.16839999999991</c:v>
                </c:pt>
                <c:pt idx="2">
                  <c:v>366.5</c:v>
                </c:pt>
              </c:numCache>
            </c:numRef>
          </c:val>
          <c:extLst>
            <c:ext xmlns:c16="http://schemas.microsoft.com/office/drawing/2014/chart" uri="{C3380CC4-5D6E-409C-BE32-E72D297353CC}">
              <c16:uniqueId val="{00000006-8CA9-4F38-AFB3-90B8FAF1D824}"/>
            </c:ext>
          </c:extLst>
        </c:ser>
        <c:dLbls>
          <c:showLegendKey val="0"/>
          <c:showVal val="0"/>
          <c:showCatName val="0"/>
          <c:showSerName val="0"/>
          <c:showPercent val="0"/>
          <c:showBubbleSize val="0"/>
          <c:showLeaderLines val="1"/>
        </c:dLbls>
        <c:firstSliceAng val="0"/>
      </c:pieChart>
    </c:plotArea>
    <c:plotVisOnly val="1"/>
    <c:dispBlanksAs val="gap"/>
    <c:showDLblsOverMax val="1"/>
  </c:chart>
  <c:spPr>
    <a:solidFill>
      <a:schemeClr val="bg1">
        <a:lumMod val="95000"/>
      </a:schemeClr>
    </a:solidFill>
    <a:ln w="9525" cap="flat" cmpd="sng" algn="ctr">
      <a:noFill/>
      <a:prstDash val="solid"/>
      <a:round/>
    </a:ln>
  </c:sp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pivotSource>
    <c:name>[КРС-3 обнова планирование.xlsx]Топ_НПВ_по_неделям!ТОП_НПВ</c:name>
    <c:fmtId val="6"/>
  </c:pivotSource>
  <c:chart>
    <c:title>
      <c:tx>
        <c:rich>
          <a:bodyPr rot="0" spcFirstLastPara="1" vertOverflow="ellipsis" vert="horz" wrap="square" anchor="ctr" anchorCtr="1"/>
          <a:lstStyle/>
          <a:p>
            <a:pPr>
              <a:defRPr sz="1400" b="0" i="0" strike="noStrike" kern="1200" spc="0" baseline="0">
                <a:solidFill>
                  <a:schemeClr val="tx1"/>
                </a:solidFill>
                <a:latin typeface="Century Gothic" panose="020B0502020202020204" pitchFamily="34" charset="0"/>
                <a:ea typeface="+mn-ea"/>
                <a:cs typeface="+mn-cs"/>
              </a:defRPr>
            </a:pPr>
            <a:r>
              <a:rPr lang="ru-RU" sz="1400" b="0" i="0" strike="noStrike" kern="1200" spc="0" baseline="0">
                <a:solidFill>
                  <a:sysClr val="windowText" lastClr="000000"/>
                </a:solidFill>
                <a:latin typeface="Century Gothic" panose="020B0502020202020204" pitchFamily="34" charset="0"/>
              </a:rPr>
              <a:t>Топ НПВ и ПНВ по неделям строительства скважины, часы</a:t>
            </a:r>
          </a:p>
        </c:rich>
      </c:tx>
      <c:overlay val="0"/>
      <c:spPr>
        <a:noFill/>
        <a:ln>
          <a:noFill/>
          <a:prstDash val="solid"/>
        </a:ln>
      </c:spPr>
    </c:title>
    <c:autoTitleDeleted val="0"/>
    <c:pivotFmts>
      <c:pivotFmt>
        <c:idx val="0"/>
        <c:spPr>
          <a:solidFill>
            <a:srgbClr val="C00000"/>
          </a:solidFill>
          <a:ln>
            <a:noFill/>
            <a:prstDash val="solid"/>
          </a:ln>
        </c:spPr>
        <c:marker>
          <c:symbol val="none"/>
        </c:marker>
        <c:dLbl>
          <c:idx val="0"/>
          <c:spPr>
            <a:noFill/>
            <a:ln>
              <a:noFill/>
              <a:prstDash val="solid"/>
            </a:ln>
          </c:spPr>
          <c:txPr>
            <a:bodyPr rot="0" spcFirstLastPara="1" vertOverflow="ellipsis" vert="horz" wrap="square" anchor="ctr" anchorCtr="1"/>
            <a:lstStyle/>
            <a:p>
              <a:pPr>
                <a:defRPr sz="900" b="1" i="0" strike="noStrike" kern="1200" baseline="0">
                  <a:solidFill>
                    <a:schemeClr val="tx1"/>
                  </a:solidFill>
                  <a:latin typeface="Century Gothic" panose="020B0502020202020204" pitchFamily="34" charset="0"/>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Топ_НПВ_по_неделям!$B$3</c:f>
              <c:strCache>
                <c:ptCount val="1"/>
                <c:pt idx="0">
                  <c:v>Итог</c:v>
                </c:pt>
              </c:strCache>
            </c:strRef>
          </c:tx>
          <c:spPr>
            <a:solidFill>
              <a:srgbClr val="C00000"/>
            </a:solidFill>
            <a:ln>
              <a:noFill/>
              <a:prstDash val="solid"/>
            </a:ln>
          </c:spPr>
          <c:invertIfNegative val="0"/>
          <c:dLbls>
            <c:spPr>
              <a:noFill/>
              <a:ln>
                <a:noFill/>
                <a:prstDash val="solid"/>
              </a:ln>
            </c:spPr>
            <c:txPr>
              <a:bodyPr rot="0" spcFirstLastPara="1" vertOverflow="ellipsis" vert="horz" wrap="square" anchor="ctr" anchorCtr="1"/>
              <a:lstStyle/>
              <a:p>
                <a:pPr>
                  <a:defRPr sz="900" b="1" i="0" strike="noStrike" kern="1200" baseline="0">
                    <a:solidFill>
                      <a:schemeClr val="tx1"/>
                    </a:solidFill>
                    <a:latin typeface="Century Gothic" panose="020B0502020202020204" pitchFamily="34" charset="0"/>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Топ_НПВ_по_неделям!$A$4:$A$25</c:f>
              <c:multiLvlStrCache>
                <c:ptCount val="16"/>
                <c:lvl>
                  <c:pt idx="0">
                    <c:v>НПВ:  Ожидание разрешения
Устранение  Предписания</c:v>
                  </c:pt>
                  <c:pt idx="1">
                    <c:v>ПНВ:  
Монтаж  УПА</c:v>
                  </c:pt>
                  <c:pt idx="2">
                    <c:v>ПНВ:  
Монтаж  БО</c:v>
                  </c:pt>
                  <c:pt idx="3">
                    <c:v>ПНВ:  
Передвижка  УПА</c:v>
                  </c:pt>
                  <c:pt idx="4">
                    <c:v>ПНВ:  
Завоз  Тех. вода</c:v>
                  </c:pt>
                  <c:pt idx="5">
                    <c:v>ПНВ:  
Демонтаж  УПА</c:v>
                  </c:pt>
                  <c:pt idx="6">
                    <c:v>НПВ:  Ожидание разрешения
Устранение  Предписания</c:v>
                  </c:pt>
                  <c:pt idx="7">
                    <c:v>НПВ:  Ожидание персонала
Ожидание  Персонал</c:v>
                  </c:pt>
                  <c:pt idx="8">
                    <c:v>НПВ:  Орг. простой
Подготовка  Скважина</c:v>
                  </c:pt>
                  <c:pt idx="9">
                    <c:v>ПНВ:  
Монтаж  БО</c:v>
                  </c:pt>
                  <c:pt idx="10">
                    <c:v>НПВ:  Ожидание персонала
Ожидание  Персонал</c:v>
                  </c:pt>
                  <c:pt idx="11">
                    <c:v>ПНВ:  
Демонтаж  УПА</c:v>
                  </c:pt>
                  <c:pt idx="12">
                    <c:v>ПНВ:  
Подъем  УЭЦН</c:v>
                  </c:pt>
                  <c:pt idx="13">
                    <c:v>НПВ:  
Ожидание  Персонал</c:v>
                  </c:pt>
                  <c:pt idx="14">
                    <c:v>ПНВ:  
Подъем  УЭЦН</c:v>
                  </c:pt>
                  <c:pt idx="15">
                    <c:v>НПВ:  
Ожидание  МТР</c:v>
                  </c:pt>
                </c:lvl>
                <c:lvl>
                  <c:pt idx="0">
                    <c:v>27.04.2026 - 03.05.2026</c:v>
                  </c:pt>
                  <c:pt idx="3">
                    <c:v>04.05.2026 - 10.05.2026</c:v>
                  </c:pt>
                  <c:pt idx="6">
                    <c:v>11.05.2026 - 17.05.2026</c:v>
                  </c:pt>
                  <c:pt idx="10">
                    <c:v>18.05.2026 - 24.05.2026</c:v>
                  </c:pt>
                  <c:pt idx="13">
                    <c:v>25.05.2026 - 31.05.2026</c:v>
                  </c:pt>
                </c:lvl>
              </c:multiLvlStrCache>
            </c:multiLvlStrRef>
          </c:cat>
          <c:val>
            <c:numRef>
              <c:f>Топ_НПВ_по_неделям!$B$4:$B$25</c:f>
              <c:numCache>
                <c:formatCode>0</c:formatCode>
                <c:ptCount val="16"/>
                <c:pt idx="0">
                  <c:v>6</c:v>
                </c:pt>
                <c:pt idx="1">
                  <c:v>3.16</c:v>
                </c:pt>
                <c:pt idx="2">
                  <c:v>0.20999999999999996</c:v>
                </c:pt>
                <c:pt idx="3">
                  <c:v>41.03</c:v>
                </c:pt>
                <c:pt idx="4">
                  <c:v>16.060000000000002</c:v>
                </c:pt>
                <c:pt idx="5">
                  <c:v>10.5</c:v>
                </c:pt>
                <c:pt idx="6">
                  <c:v>32</c:v>
                </c:pt>
                <c:pt idx="7">
                  <c:v>24</c:v>
                </c:pt>
                <c:pt idx="8">
                  <c:v>16</c:v>
                </c:pt>
                <c:pt idx="9">
                  <c:v>16</c:v>
                </c:pt>
                <c:pt idx="10">
                  <c:v>45</c:v>
                </c:pt>
                <c:pt idx="11">
                  <c:v>29.224800000000002</c:v>
                </c:pt>
                <c:pt idx="12">
                  <c:v>20.98</c:v>
                </c:pt>
                <c:pt idx="13">
                  <c:v>26.5</c:v>
                </c:pt>
                <c:pt idx="14">
                  <c:v>15.55</c:v>
                </c:pt>
                <c:pt idx="15">
                  <c:v>13.5</c:v>
                </c:pt>
              </c:numCache>
            </c:numRef>
          </c:val>
          <c:extLst>
            <c:ext xmlns:c16="http://schemas.microsoft.com/office/drawing/2014/chart" uri="{C3380CC4-5D6E-409C-BE32-E72D297353CC}">
              <c16:uniqueId val="{00000000-8E3A-4643-AAE2-C0E41C715F5E}"/>
            </c:ext>
          </c:extLst>
        </c:ser>
        <c:dLbls>
          <c:showLegendKey val="0"/>
          <c:showVal val="0"/>
          <c:showCatName val="0"/>
          <c:showSerName val="0"/>
          <c:showPercent val="0"/>
          <c:showBubbleSize val="0"/>
        </c:dLbls>
        <c:gapWidth val="182"/>
        <c:axId val="195442687"/>
        <c:axId val="1123418111"/>
      </c:barChart>
      <c:catAx>
        <c:axId val="195442687"/>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solidFill>
                <a:latin typeface="Century Gothic" panose="020B0502020202020204" pitchFamily="34" charset="0"/>
                <a:ea typeface="+mn-ea"/>
                <a:cs typeface="+mn-cs"/>
              </a:defRPr>
            </a:pPr>
            <a:endParaRPr lang="ru-RU"/>
          </a:p>
        </c:txPr>
        <c:crossAx val="1123418111"/>
        <c:crosses val="autoZero"/>
        <c:auto val="1"/>
        <c:lblAlgn val="ctr"/>
        <c:lblOffset val="100"/>
        <c:noMultiLvlLbl val="0"/>
      </c:catAx>
      <c:valAx>
        <c:axId val="1123418111"/>
        <c:scaling>
          <c:orientation val="minMax"/>
        </c:scaling>
        <c:delete val="1"/>
        <c:axPos val="t"/>
        <c:numFmt formatCode="0" sourceLinked="1"/>
        <c:majorTickMark val="none"/>
        <c:minorTickMark val="none"/>
        <c:tickLblPos val="nextTo"/>
        <c:crossAx val="195442687"/>
        <c:crosses val="autoZero"/>
        <c:crossBetween val="between"/>
      </c:valAx>
    </c:plotArea>
    <c:plotVisOnly val="1"/>
    <c:dispBlanksAs val="gap"/>
    <c:showDLblsOverMax val="1"/>
  </c:chart>
  <c:spPr>
    <a:solidFill>
      <a:schemeClr val="bg1">
        <a:lumMod val="95000"/>
      </a:schemeClr>
    </a:solidFill>
    <a:ln w="9525" cap="flat" cmpd="sng" algn="ctr">
      <a:noFill/>
      <a:prstDash val="solid"/>
      <a:round/>
    </a:ln>
  </c:sp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pivotSource>
    <c:name>[КРС-3 обнова планирование.xlsx]БВ_вахт!БВ_вахт</c:name>
    <c:fmtId val="0"/>
  </c:pivotSource>
  <c:chart>
    <c:autoTitleDeleted val="1"/>
    <c:pivotFmts>
      <c:pivotFmt>
        <c:idx val="0"/>
        <c:spPr>
          <a:solidFill>
            <a:schemeClr val="accent6"/>
          </a:solidFill>
          <a:ln>
            <a:noFill/>
            <a:prstDash val="solid"/>
          </a:ln>
        </c:spP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solidFill>
                  <a:latin typeface="Century Gothic" panose="020B0502020202020204" pitchFamily="34" charset="0"/>
                  <a:ea typeface="+mn-ea"/>
                  <a:cs typeface="+mn-cs"/>
                </a:defRPr>
              </a:pPr>
              <a:endParaRPr lang="ru-RU"/>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4"/>
          </a:solidFill>
          <a:ln>
            <a:noFill/>
            <a:prstDash val="solid"/>
          </a:ln>
        </c:spPr>
        <c:dLbl>
          <c:idx val="0"/>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tx1"/>
                  </a:solidFill>
                  <a:latin typeface="Century Gothic" panose="020B0502020202020204" pitchFamily="34" charset="0"/>
                  <a:ea typeface="+mn-ea"/>
                  <a:cs typeface="+mn-cs"/>
                </a:defRPr>
              </a:pPr>
              <a:endParaRPr lang="ru-RU"/>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4"/>
          </a:solidFill>
          <a:ln>
            <a:noFill/>
            <a:prstDash val="solid"/>
          </a:ln>
        </c:spPr>
      </c:pivotFmt>
      <c:pivotFmt>
        <c:idx val="3"/>
        <c:spPr>
          <a:solidFill>
            <a:srgbClr val="C00000"/>
          </a:solidFill>
          <a:ln>
            <a:noFill/>
            <a:prstDash val="solid"/>
          </a:ln>
        </c:spPr>
        <c:dLbl>
          <c:idx val="0"/>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bg1">
                      <a:lumMod val="95000"/>
                    </a:schemeClr>
                  </a:solidFill>
                  <a:latin typeface="Century Gothic" panose="020B0502020202020204" pitchFamily="34" charset="0"/>
                  <a:ea typeface="+mn-ea"/>
                  <a:cs typeface="+mn-cs"/>
                </a:defRPr>
              </a:pPr>
              <a:endParaRPr lang="ru-RU"/>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6"/>
          </a:solidFill>
          <a:ln>
            <a:noFill/>
            <a:prstDash val="solid"/>
          </a:ln>
        </c:spPr>
      </c:pivotFmt>
      <c:pivotFmt>
        <c:idx val="5"/>
        <c:spPr>
          <a:solidFill>
            <a:srgbClr val="C00000"/>
          </a:solidFill>
          <a:ln>
            <a:noFill/>
            <a:prstDash val="solid"/>
          </a:ln>
        </c:spPr>
      </c:pivotFmt>
      <c:pivotFmt>
        <c:idx val="6"/>
        <c:spPr>
          <a:solidFill>
            <a:schemeClr val="accent6"/>
          </a:solidFill>
          <a:ln>
            <a:noFill/>
            <a:prstDash val="solid"/>
          </a:ln>
        </c:spPr>
        <c:dLbl>
          <c:idx val="0"/>
          <c:spPr>
            <a:no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tx1"/>
                  </a:solidFill>
                  <a:latin typeface="Century Gothic" panose="020B0502020202020204" pitchFamily="34" charset="0"/>
                  <a:ea typeface="+mn-ea"/>
                  <a:cs typeface="+mn-cs"/>
                </a:defRPr>
              </a:pPr>
              <a:endParaRPr lang="ru-RU"/>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4"/>
          </a:solidFill>
          <a:ln>
            <a:noFill/>
            <a:prstDash val="solid"/>
          </a:ln>
        </c:spPr>
        <c:dLbl>
          <c:idx val="0"/>
          <c:spPr>
            <a:no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tx1"/>
                  </a:solidFill>
                  <a:latin typeface="Century Gothic" panose="020B0502020202020204" pitchFamily="34" charset="0"/>
                  <a:ea typeface="+mn-ea"/>
                  <a:cs typeface="+mn-cs"/>
                </a:defRPr>
              </a:pPr>
              <a:endParaRPr lang="ru-RU"/>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rgbClr val="C00000"/>
          </a:solidFill>
          <a:ln>
            <a:noFill/>
            <a:prstDash val="solid"/>
          </a:ln>
        </c:spPr>
        <c:dLbl>
          <c:idx val="0"/>
          <c:spPr>
            <a:no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bg1">
                      <a:lumMod val="95000"/>
                    </a:schemeClr>
                  </a:solidFill>
                  <a:latin typeface="Century Gothic" panose="020B0502020202020204" pitchFamily="34" charset="0"/>
                  <a:ea typeface="+mn-ea"/>
                  <a:cs typeface="+mn-cs"/>
                </a:defRPr>
              </a:pPr>
              <a:endParaRPr lang="ru-RU"/>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a:noFill/>
            <a:prstDash val="solid"/>
          </a:ln>
        </c:spPr>
        <c:dLbl>
          <c:idx val="0"/>
          <c:spPr>
            <a:noFill/>
            <a:ln>
              <a:noFill/>
              <a:prstDash val="solid"/>
            </a:ln>
          </c:spPr>
          <c:txPr>
            <a:bodyPr rot="0" spcFirstLastPara="1" vertOverflow="ellipsis" vert="horz" wrap="square" lIns="38100" tIns="19050" rIns="38100" bIns="19050" anchor="ctr" anchorCtr="1">
              <a:spAutoFit/>
            </a:bodyPr>
            <a:lstStyle/>
            <a:p>
              <a:pPr>
                <a:defRPr sz="1000" b="0" i="0" strike="noStrike" kern="1200" baseline="0">
                  <a:solidFill>
                    <a:schemeClr val="tx1"/>
                  </a:solidFill>
                  <a:latin typeface="Century Gothic" panose="020B0502020202020204" pitchFamily="34" charset="0"/>
                  <a:ea typeface="+mn-ea"/>
                  <a:cs typeface="+mn-cs"/>
                </a:defRPr>
              </a:pPr>
              <a:endParaRPr lang="ru-RU"/>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rgbClr val="70AD47"/>
          </a:solidFill>
          <a:ln>
            <a:noFill/>
            <a:prstDash val="solid"/>
          </a:ln>
        </c:spPr>
        <c:dLbl>
          <c:idx val="0"/>
          <c:spPr>
            <a:noFill/>
            <a:ln>
              <a:noFill/>
              <a:prstDash val="solid"/>
            </a:ln>
          </c:spPr>
          <c:txPr>
            <a:bodyPr rot="0" spcFirstLastPara="1" vertOverflow="ellipsis" vert="horz" wrap="square" anchor="ctr" anchorCtr="1"/>
            <a:lstStyle/>
            <a:p>
              <a:pPr>
                <a:defRPr sz="1600" b="1" i="0" strike="noStrike" kern="1200" baseline="0">
                  <a:solidFill>
                    <a:schemeClr val="tx1"/>
                  </a:solidFill>
                  <a:latin typeface="Century Gothic" panose="020B0502020202020204" pitchFamily="34" charset="0"/>
                  <a:ea typeface="+mn-ea"/>
                  <a:cs typeface="+mn-cs"/>
                </a:defRPr>
              </a:pPr>
              <a:endParaRPr lang="ru-RU"/>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rgbClr val="FFC000"/>
          </a:solidFill>
          <a:ln>
            <a:noFill/>
            <a:prstDash val="solid"/>
          </a:ln>
        </c:spPr>
      </c:pivotFmt>
      <c:pivotFmt>
        <c:idx val="12"/>
        <c:spPr>
          <a:solidFill>
            <a:srgbClr val="C00000"/>
          </a:solidFill>
          <a:ln>
            <a:noFill/>
            <a:prstDash val="solid"/>
          </a:ln>
        </c:spPr>
        <c:dLbl>
          <c:idx val="0"/>
          <c:spPr>
            <a:noFill/>
            <a:ln>
              <a:noFill/>
              <a:prstDash val="solid"/>
            </a:ln>
          </c:spPr>
          <c:txPr>
            <a:bodyPr rot="0" spcFirstLastPara="1" vertOverflow="ellipsis" vert="horz" wrap="square" anchor="ctr" anchorCtr="1"/>
            <a:lstStyle/>
            <a:p>
              <a:pPr>
                <a:defRPr sz="1600" b="1" i="0" strike="noStrike" kern="1200" baseline="0">
                  <a:solidFill>
                    <a:schemeClr val="bg1">
                      <a:lumMod val="95000"/>
                    </a:schemeClr>
                  </a:solidFill>
                  <a:latin typeface="Century Gothic" panose="020B0502020202020204" pitchFamily="34" charset="0"/>
                  <a:ea typeface="+mn-ea"/>
                  <a:cs typeface="+mn-cs"/>
                </a:defRPr>
              </a:pPr>
              <a:endParaRPr lang="ru-RU"/>
            </a:p>
          </c:txPr>
          <c:showLegendKey val="1"/>
          <c:showVal val="1"/>
          <c:showCatName val="1"/>
          <c:showSerName val="1"/>
          <c:showPercent val="1"/>
          <c:showBubbleSize val="1"/>
          <c:extLst>
            <c:ext xmlns:c15="http://schemas.microsoft.com/office/drawing/2012/chart" uri="{CE6537A1-D6FC-4f65-9D91-7224C49458BB}"/>
          </c:extLst>
        </c:dLbl>
      </c:pivotFmt>
      <c:pivotFmt>
        <c:idx val="13"/>
        <c:spPr>
          <a:solidFill>
            <a:srgbClr val="70AD47"/>
          </a:solidFill>
          <a:ln>
            <a:noFill/>
            <a:prstDash val="solid"/>
          </a:ln>
        </c:spPr>
        <c:dLbl>
          <c:idx val="0"/>
          <c:spPr>
            <a:noFill/>
            <a:ln>
              <a:noFill/>
              <a:prstDash val="solid"/>
            </a:ln>
          </c:spPr>
          <c:txPr>
            <a:bodyPr rot="0" spcFirstLastPara="1" vertOverflow="ellipsis" vert="horz" wrap="square" anchor="ctr" anchorCtr="1"/>
            <a:lstStyle/>
            <a:p>
              <a:pPr>
                <a:defRPr sz="1600" b="1" i="0" strike="noStrike" kern="1200" baseline="0">
                  <a:solidFill>
                    <a:schemeClr val="tx1"/>
                  </a:solidFill>
                  <a:latin typeface="Century Gothic" panose="020B0502020202020204" pitchFamily="34" charset="0"/>
                  <a:ea typeface="+mn-ea"/>
                  <a:cs typeface="+mn-cs"/>
                </a:defRPr>
              </a:pPr>
              <a:endParaRPr lang="ru-RU"/>
            </a:p>
          </c:txPr>
          <c:showLegendKey val="1"/>
          <c:showVal val="1"/>
          <c:showCatName val="1"/>
          <c:showSerName val="1"/>
          <c:showPercent val="1"/>
          <c:showBubbleSize val="1"/>
          <c:extLst>
            <c:ext xmlns:c15="http://schemas.microsoft.com/office/drawing/2012/chart" uri="{CE6537A1-D6FC-4f65-9D91-7224C49458BB}"/>
          </c:extLst>
        </c:dLbl>
      </c:pivotFmt>
      <c:pivotFmt>
        <c:idx val="14"/>
        <c:spPr>
          <a:solidFill>
            <a:srgbClr val="FFC000"/>
          </a:solidFill>
          <a:ln>
            <a:noFill/>
            <a:prstDash val="solid"/>
          </a:ln>
        </c:spPr>
        <c:dLbl>
          <c:idx val="0"/>
          <c:spPr>
            <a:noFill/>
            <a:ln>
              <a:noFill/>
              <a:prstDash val="solid"/>
            </a:ln>
          </c:spPr>
          <c:txPr>
            <a:bodyPr rot="0" spcFirstLastPara="1" vertOverflow="ellipsis" vert="horz" wrap="square" lIns="38100" tIns="19050" rIns="38100" bIns="19050" anchor="ctr" anchorCtr="1">
              <a:spAutoFit/>
            </a:bodyPr>
            <a:lstStyle/>
            <a:p>
              <a:pPr>
                <a:defRPr sz="1000" b="0" i="0" strike="noStrike" kern="1200" baseline="0">
                  <a:solidFill>
                    <a:schemeClr val="tx1"/>
                  </a:solidFill>
                  <a:latin typeface="Century Gothic" panose="020B0502020202020204" pitchFamily="34" charset="0"/>
                  <a:ea typeface="+mn-ea"/>
                  <a:cs typeface="+mn-cs"/>
                </a:defRPr>
              </a:pPr>
              <a:endParaRPr lang="ru-RU"/>
            </a:p>
          </c:txPr>
          <c:showLegendKey val="1"/>
          <c:showVal val="1"/>
          <c:showCatName val="1"/>
          <c:showSerName val="1"/>
          <c:showPercent val="1"/>
          <c:showBubbleSize val="1"/>
          <c:extLst>
            <c:ext xmlns:c15="http://schemas.microsoft.com/office/drawing/2012/chart" uri="{CE6537A1-D6FC-4f65-9D91-7224C49458BB}"/>
          </c:extLst>
        </c:dLbl>
      </c:pivotFmt>
      <c:pivotFmt>
        <c:idx val="15"/>
        <c:spPr>
          <a:solidFill>
            <a:srgbClr val="C00000"/>
          </a:solidFill>
          <a:ln>
            <a:noFill/>
            <a:prstDash val="solid"/>
          </a:ln>
        </c:spPr>
        <c:dLbl>
          <c:idx val="0"/>
          <c:spPr>
            <a:noFill/>
            <a:ln>
              <a:noFill/>
              <a:prstDash val="solid"/>
            </a:ln>
          </c:spPr>
          <c:txPr>
            <a:bodyPr rot="0" spcFirstLastPara="1" vertOverflow="ellipsis" vert="horz" wrap="square" anchor="ctr" anchorCtr="1"/>
            <a:lstStyle/>
            <a:p>
              <a:pPr>
                <a:defRPr sz="1600" b="1" i="0" strike="noStrike" kern="1200" baseline="0">
                  <a:solidFill>
                    <a:schemeClr val="bg1">
                      <a:lumMod val="95000"/>
                    </a:schemeClr>
                  </a:solidFill>
                  <a:latin typeface="Century Gothic" panose="020B0502020202020204" pitchFamily="34" charset="0"/>
                  <a:ea typeface="+mn-ea"/>
                  <a:cs typeface="+mn-cs"/>
                </a:defRPr>
              </a:pPr>
              <a:endParaRPr lang="ru-RU"/>
            </a:p>
          </c:txPr>
          <c:showLegendKey val="1"/>
          <c:showVal val="1"/>
          <c:showCatName val="1"/>
          <c:showSerName val="1"/>
          <c:showPercent val="1"/>
          <c:showBubbleSize val="1"/>
          <c:extLst>
            <c:ext xmlns:c15="http://schemas.microsoft.com/office/drawing/2012/chart" uri="{CE6537A1-D6FC-4f65-9D91-7224C49458BB}"/>
          </c:extLst>
        </c:dLbl>
      </c:pivotFmt>
      <c:pivotFmt>
        <c:idx val="16"/>
        <c:spPr>
          <a:solidFill>
            <a:srgbClr val="70AD47"/>
          </a:solidFill>
          <a:ln>
            <a:noFill/>
            <a:prstDash val="solid"/>
          </a:ln>
        </c:spPr>
        <c:marker>
          <c:symbol val="none"/>
        </c:marker>
        <c:dLbl>
          <c:idx val="0"/>
          <c:spPr>
            <a:noFill/>
            <a:ln>
              <a:noFill/>
              <a:prstDash val="solid"/>
            </a:ln>
          </c:spPr>
          <c:txPr>
            <a:bodyPr rot="0" spcFirstLastPara="1" vertOverflow="ellipsis" vert="horz" wrap="square" anchor="ctr" anchorCtr="1"/>
            <a:lstStyle/>
            <a:p>
              <a:pPr>
                <a:defRPr sz="1600" b="1" i="0" strike="noStrike" kern="1200" baseline="0">
                  <a:solidFill>
                    <a:schemeClr val="tx1"/>
                  </a:solidFill>
                  <a:latin typeface="Century Gothic" panose="020B0502020202020204" pitchFamily="34" charset="0"/>
                  <a:ea typeface="+mn-ea"/>
                  <a:cs typeface="+mn-cs"/>
                </a:defRPr>
              </a:pPr>
              <a:endParaRPr lang="ru-RU"/>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FFC000"/>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1600" b="1" i="0" strike="noStrike" kern="1200" baseline="0">
                  <a:solidFill>
                    <a:schemeClr val="tx1"/>
                  </a:solidFill>
                  <a:latin typeface="Century Gothic" panose="020B0502020202020204" pitchFamily="34" charset="0"/>
                  <a:ea typeface="+mn-ea"/>
                  <a:cs typeface="+mn-cs"/>
                </a:defRPr>
              </a:pPr>
              <a:endParaRPr lang="ru-RU"/>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C00000"/>
          </a:solidFill>
          <a:ln>
            <a:noFill/>
            <a:prstDash val="solid"/>
          </a:ln>
        </c:spPr>
        <c:marker>
          <c:symbol val="none"/>
        </c:marker>
        <c:dLbl>
          <c:idx val="0"/>
          <c:spPr>
            <a:noFill/>
            <a:ln>
              <a:noFill/>
              <a:prstDash val="solid"/>
            </a:ln>
          </c:spPr>
          <c:txPr>
            <a:bodyPr rot="0" spcFirstLastPara="1" vertOverflow="ellipsis" vert="horz" wrap="square" anchor="ctr" anchorCtr="1"/>
            <a:lstStyle/>
            <a:p>
              <a:pPr>
                <a:defRPr sz="1600" b="1" i="0" strike="noStrike" kern="1200" baseline="0">
                  <a:solidFill>
                    <a:schemeClr val="bg1">
                      <a:lumMod val="95000"/>
                    </a:schemeClr>
                  </a:solidFill>
                  <a:latin typeface="Century Gothic" panose="020B0502020202020204" pitchFamily="34" charset="0"/>
                  <a:ea typeface="+mn-ea"/>
                  <a:cs typeface="+mn-cs"/>
                </a:defRPr>
              </a:pPr>
              <a:endParaRPr lang="ru-RU"/>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70AD47"/>
          </a:solidFill>
          <a:ln>
            <a:noFill/>
            <a:prstDash val="solid"/>
          </a:ln>
        </c:spPr>
        <c:marker>
          <c:symbol val="none"/>
        </c:marker>
        <c:dLbl>
          <c:idx val="0"/>
          <c:spPr>
            <a:noFill/>
            <a:ln>
              <a:noFill/>
              <a:prstDash val="solid"/>
            </a:ln>
          </c:spPr>
          <c:txPr>
            <a:bodyPr rot="0" spcFirstLastPara="1" vertOverflow="ellipsis" vert="horz" wrap="square" anchor="ctr" anchorCtr="1"/>
            <a:lstStyle/>
            <a:p>
              <a:pPr>
                <a:defRPr sz="1600" b="1" i="0" strike="noStrike" kern="1200" baseline="0">
                  <a:solidFill>
                    <a:schemeClr val="tx1"/>
                  </a:solidFill>
                  <a:latin typeface="Century Gothic" panose="020B0502020202020204" pitchFamily="34" charset="0"/>
                  <a:ea typeface="+mn-ea"/>
                  <a:cs typeface="+mn-cs"/>
                </a:defRPr>
              </a:pPr>
              <a:endParaRPr lang="ru-RU"/>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FFC000"/>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1600" b="1" i="0" strike="noStrike" kern="1200" baseline="0">
                  <a:solidFill>
                    <a:schemeClr val="tx1"/>
                  </a:solidFill>
                  <a:latin typeface="Century Gothic" panose="020B0502020202020204" pitchFamily="34" charset="0"/>
                  <a:ea typeface="+mn-ea"/>
                  <a:cs typeface="+mn-cs"/>
                </a:defRPr>
              </a:pPr>
              <a:endParaRPr lang="ru-RU"/>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prstDash val="solid"/>
          </a:ln>
        </c:spPr>
        <c:marker>
          <c:symbol val="none"/>
        </c:marker>
        <c:dLbl>
          <c:idx val="0"/>
          <c:spPr>
            <a:noFill/>
            <a:ln>
              <a:noFill/>
              <a:prstDash val="solid"/>
            </a:ln>
          </c:spPr>
          <c:txPr>
            <a:bodyPr rot="0" spcFirstLastPara="1" vertOverflow="ellipsis" vert="horz" wrap="square" anchor="ctr" anchorCtr="1"/>
            <a:lstStyle/>
            <a:p>
              <a:pPr>
                <a:defRPr sz="1600" b="1" i="0" strike="noStrike" kern="1200" baseline="0">
                  <a:solidFill>
                    <a:schemeClr val="bg1">
                      <a:lumMod val="95000"/>
                    </a:schemeClr>
                  </a:solidFill>
                  <a:latin typeface="Century Gothic" panose="020B0502020202020204" pitchFamily="34" charset="0"/>
                  <a:ea typeface="+mn-ea"/>
                  <a:cs typeface="+mn-cs"/>
                </a:defRPr>
              </a:pPr>
              <a:endParaRPr lang="ru-RU"/>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БВ_вахт!$B$3:$B$4</c:f>
              <c:strCache>
                <c:ptCount val="1"/>
                <c:pt idx="0">
                  <c:v>Сумма по полю ПВ, %</c:v>
                </c:pt>
              </c:strCache>
            </c:strRef>
          </c:tx>
          <c:spPr>
            <a:solidFill>
              <a:srgbClr val="70AD47"/>
            </a:solidFill>
            <a:ln>
              <a:noFill/>
              <a:prstDash val="solid"/>
            </a:ln>
          </c:spPr>
          <c:invertIfNegative val="0"/>
          <c:dLbls>
            <c:spPr>
              <a:noFill/>
              <a:ln>
                <a:noFill/>
                <a:prstDash val="solid"/>
              </a:ln>
            </c:spPr>
            <c:txPr>
              <a:bodyPr rot="0" spcFirstLastPara="1" vertOverflow="ellipsis" vert="horz" wrap="square" anchor="ctr" anchorCtr="1"/>
              <a:lstStyle/>
              <a:p>
                <a:pPr>
                  <a:defRPr sz="1600" b="1" i="0" strike="noStrike" kern="1200" baseline="0">
                    <a:solidFill>
                      <a:schemeClr val="tx1"/>
                    </a:solidFill>
                    <a:latin typeface="Century Gothic" panose="020B0502020202020204" pitchFamily="34" charset="0"/>
                    <a:ea typeface="+mn-ea"/>
                    <a:cs typeface="+mn-cs"/>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БВ_вахт!$A$5:$A$21</c:f>
              <c:strCache>
                <c:ptCount val="16"/>
                <c:pt idx="0">
                  <c:v>
</c:v>
                </c:pt>
                <c:pt idx="1">
                  <c:v>Жабин П.П.
</c:v>
                </c:pt>
                <c:pt idx="2">
                  <c:v>Вдовин И.О.
Жангазиев С.К.</c:v>
                </c:pt>
                <c:pt idx="3">
                  <c:v>Жабин П.П.
Керимов Н.К.</c:v>
                </c:pt>
                <c:pt idx="4">
                  <c:v>Тарасов А.С.
Жангазиев С.К.</c:v>
                </c:pt>
                <c:pt idx="5">
                  <c:v>Жабин П.П.
Жангазиев С.К.</c:v>
                </c:pt>
                <c:pt idx="6">
                  <c:v>Тарасов А.С.
Штыкин А.А.</c:v>
                </c:pt>
                <c:pt idx="7">
                  <c:v>Епифанов Д.Б.
Жангазиев С.К.</c:v>
                </c:pt>
                <c:pt idx="8">
                  <c:v>
Шипунов С.И.</c:v>
                </c:pt>
                <c:pt idx="9">
                  <c:v>Епифанов Д.Б.
Хохряков В.Я.</c:v>
                </c:pt>
                <c:pt idx="10">
                  <c:v>Епифанов Д.Б.
Шипунов С.И.</c:v>
                </c:pt>
                <c:pt idx="11">
                  <c:v>
Хохряков В.Я.</c:v>
                </c:pt>
                <c:pt idx="12">
                  <c:v>Жабин П.П.
Титов А.А.</c:v>
                </c:pt>
                <c:pt idx="13">
                  <c:v>
Арбузов А.В.</c:v>
                </c:pt>
                <c:pt idx="14">
                  <c:v>
Титов А.А.</c:v>
                </c:pt>
                <c:pt idx="15">
                  <c:v>Жабин П.П.
Арбузов А.В.</c:v>
                </c:pt>
              </c:strCache>
            </c:strRef>
          </c:cat>
          <c:val>
            <c:numRef>
              <c:f>БВ_вахт!$B$5:$B$21</c:f>
              <c:numCache>
                <c:formatCode>0%</c:formatCode>
                <c:ptCount val="16"/>
                <c:pt idx="0">
                  <c:v>0.63190476190476186</c:v>
                </c:pt>
                <c:pt idx="1">
                  <c:v>0</c:v>
                </c:pt>
                <c:pt idx="2">
                  <c:v>0.40804579070003033</c:v>
                </c:pt>
                <c:pt idx="3">
                  <c:v>0.29399619270757066</c:v>
                </c:pt>
                <c:pt idx="4">
                  <c:v>0.26566153846153845</c:v>
                </c:pt>
                <c:pt idx="5">
                  <c:v>0.41666666666666669</c:v>
                </c:pt>
                <c:pt idx="6">
                  <c:v>0.57499534883720926</c:v>
                </c:pt>
                <c:pt idx="7">
                  <c:v>0.33105454545454543</c:v>
                </c:pt>
                <c:pt idx="8">
                  <c:v>0.46875</c:v>
                </c:pt>
                <c:pt idx="9">
                  <c:v>0.2287499999999999</c:v>
                </c:pt>
                <c:pt idx="10">
                  <c:v>0.30760416666666668</c:v>
                </c:pt>
                <c:pt idx="11">
                  <c:v>0.18739583333333334</c:v>
                </c:pt>
                <c:pt idx="12">
                  <c:v>0</c:v>
                </c:pt>
                <c:pt idx="13">
                  <c:v>0</c:v>
                </c:pt>
                <c:pt idx="14">
                  <c:v>0</c:v>
                </c:pt>
                <c:pt idx="15">
                  <c:v>0</c:v>
                </c:pt>
              </c:numCache>
            </c:numRef>
          </c:val>
          <c:extLst>
            <c:ext xmlns:c16="http://schemas.microsoft.com/office/drawing/2014/chart" uri="{C3380CC4-5D6E-409C-BE32-E72D297353CC}">
              <c16:uniqueId val="{00000000-EF2B-4E1E-8A93-B04470F2102E}"/>
            </c:ext>
          </c:extLst>
        </c:ser>
        <c:ser>
          <c:idx val="1"/>
          <c:order val="1"/>
          <c:tx>
            <c:strRef>
              <c:f>БВ_вахт!$C$3:$C$4</c:f>
              <c:strCache>
                <c:ptCount val="1"/>
                <c:pt idx="0">
                  <c:v>Сумма по полю ПНВ, %</c:v>
                </c:pt>
              </c:strCache>
            </c:strRef>
          </c:tx>
          <c:spPr>
            <a:solidFill>
              <a:srgbClr val="FFC000"/>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1600" b="1" i="0" strike="noStrike" kern="1200" baseline="0">
                    <a:solidFill>
                      <a:schemeClr val="tx1"/>
                    </a:solidFill>
                    <a:latin typeface="Century Gothic" panose="020B0502020202020204" pitchFamily="34" charset="0"/>
                    <a:ea typeface="+mn-ea"/>
                    <a:cs typeface="+mn-cs"/>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БВ_вахт!$A$5:$A$21</c:f>
              <c:strCache>
                <c:ptCount val="16"/>
                <c:pt idx="0">
                  <c:v>
</c:v>
                </c:pt>
                <c:pt idx="1">
                  <c:v>Жабин П.П.
</c:v>
                </c:pt>
                <c:pt idx="2">
                  <c:v>Вдовин И.О.
Жангазиев С.К.</c:v>
                </c:pt>
                <c:pt idx="3">
                  <c:v>Жабин П.П.
Керимов Н.К.</c:v>
                </c:pt>
                <c:pt idx="4">
                  <c:v>Тарасов А.С.
Жангазиев С.К.</c:v>
                </c:pt>
                <c:pt idx="5">
                  <c:v>Жабин П.П.
Жангазиев С.К.</c:v>
                </c:pt>
                <c:pt idx="6">
                  <c:v>Тарасов А.С.
Штыкин А.А.</c:v>
                </c:pt>
                <c:pt idx="7">
                  <c:v>Епифанов Д.Б.
Жангазиев С.К.</c:v>
                </c:pt>
                <c:pt idx="8">
                  <c:v>
Шипунов С.И.</c:v>
                </c:pt>
                <c:pt idx="9">
                  <c:v>Епифанов Д.Б.
Хохряков В.Я.</c:v>
                </c:pt>
                <c:pt idx="10">
                  <c:v>Епифанов Д.Б.
Шипунов С.И.</c:v>
                </c:pt>
                <c:pt idx="11">
                  <c:v>
Хохряков В.Я.</c:v>
                </c:pt>
                <c:pt idx="12">
                  <c:v>Жабин П.П.
Титов А.А.</c:v>
                </c:pt>
                <c:pt idx="13">
                  <c:v>
Арбузов А.В.</c:v>
                </c:pt>
                <c:pt idx="14">
                  <c:v>
Титов А.А.</c:v>
                </c:pt>
                <c:pt idx="15">
                  <c:v>Жабин П.П.
Арбузов А.В.</c:v>
                </c:pt>
              </c:strCache>
            </c:strRef>
          </c:cat>
          <c:val>
            <c:numRef>
              <c:f>БВ_вахт!$C$5:$C$21</c:f>
              <c:numCache>
                <c:formatCode>0%</c:formatCode>
                <c:ptCount val="16"/>
                <c:pt idx="0">
                  <c:v>0.36809523809523814</c:v>
                </c:pt>
                <c:pt idx="1">
                  <c:v>0</c:v>
                </c:pt>
                <c:pt idx="2">
                  <c:v>0.45012460743592347</c:v>
                </c:pt>
                <c:pt idx="3">
                  <c:v>0.37652657782984328</c:v>
                </c:pt>
                <c:pt idx="4">
                  <c:v>0.13818461538461538</c:v>
                </c:pt>
                <c:pt idx="5">
                  <c:v>0</c:v>
                </c:pt>
                <c:pt idx="6">
                  <c:v>0.15922392026578072</c:v>
                </c:pt>
                <c:pt idx="7">
                  <c:v>0.52712727272727267</c:v>
                </c:pt>
                <c:pt idx="8">
                  <c:v>0.32291666666666669</c:v>
                </c:pt>
                <c:pt idx="9">
                  <c:v>0.59416666666666673</c:v>
                </c:pt>
                <c:pt idx="10">
                  <c:v>0.52572916666666669</c:v>
                </c:pt>
                <c:pt idx="11">
                  <c:v>0.62510416666666668</c:v>
                </c:pt>
                <c:pt idx="12">
                  <c:v>0</c:v>
                </c:pt>
                <c:pt idx="13">
                  <c:v>0</c:v>
                </c:pt>
                <c:pt idx="14">
                  <c:v>0</c:v>
                </c:pt>
                <c:pt idx="15">
                  <c:v>0</c:v>
                </c:pt>
              </c:numCache>
            </c:numRef>
          </c:val>
          <c:extLst>
            <c:ext xmlns:c16="http://schemas.microsoft.com/office/drawing/2014/chart" uri="{C3380CC4-5D6E-409C-BE32-E72D297353CC}">
              <c16:uniqueId val="{00000001-EF2B-4E1E-8A93-B04470F2102E}"/>
            </c:ext>
          </c:extLst>
        </c:ser>
        <c:ser>
          <c:idx val="2"/>
          <c:order val="2"/>
          <c:tx>
            <c:strRef>
              <c:f>БВ_вахт!$D$3:$D$4</c:f>
              <c:strCache>
                <c:ptCount val="1"/>
                <c:pt idx="0">
                  <c:v>Сумма по полю НПВ, %</c:v>
                </c:pt>
              </c:strCache>
            </c:strRef>
          </c:tx>
          <c:spPr>
            <a:solidFill>
              <a:srgbClr val="C00000"/>
            </a:solidFill>
            <a:ln>
              <a:noFill/>
              <a:prstDash val="solid"/>
            </a:ln>
          </c:spPr>
          <c:invertIfNegative val="0"/>
          <c:dLbls>
            <c:spPr>
              <a:noFill/>
              <a:ln>
                <a:noFill/>
                <a:prstDash val="solid"/>
              </a:ln>
            </c:spPr>
            <c:txPr>
              <a:bodyPr rot="0" spcFirstLastPara="1" vertOverflow="ellipsis" vert="horz" wrap="square" anchor="ctr" anchorCtr="1"/>
              <a:lstStyle/>
              <a:p>
                <a:pPr>
                  <a:defRPr sz="1600" b="1" i="0" strike="noStrike" kern="1200" baseline="0">
                    <a:solidFill>
                      <a:schemeClr val="bg1">
                        <a:lumMod val="95000"/>
                      </a:schemeClr>
                    </a:solidFill>
                    <a:latin typeface="Century Gothic" panose="020B0502020202020204" pitchFamily="34" charset="0"/>
                    <a:ea typeface="+mn-ea"/>
                    <a:cs typeface="+mn-cs"/>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БВ_вахт!$A$5:$A$21</c:f>
              <c:strCache>
                <c:ptCount val="16"/>
                <c:pt idx="0">
                  <c:v>
</c:v>
                </c:pt>
                <c:pt idx="1">
                  <c:v>Жабин П.П.
</c:v>
                </c:pt>
                <c:pt idx="2">
                  <c:v>Вдовин И.О.
Жангазиев С.К.</c:v>
                </c:pt>
                <c:pt idx="3">
                  <c:v>Жабин П.П.
Керимов Н.К.</c:v>
                </c:pt>
                <c:pt idx="4">
                  <c:v>Тарасов А.С.
Жангазиев С.К.</c:v>
                </c:pt>
                <c:pt idx="5">
                  <c:v>Жабин П.П.
Жангазиев С.К.</c:v>
                </c:pt>
                <c:pt idx="6">
                  <c:v>Тарасов А.С.
Штыкин А.А.</c:v>
                </c:pt>
                <c:pt idx="7">
                  <c:v>Епифанов Д.Б.
Жангазиев С.К.</c:v>
                </c:pt>
                <c:pt idx="8">
                  <c:v>
Шипунов С.И.</c:v>
                </c:pt>
                <c:pt idx="9">
                  <c:v>Епифанов Д.Б.
Хохряков В.Я.</c:v>
                </c:pt>
                <c:pt idx="10">
                  <c:v>Епифанов Д.Б.
Шипунов С.И.</c:v>
                </c:pt>
                <c:pt idx="11">
                  <c:v>
Хохряков В.Я.</c:v>
                </c:pt>
                <c:pt idx="12">
                  <c:v>Жабин П.П.
Титов А.А.</c:v>
                </c:pt>
                <c:pt idx="13">
                  <c:v>
Арбузов А.В.</c:v>
                </c:pt>
                <c:pt idx="14">
                  <c:v>
Титов А.А.</c:v>
                </c:pt>
                <c:pt idx="15">
                  <c:v>Жабин П.П.
Арбузов А.В.</c:v>
                </c:pt>
              </c:strCache>
            </c:strRef>
          </c:cat>
          <c:val>
            <c:numRef>
              <c:f>БВ_вахт!$D$5:$D$21</c:f>
              <c:numCache>
                <c:formatCode>0%</c:formatCode>
                <c:ptCount val="16"/>
                <c:pt idx="0">
                  <c:v>0</c:v>
                </c:pt>
                <c:pt idx="1">
                  <c:v>1</c:v>
                </c:pt>
                <c:pt idx="2">
                  <c:v>0.1418296018640462</c:v>
                </c:pt>
                <c:pt idx="3">
                  <c:v>0.32947722946258601</c:v>
                </c:pt>
                <c:pt idx="4">
                  <c:v>0.59615384615384615</c:v>
                </c:pt>
                <c:pt idx="5">
                  <c:v>0.58333333333333337</c:v>
                </c:pt>
                <c:pt idx="6">
                  <c:v>0.26578073089700999</c:v>
                </c:pt>
                <c:pt idx="7">
                  <c:v>0.14181818181818182</c:v>
                </c:pt>
                <c:pt idx="8">
                  <c:v>0.20833333333333334</c:v>
                </c:pt>
                <c:pt idx="9">
                  <c:v>0.17708333333333334</c:v>
                </c:pt>
                <c:pt idx="10">
                  <c:v>0.16666666666666666</c:v>
                </c:pt>
                <c:pt idx="11">
                  <c:v>0.1875</c:v>
                </c:pt>
                <c:pt idx="12">
                  <c:v>1</c:v>
                </c:pt>
                <c:pt idx="13">
                  <c:v>1</c:v>
                </c:pt>
                <c:pt idx="14">
                  <c:v>1</c:v>
                </c:pt>
                <c:pt idx="15">
                  <c:v>1</c:v>
                </c:pt>
              </c:numCache>
            </c:numRef>
          </c:val>
          <c:extLst>
            <c:ext xmlns:c16="http://schemas.microsoft.com/office/drawing/2014/chart" uri="{C3380CC4-5D6E-409C-BE32-E72D297353CC}">
              <c16:uniqueId val="{00000002-EF2B-4E1E-8A93-B04470F2102E}"/>
            </c:ext>
          </c:extLst>
        </c:ser>
        <c:dLbls>
          <c:dLblPos val="ctr"/>
          <c:showLegendKey val="0"/>
          <c:showVal val="1"/>
          <c:showCatName val="0"/>
          <c:showSerName val="0"/>
          <c:showPercent val="0"/>
          <c:showBubbleSize val="0"/>
        </c:dLbls>
        <c:gapWidth val="300"/>
        <c:overlap val="100"/>
        <c:axId val="192346111"/>
        <c:axId val="192344319"/>
      </c:barChart>
      <c:catAx>
        <c:axId val="192346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1200" b="0" i="0" strike="noStrike" kern="1200" baseline="0">
                <a:solidFill>
                  <a:schemeClr val="tx1"/>
                </a:solidFill>
                <a:latin typeface="Century Gothic" panose="020B0502020202020204" pitchFamily="34" charset="0"/>
                <a:ea typeface="+mn-ea"/>
                <a:cs typeface="+mn-cs"/>
              </a:defRPr>
            </a:pPr>
            <a:endParaRPr lang="ru-RU"/>
          </a:p>
        </c:txPr>
        <c:crossAx val="192344319"/>
        <c:crosses val="autoZero"/>
        <c:auto val="1"/>
        <c:lblAlgn val="ctr"/>
        <c:lblOffset val="100"/>
        <c:noMultiLvlLbl val="0"/>
      </c:catAx>
      <c:valAx>
        <c:axId val="192344319"/>
        <c:scaling>
          <c:orientation val="minMax"/>
        </c:scaling>
        <c:delete val="1"/>
        <c:axPos val="l"/>
        <c:numFmt formatCode="0%" sourceLinked="1"/>
        <c:majorTickMark val="out"/>
        <c:minorTickMark val="none"/>
        <c:tickLblPos val="nextTo"/>
        <c:crossAx val="192346111"/>
        <c:crosses val="autoZero"/>
        <c:crossBetween val="between"/>
        <c:majorUnit val="0.2"/>
      </c:valAx>
    </c:plotArea>
    <c:plotVisOnly val="1"/>
    <c:dispBlanksAs val="gap"/>
    <c:showDLblsOverMax val="1"/>
  </c:chart>
  <c:spPr>
    <a:solidFill>
      <a:schemeClr val="bg1">
        <a:lumMod val="95000"/>
      </a:schemeClr>
    </a:solidFill>
    <a:ln w="9525" cap="flat" cmpd="sng" algn="ctr">
      <a:noFill/>
      <a:prstDash val="solid"/>
      <a:round/>
    </a:ln>
  </c:sp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pivotSource>
    <c:name>[КРС-3 обнова планирование.xlsx]НПВ_по_группам!НПВ_по_группам</c:name>
    <c:fmtId val="0"/>
  </c:pivotSource>
  <c:chart>
    <c:title>
      <c:tx>
        <c:rich>
          <a:bodyPr rot="0" spcFirstLastPara="1" vertOverflow="ellipsis" vert="horz" wrap="square" anchor="ctr" anchorCtr="1"/>
          <a:lstStyle/>
          <a:p>
            <a:pPr>
              <a:defRPr sz="1400" b="0" i="0" strike="noStrike" kern="1200" spc="0" baseline="0">
                <a:solidFill>
                  <a:schemeClr val="tx1"/>
                </a:solidFill>
                <a:latin typeface="Century Gothic" panose="020B0502020202020204" pitchFamily="34" charset="0"/>
                <a:ea typeface="+mn-ea"/>
                <a:cs typeface="+mn-cs"/>
              </a:defRPr>
            </a:pPr>
            <a:r>
              <a:rPr lang="ru-RU"/>
              <a:t>Распределение НПВ по группам, часы</a:t>
            </a:r>
          </a:p>
        </c:rich>
      </c:tx>
      <c:overlay val="0"/>
      <c:spPr>
        <a:noFill/>
        <a:ln>
          <a:noFill/>
          <a:prstDash val="solid"/>
        </a:ln>
      </c:spPr>
    </c:title>
    <c:autoTitleDeleted val="0"/>
    <c:pivotFmts>
      <c:pivotFmt>
        <c:idx val="0"/>
        <c:spPr>
          <a:solidFill>
            <a:srgbClr val="C00000"/>
          </a:solidFill>
          <a:ln>
            <a:noFill/>
            <a:prstDash val="solid"/>
          </a:ln>
        </c:spPr>
        <c:marker>
          <c:symbol val="none"/>
        </c:marker>
        <c:dLbl>
          <c:idx val="0"/>
          <c:spPr>
            <a:noFill/>
            <a:ln>
              <a:noFill/>
              <a:prstDash val="solid"/>
            </a:ln>
          </c:spPr>
          <c:txPr>
            <a:bodyPr rot="0" spcFirstLastPara="1" vertOverflow="ellipsis" vert="horz" wrap="square" anchor="ctr" anchorCtr="1"/>
            <a:lstStyle/>
            <a:p>
              <a:pPr>
                <a:defRPr sz="900" b="1" i="0" strike="noStrike" kern="1200" baseline="0">
                  <a:solidFill>
                    <a:schemeClr val="tx1"/>
                  </a:solidFill>
                  <a:latin typeface="Century Gothic" panose="020B0502020202020204" pitchFamily="34" charset="0"/>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НПВ_по_группам!$B$3</c:f>
              <c:strCache>
                <c:ptCount val="1"/>
                <c:pt idx="0">
                  <c:v>Итог</c:v>
                </c:pt>
              </c:strCache>
            </c:strRef>
          </c:tx>
          <c:spPr>
            <a:solidFill>
              <a:srgbClr val="C00000"/>
            </a:solidFill>
            <a:ln>
              <a:noFill/>
              <a:prstDash val="solid"/>
            </a:ln>
          </c:spPr>
          <c:invertIfNegative val="0"/>
          <c:dLbls>
            <c:spPr>
              <a:noFill/>
              <a:ln>
                <a:noFill/>
                <a:prstDash val="solid"/>
              </a:ln>
            </c:spPr>
            <c:txPr>
              <a:bodyPr rot="0" spcFirstLastPara="1" vertOverflow="ellipsis" vert="horz" wrap="square" anchor="ctr" anchorCtr="1"/>
              <a:lstStyle/>
              <a:p>
                <a:pPr>
                  <a:defRPr sz="900" b="1" i="0" strike="noStrike" kern="1200" baseline="0">
                    <a:solidFill>
                      <a:schemeClr val="tx1"/>
                    </a:solidFill>
                    <a:latin typeface="Century Gothic" panose="020B0502020202020204" pitchFamily="34" charset="0"/>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НПВ_по_группам!$A$4:$A$7</c:f>
              <c:strCache>
                <c:ptCount val="3"/>
                <c:pt idx="0">
                  <c:v>Ожидание разрешения</c:v>
                </c:pt>
                <c:pt idx="1">
                  <c:v>(пусто)</c:v>
                </c:pt>
                <c:pt idx="2">
                  <c:v>Ожидание персонала</c:v>
                </c:pt>
              </c:strCache>
            </c:strRef>
          </c:cat>
          <c:val>
            <c:numRef>
              <c:f>НПВ_по_группам!$B$4:$B$7</c:f>
              <c:numCache>
                <c:formatCode>0.0</c:formatCode>
                <c:ptCount val="3"/>
                <c:pt idx="0">
                  <c:v>202</c:v>
                </c:pt>
                <c:pt idx="1">
                  <c:v>70.5</c:v>
                </c:pt>
                <c:pt idx="2">
                  <c:v>69</c:v>
                </c:pt>
              </c:numCache>
            </c:numRef>
          </c:val>
          <c:extLst>
            <c:ext xmlns:c16="http://schemas.microsoft.com/office/drawing/2014/chart" uri="{C3380CC4-5D6E-409C-BE32-E72D297353CC}">
              <c16:uniqueId val="{00000000-6E29-4667-AFA9-E58537F38F49}"/>
            </c:ext>
          </c:extLst>
        </c:ser>
        <c:dLbls>
          <c:showLegendKey val="0"/>
          <c:showVal val="0"/>
          <c:showCatName val="0"/>
          <c:showSerName val="0"/>
          <c:showPercent val="0"/>
          <c:showBubbleSize val="0"/>
        </c:dLbls>
        <c:gapWidth val="182"/>
        <c:axId val="195442687"/>
        <c:axId val="1123418111"/>
      </c:barChart>
      <c:catAx>
        <c:axId val="195442687"/>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solidFill>
                <a:latin typeface="Century Gothic" panose="020B0502020202020204" pitchFamily="34" charset="0"/>
                <a:ea typeface="+mn-ea"/>
                <a:cs typeface="+mn-cs"/>
              </a:defRPr>
            </a:pPr>
            <a:endParaRPr lang="ru-RU"/>
          </a:p>
        </c:txPr>
        <c:crossAx val="1123418111"/>
        <c:crosses val="autoZero"/>
        <c:auto val="1"/>
        <c:lblAlgn val="ctr"/>
        <c:lblOffset val="100"/>
        <c:noMultiLvlLbl val="0"/>
      </c:catAx>
      <c:valAx>
        <c:axId val="1123418111"/>
        <c:scaling>
          <c:orientation val="minMax"/>
        </c:scaling>
        <c:delete val="1"/>
        <c:axPos val="t"/>
        <c:numFmt formatCode="0.0" sourceLinked="1"/>
        <c:majorTickMark val="none"/>
        <c:minorTickMark val="none"/>
        <c:tickLblPos val="nextTo"/>
        <c:crossAx val="195442687"/>
        <c:crosses val="autoZero"/>
        <c:crossBetween val="between"/>
      </c:valAx>
    </c:plotArea>
    <c:plotVisOnly val="1"/>
    <c:dispBlanksAs val="gap"/>
    <c:showDLblsOverMax val="1"/>
  </c:chart>
  <c:spPr>
    <a:solidFill>
      <a:schemeClr val="bg1">
        <a:lumMod val="95000"/>
      </a:schemeClr>
    </a:solidFill>
    <a:ln w="9525" cap="flat" cmpd="sng" algn="ctr">
      <a:noFill/>
      <a:prstDash val="solid"/>
      <a:round/>
    </a:ln>
  </c:sp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pivotSource>
    <c:name>[КРС-3 обнова планирование.xlsx]КПВ_вахт!КПВ_вахт</c:name>
    <c:fmtId val="7"/>
  </c:pivotSource>
  <c:chart>
    <c:title>
      <c:tx>
        <c:rich>
          <a:bodyPr rot="0" spcFirstLastPara="1" vertOverflow="ellipsis" vert="horz" wrap="square" anchor="ctr" anchorCtr="1"/>
          <a:lstStyle/>
          <a:p>
            <a:pPr>
              <a:defRPr sz="1400" b="0" i="0" strike="noStrike" kern="1200" spc="0" baseline="0">
                <a:solidFill>
                  <a:schemeClr val="tx1"/>
                </a:solidFill>
                <a:latin typeface="Century Gothic" panose="020B0502020202020204" pitchFamily="34" charset="0"/>
                <a:ea typeface="+mn-ea"/>
                <a:cs typeface="+mn-cs"/>
              </a:defRPr>
            </a:pPr>
            <a:r>
              <a:rPr lang="ru-RU"/>
              <a:t>% ПВ вахт на разных этапах строительства</a:t>
            </a:r>
            <a:r>
              <a:rPr lang="ru-RU" baseline="0"/>
              <a:t> скважины</a:t>
            </a:r>
            <a:endParaRPr lang="ru-RU"/>
          </a:p>
        </c:rich>
      </c:tx>
      <c:overlay val="0"/>
      <c:spPr>
        <a:noFill/>
        <a:ln>
          <a:noFill/>
          <a:prstDash val="solid"/>
        </a:ln>
      </c:spPr>
    </c:title>
    <c:autoTitleDeleted val="0"/>
    <c:pivotFmts>
      <c:pivotFmt>
        <c:idx val="0"/>
        <c:spPr>
          <a:solidFill>
            <a:srgbClr val="C00000"/>
          </a:solidFill>
          <a:ln>
            <a:noFill/>
            <a:prstDash val="solid"/>
          </a:ln>
        </c:spPr>
        <c:marker>
          <c:symbol val="none"/>
        </c:marker>
        <c:dLbl>
          <c:idx val="0"/>
          <c:spPr>
            <a:noFill/>
            <a:ln>
              <a:noFill/>
              <a:prstDash val="solid"/>
            </a:ln>
          </c:spPr>
          <c:txPr>
            <a:bodyPr rot="0" spcFirstLastPara="1" vertOverflow="ellipsis" vert="horz" wrap="square" anchor="ctr" anchorCtr="1"/>
            <a:lstStyle/>
            <a:p>
              <a:pPr>
                <a:defRPr sz="900" b="1" i="0" strike="noStrike" kern="1200" baseline="0">
                  <a:solidFill>
                    <a:schemeClr val="tx1"/>
                  </a:solidFill>
                  <a:latin typeface="Century Gothic" panose="020B0502020202020204" pitchFamily="34" charset="0"/>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prstDash val="solid"/>
          </a:ln>
        </c:spPr>
        <c:marker>
          <c:symbol val="none"/>
        </c:marker>
        <c:dLbl>
          <c:idx val="0"/>
          <c:spPr>
            <a:noFill/>
            <a:ln>
              <a:noFill/>
              <a:prstDash val="solid"/>
            </a:ln>
          </c:spPr>
          <c:txPr>
            <a:bodyPr rot="0" spcFirstLastPara="1" vertOverflow="ellipsis" vert="horz" wrap="square" anchor="ctr" anchorCtr="1"/>
            <a:lstStyle/>
            <a:p>
              <a:pPr>
                <a:defRPr sz="900" b="1" i="0" strike="noStrike" kern="1200" baseline="0">
                  <a:solidFill>
                    <a:schemeClr val="tx1"/>
                  </a:solidFill>
                  <a:latin typeface="Century Gothic" panose="020B0502020202020204" pitchFamily="34" charset="0"/>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prstDash val="solid"/>
          </a:ln>
        </c:spPr>
        <c:marker>
          <c:symbol val="none"/>
        </c:marker>
        <c:dLbl>
          <c:idx val="0"/>
          <c:spPr>
            <a:noFill/>
            <a:ln>
              <a:noFill/>
              <a:prstDash val="solid"/>
            </a:ln>
          </c:spPr>
          <c:txPr>
            <a:bodyPr rot="0" spcFirstLastPara="1" vertOverflow="ellipsis" vert="horz" wrap="square" anchor="ctr" anchorCtr="1"/>
            <a:lstStyle/>
            <a:p>
              <a:pPr>
                <a:defRPr sz="900" b="1" i="0" strike="noStrike" kern="1200" baseline="0">
                  <a:solidFill>
                    <a:schemeClr val="tx1"/>
                  </a:solidFill>
                  <a:latin typeface="Century Gothic" panose="020B0502020202020204" pitchFamily="34" charset="0"/>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70AD47"/>
          </a:solidFill>
          <a:ln>
            <a:noFill/>
            <a:prstDash val="solid"/>
          </a:ln>
        </c:spPr>
        <c:marker>
          <c:symbol val="none"/>
        </c:marker>
        <c:dLbl>
          <c:idx val="0"/>
          <c:spPr>
            <a:noFill/>
            <a:ln>
              <a:noFill/>
              <a:prstDash val="solid"/>
            </a:ln>
          </c:spPr>
          <c:txPr>
            <a:bodyPr rot="0" spcFirstLastPara="1" vertOverflow="ellipsis" vert="horz" wrap="square" anchor="ctr" anchorCtr="1"/>
            <a:lstStyle/>
            <a:p>
              <a:pPr>
                <a:defRPr sz="1600" b="1" i="0" strike="noStrike" kern="1200" baseline="0">
                  <a:solidFill>
                    <a:schemeClr val="tx1"/>
                  </a:solidFill>
                  <a:latin typeface="Century Gothic" panose="020B0502020202020204" pitchFamily="34" charset="0"/>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70AD47"/>
          </a:solidFill>
          <a:ln>
            <a:noFill/>
            <a:prstDash val="solid"/>
          </a:ln>
        </c:spPr>
        <c:marker>
          <c:symbol val="none"/>
        </c:marker>
        <c:dLbl>
          <c:idx val="0"/>
          <c:spPr>
            <a:noFill/>
            <a:ln>
              <a:noFill/>
              <a:prstDash val="solid"/>
            </a:ln>
          </c:spPr>
          <c:txPr>
            <a:bodyPr rot="0" spcFirstLastPara="1" vertOverflow="ellipsis" vert="horz" wrap="square" anchor="ctr" anchorCtr="1"/>
            <a:lstStyle/>
            <a:p>
              <a:pPr>
                <a:defRPr sz="1600" b="1" i="0" strike="noStrike" kern="1200" baseline="0">
                  <a:solidFill>
                    <a:schemeClr val="tx1"/>
                  </a:solidFill>
                  <a:latin typeface="Century Gothic" panose="020B0502020202020204" pitchFamily="34" charset="0"/>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КПВ_вахт!$B$3</c:f>
              <c:strCache>
                <c:ptCount val="1"/>
                <c:pt idx="0">
                  <c:v>Итог</c:v>
                </c:pt>
              </c:strCache>
            </c:strRef>
          </c:tx>
          <c:spPr>
            <a:solidFill>
              <a:srgbClr val="70AD47"/>
            </a:solidFill>
            <a:ln>
              <a:noFill/>
              <a:prstDash val="solid"/>
            </a:ln>
          </c:spPr>
          <c:invertIfNegative val="0"/>
          <c:dLbls>
            <c:spPr>
              <a:noFill/>
              <a:ln>
                <a:noFill/>
                <a:prstDash val="solid"/>
              </a:ln>
            </c:spPr>
            <c:txPr>
              <a:bodyPr rot="0" spcFirstLastPara="1" vertOverflow="ellipsis" vert="horz" wrap="square" anchor="ctr" anchorCtr="1"/>
              <a:lstStyle/>
              <a:p>
                <a:pPr>
                  <a:defRPr sz="1600" b="1" i="0" strike="noStrike" kern="1200" baseline="0">
                    <a:solidFill>
                      <a:schemeClr val="tx1"/>
                    </a:solidFill>
                    <a:latin typeface="Century Gothic" panose="020B0502020202020204" pitchFamily="34" charset="0"/>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КПВ_вахт!$A$4:$A$12</c:f>
              <c:strCache>
                <c:ptCount val="8"/>
                <c:pt idx="0">
                  <c:v>(пусто)</c:v>
                </c:pt>
                <c:pt idx="1">
                  <c:v>Жангазиев С.К.</c:v>
                </c:pt>
                <c:pt idx="2">
                  <c:v>Керимов Н.К.</c:v>
                </c:pt>
                <c:pt idx="3">
                  <c:v>Штыкин А.А.</c:v>
                </c:pt>
                <c:pt idx="4">
                  <c:v>Шипунов С.И.</c:v>
                </c:pt>
                <c:pt idx="5">
                  <c:v>Хохряков В.Я.</c:v>
                </c:pt>
                <c:pt idx="6">
                  <c:v>Титов А.А.</c:v>
                </c:pt>
                <c:pt idx="7">
                  <c:v>Арбузов А.В.</c:v>
                </c:pt>
              </c:strCache>
            </c:strRef>
          </c:cat>
          <c:val>
            <c:numRef>
              <c:f>КПВ_вахт!$B$4:$B$12</c:f>
              <c:numCache>
                <c:formatCode>0%</c:formatCode>
                <c:ptCount val="8"/>
                <c:pt idx="0">
                  <c:v>0.29488888888888887</c:v>
                </c:pt>
                <c:pt idx="1">
                  <c:v>0.36320766068384636</c:v>
                </c:pt>
                <c:pt idx="2">
                  <c:v>0.2939961927075706</c:v>
                </c:pt>
                <c:pt idx="3">
                  <c:v>0.57499534883720926</c:v>
                </c:pt>
                <c:pt idx="4">
                  <c:v>0.38817708333333334</c:v>
                </c:pt>
                <c:pt idx="5">
                  <c:v>0.20807291666666661</c:v>
                </c:pt>
                <c:pt idx="6">
                  <c:v>0</c:v>
                </c:pt>
                <c:pt idx="7">
                  <c:v>0</c:v>
                </c:pt>
              </c:numCache>
            </c:numRef>
          </c:val>
          <c:extLst>
            <c:ext xmlns:c16="http://schemas.microsoft.com/office/drawing/2014/chart" uri="{C3380CC4-5D6E-409C-BE32-E72D297353CC}">
              <c16:uniqueId val="{00000000-86B4-44FD-8E90-5264E4988A31}"/>
            </c:ext>
          </c:extLst>
        </c:ser>
        <c:dLbls>
          <c:showLegendKey val="0"/>
          <c:showVal val="0"/>
          <c:showCatName val="0"/>
          <c:showSerName val="0"/>
          <c:showPercent val="0"/>
          <c:showBubbleSize val="0"/>
        </c:dLbls>
        <c:gapWidth val="219"/>
        <c:overlap val="-27"/>
        <c:axId val="644149295"/>
        <c:axId val="458405087"/>
      </c:barChart>
      <c:catAx>
        <c:axId val="644149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solidFill>
                <a:latin typeface="Century Gothic" panose="020B0502020202020204" pitchFamily="34" charset="0"/>
                <a:ea typeface="+mn-ea"/>
                <a:cs typeface="+mn-cs"/>
              </a:defRPr>
            </a:pPr>
            <a:endParaRPr lang="ru-RU"/>
          </a:p>
        </c:txPr>
        <c:crossAx val="458405087"/>
        <c:crosses val="autoZero"/>
        <c:auto val="1"/>
        <c:lblAlgn val="ctr"/>
        <c:lblOffset val="100"/>
        <c:noMultiLvlLbl val="0"/>
      </c:catAx>
      <c:valAx>
        <c:axId val="458405087"/>
        <c:scaling>
          <c:orientation val="minMax"/>
        </c:scaling>
        <c:delete val="1"/>
        <c:axPos val="l"/>
        <c:numFmt formatCode="0%" sourceLinked="1"/>
        <c:majorTickMark val="none"/>
        <c:minorTickMark val="none"/>
        <c:tickLblPos val="nextTo"/>
        <c:crossAx val="644149295"/>
        <c:crosses val="autoZero"/>
        <c:crossBetween val="between"/>
      </c:valAx>
    </c:plotArea>
    <c:plotVisOnly val="1"/>
    <c:dispBlanksAs val="gap"/>
    <c:showDLblsOverMax val="1"/>
  </c:chart>
  <c:spPr>
    <a:solidFill>
      <a:schemeClr val="bg1">
        <a:lumMod val="95000"/>
      </a:schemeClr>
    </a:solidFill>
    <a:ln w="9525" cap="flat" cmpd="sng" algn="ctr">
      <a:noFill/>
      <a:prstDash val="solid"/>
      <a:round/>
    </a:ln>
  </c:sp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pivotSource>
    <c:name>[КРС-3 обнова планирование.xlsx]Топ_ремонтов!Топ_ремонтов</c:name>
    <c:fmtId val="0"/>
  </c:pivotSource>
  <c:chart>
    <c:title>
      <c:tx>
        <c:rich>
          <a:bodyPr rot="0" spcFirstLastPara="1" vertOverflow="ellipsis" vert="horz" wrap="square" anchor="ctr" anchorCtr="1"/>
          <a:lstStyle/>
          <a:p>
            <a:pPr>
              <a:defRPr sz="1400" b="0" i="0" strike="noStrike" kern="1200" spc="0" baseline="0">
                <a:solidFill>
                  <a:schemeClr val="tx1"/>
                </a:solidFill>
                <a:latin typeface="Century Gothic" panose="020B0502020202020204" pitchFamily="34" charset="0"/>
                <a:ea typeface="+mn-ea"/>
                <a:cs typeface="+mn-cs"/>
              </a:defRPr>
            </a:pPr>
            <a:r>
              <a:rPr lang="ru-RU"/>
              <a:t>Топ ремонтов, часы</a:t>
            </a:r>
          </a:p>
        </c:rich>
      </c:tx>
      <c:overlay val="0"/>
      <c:spPr>
        <a:noFill/>
        <a:ln>
          <a:noFill/>
          <a:prstDash val="solid"/>
        </a:ln>
      </c:spPr>
    </c:title>
    <c:autoTitleDeleted val="0"/>
    <c:pivotFmts>
      <c:pivotFmt>
        <c:idx val="0"/>
        <c:spPr>
          <a:solidFill>
            <a:srgbClr val="C00000"/>
          </a:solidFill>
          <a:ln>
            <a:noFill/>
            <a:prstDash val="solid"/>
          </a:ln>
        </c:spPr>
        <c:marker>
          <c:symbol val="none"/>
        </c:marker>
        <c:dLbl>
          <c:idx val="0"/>
          <c:spPr>
            <a:noFill/>
            <a:ln>
              <a:noFill/>
              <a:prstDash val="solid"/>
            </a:ln>
          </c:spPr>
          <c:txPr>
            <a:bodyPr rot="0" spcFirstLastPara="1" vertOverflow="ellipsis" vert="horz" wrap="square" anchor="ctr" anchorCtr="1"/>
            <a:lstStyle/>
            <a:p>
              <a:pPr>
                <a:defRPr sz="900" b="1" i="0" strike="noStrike" kern="1200" baseline="0">
                  <a:solidFill>
                    <a:schemeClr val="tx1"/>
                  </a:solidFill>
                  <a:latin typeface="Century Gothic" panose="020B0502020202020204" pitchFamily="34" charset="0"/>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prstDash val="solid"/>
          </a:ln>
        </c:spPr>
        <c:marker>
          <c:symbol val="none"/>
        </c:marker>
        <c:dLbl>
          <c:idx val="0"/>
          <c:spPr>
            <a:noFill/>
            <a:ln>
              <a:noFill/>
              <a:prstDash val="solid"/>
            </a:ln>
          </c:spPr>
          <c:txPr>
            <a:bodyPr rot="0" spcFirstLastPara="1" vertOverflow="ellipsis" vert="horz" wrap="square" anchor="ctr" anchorCtr="1"/>
            <a:lstStyle/>
            <a:p>
              <a:pPr>
                <a:defRPr sz="900" b="1" i="0" strike="noStrike" kern="1200" baseline="0">
                  <a:solidFill>
                    <a:schemeClr val="tx1"/>
                  </a:solidFill>
                  <a:latin typeface="Century Gothic" panose="020B0502020202020204" pitchFamily="34" charset="0"/>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prstDash val="solid"/>
          </a:ln>
        </c:spPr>
        <c:marker>
          <c:symbol val="none"/>
        </c:marker>
        <c:dLbl>
          <c:idx val="0"/>
          <c:spPr>
            <a:noFill/>
            <a:ln>
              <a:noFill/>
              <a:prstDash val="solid"/>
            </a:ln>
          </c:spPr>
          <c:txPr>
            <a:bodyPr rot="0" spcFirstLastPara="1" vertOverflow="ellipsis" vert="horz" wrap="square" anchor="ctr" anchorCtr="1"/>
            <a:lstStyle/>
            <a:p>
              <a:pPr>
                <a:defRPr sz="900" b="1" i="0" strike="noStrike" kern="1200" baseline="0">
                  <a:solidFill>
                    <a:schemeClr val="tx1"/>
                  </a:solidFill>
                  <a:latin typeface="Century Gothic" panose="020B0502020202020204" pitchFamily="34" charset="0"/>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00000"/>
          </a:solidFill>
          <a:ln>
            <a:noFill/>
            <a:prstDash val="solid"/>
          </a:ln>
        </c:spPr>
        <c:marker>
          <c:symbol val="none"/>
        </c:marker>
        <c:dLbl>
          <c:idx val="0"/>
          <c:spPr>
            <a:noFill/>
            <a:ln>
              <a:noFill/>
              <a:prstDash val="solid"/>
            </a:ln>
          </c:spPr>
          <c:txPr>
            <a:bodyPr rot="0" spcFirstLastPara="1" vertOverflow="ellipsis" vert="horz" wrap="square" anchor="ctr" anchorCtr="1"/>
            <a:lstStyle/>
            <a:p>
              <a:pPr>
                <a:defRPr sz="1600" b="1" i="0" strike="noStrike" kern="1200" baseline="0">
                  <a:solidFill>
                    <a:schemeClr val="tx1"/>
                  </a:solidFill>
                  <a:latin typeface="Century Gothic" panose="020B0502020202020204" pitchFamily="34" charset="0"/>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Топ_ремонтов!$B$4</c:f>
              <c:strCache>
                <c:ptCount val="1"/>
                <c:pt idx="0">
                  <c:v>Итог</c:v>
                </c:pt>
              </c:strCache>
            </c:strRef>
          </c:tx>
          <c:spPr>
            <a:solidFill>
              <a:srgbClr val="C00000"/>
            </a:solidFill>
            <a:ln>
              <a:noFill/>
              <a:prstDash val="solid"/>
            </a:ln>
          </c:spPr>
          <c:invertIfNegative val="0"/>
          <c:dLbls>
            <c:spPr>
              <a:noFill/>
              <a:ln>
                <a:noFill/>
                <a:prstDash val="solid"/>
              </a:ln>
            </c:spPr>
            <c:txPr>
              <a:bodyPr rot="0" spcFirstLastPara="1" vertOverflow="ellipsis" vert="horz" wrap="square" anchor="ctr" anchorCtr="1"/>
              <a:lstStyle/>
              <a:p>
                <a:pPr>
                  <a:defRPr sz="1600" b="1" i="0" strike="noStrike" kern="1200" baseline="0">
                    <a:solidFill>
                      <a:schemeClr val="tx1"/>
                    </a:solidFill>
                    <a:latin typeface="Century Gothic" panose="020B0502020202020204" pitchFamily="34" charset="0"/>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Топ_ремонтов!$A$5:$A$11</c:f>
              <c:multiLvlStrCache>
                <c:ptCount val="4"/>
                <c:lvl>
                  <c:pt idx="0">
                    <c:v>ПВО</c:v>
                  </c:pt>
                  <c:pt idx="1">
                    <c:v>Запорная арматура</c:v>
                  </c:pt>
                  <c:pt idx="2">
                    <c:v>ПВО</c:v>
                  </c:pt>
                  <c:pt idx="3">
                    <c:v>УПА</c:v>
                  </c:pt>
                </c:lvl>
                <c:lvl>
                  <c:pt idx="0">
                    <c:v>Замена</c:v>
                  </c:pt>
                  <c:pt idx="2">
                    <c:v>Ремонт</c:v>
                  </c:pt>
                </c:lvl>
              </c:multiLvlStrCache>
            </c:multiLvlStrRef>
          </c:cat>
          <c:val>
            <c:numRef>
              <c:f>Топ_ремонтов!$B$5:$B$11</c:f>
              <c:numCache>
                <c:formatCode>0</c:formatCode>
                <c:ptCount val="4"/>
                <c:pt idx="0">
                  <c:v>5</c:v>
                </c:pt>
                <c:pt idx="1">
                  <c:v>4</c:v>
                </c:pt>
                <c:pt idx="2">
                  <c:v>6</c:v>
                </c:pt>
                <c:pt idx="3">
                  <c:v>1.5</c:v>
                </c:pt>
              </c:numCache>
            </c:numRef>
          </c:val>
          <c:extLst>
            <c:ext xmlns:c16="http://schemas.microsoft.com/office/drawing/2014/chart" uri="{C3380CC4-5D6E-409C-BE32-E72D297353CC}">
              <c16:uniqueId val="{00000000-1829-4F70-BFE5-7DB9ED175A7D}"/>
            </c:ext>
          </c:extLst>
        </c:ser>
        <c:dLbls>
          <c:showLegendKey val="0"/>
          <c:showVal val="0"/>
          <c:showCatName val="0"/>
          <c:showSerName val="0"/>
          <c:showPercent val="0"/>
          <c:showBubbleSize val="0"/>
        </c:dLbls>
        <c:gapWidth val="219"/>
        <c:overlap val="-27"/>
        <c:axId val="644149295"/>
        <c:axId val="458405087"/>
      </c:barChart>
      <c:catAx>
        <c:axId val="644149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solidFill>
                <a:latin typeface="Century Gothic" panose="020B0502020202020204" pitchFamily="34" charset="0"/>
                <a:ea typeface="+mn-ea"/>
                <a:cs typeface="+mn-cs"/>
              </a:defRPr>
            </a:pPr>
            <a:endParaRPr lang="ru-RU"/>
          </a:p>
        </c:txPr>
        <c:crossAx val="458405087"/>
        <c:crosses val="autoZero"/>
        <c:auto val="1"/>
        <c:lblAlgn val="ctr"/>
        <c:lblOffset val="100"/>
        <c:noMultiLvlLbl val="0"/>
      </c:catAx>
      <c:valAx>
        <c:axId val="458405087"/>
        <c:scaling>
          <c:orientation val="minMax"/>
        </c:scaling>
        <c:delete val="1"/>
        <c:axPos val="l"/>
        <c:numFmt formatCode="0" sourceLinked="1"/>
        <c:majorTickMark val="none"/>
        <c:minorTickMark val="none"/>
        <c:tickLblPos val="nextTo"/>
        <c:crossAx val="644149295"/>
        <c:crosses val="autoZero"/>
        <c:crossBetween val="between"/>
      </c:valAx>
    </c:plotArea>
    <c:plotVisOnly val="1"/>
    <c:dispBlanksAs val="gap"/>
    <c:showDLblsOverMax val="1"/>
  </c:chart>
  <c:spPr>
    <a:solidFill>
      <a:schemeClr val="bg1">
        <a:lumMod val="95000"/>
      </a:schemeClr>
    </a:solidFill>
    <a:ln w="9525" cap="flat" cmpd="sng" algn="ctr">
      <a:noFill/>
      <a:prstDash val="solid"/>
      <a:round/>
    </a:ln>
  </c:sp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pivotSource>
    <c:name>[КРС-3 обнова планирование.xlsx]Топ_ПНВ!Топ_НПВ_по_группам</c:name>
    <c:fmtId val="0"/>
  </c:pivotSource>
  <c:chart>
    <c:title>
      <c:tx>
        <c:rich>
          <a:bodyPr rot="0" spcFirstLastPara="1" vertOverflow="ellipsis" vert="horz" wrap="square" anchor="ctr" anchorCtr="1"/>
          <a:lstStyle/>
          <a:p>
            <a:pPr>
              <a:defRPr sz="1400" b="0" i="0" strike="noStrike" kern="1200" spc="0" baseline="0">
                <a:solidFill>
                  <a:schemeClr val="tx1"/>
                </a:solidFill>
                <a:latin typeface="Century Gothic" panose="020B0502020202020204" pitchFamily="34" charset="0"/>
                <a:ea typeface="+mn-ea"/>
                <a:cs typeface="+mn-cs"/>
              </a:defRPr>
            </a:pPr>
            <a:r>
              <a:rPr lang="ru-RU"/>
              <a:t>Топ</a:t>
            </a:r>
            <a:r>
              <a:rPr lang="ru-RU" baseline="0"/>
              <a:t> ПНВ по группам</a:t>
            </a:r>
            <a:endParaRPr lang="ru-RU"/>
          </a:p>
        </c:rich>
      </c:tx>
      <c:overlay val="0"/>
      <c:spPr>
        <a:noFill/>
        <a:ln>
          <a:noFill/>
          <a:prstDash val="solid"/>
        </a:ln>
      </c:spPr>
    </c:title>
    <c:autoTitleDeleted val="0"/>
    <c:pivotFmts>
      <c:pivotFmt>
        <c:idx val="0"/>
        <c:spPr>
          <a:solidFill>
            <a:srgbClr val="C00000"/>
          </a:solidFill>
          <a:ln>
            <a:noFill/>
            <a:prstDash val="solid"/>
          </a:ln>
        </c:spPr>
        <c:marker>
          <c:symbol val="none"/>
        </c:marker>
        <c:dLbl>
          <c:idx val="0"/>
          <c:spPr>
            <a:noFill/>
            <a:ln>
              <a:noFill/>
              <a:prstDash val="solid"/>
            </a:ln>
          </c:spPr>
          <c:txPr>
            <a:bodyPr rot="0" spcFirstLastPara="1" vertOverflow="ellipsis" vert="horz" wrap="square" anchor="ctr" anchorCtr="1"/>
            <a:lstStyle/>
            <a:p>
              <a:pPr>
                <a:defRPr sz="900" b="1" i="0" strike="noStrike" kern="1200" baseline="0">
                  <a:solidFill>
                    <a:schemeClr val="tx1"/>
                  </a:solidFill>
                  <a:latin typeface="Century Gothic" panose="020B0502020202020204" pitchFamily="34" charset="0"/>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prstDash val="solid"/>
          </a:ln>
        </c:spPr>
        <c:marker>
          <c:symbol val="none"/>
        </c:marker>
        <c:dLbl>
          <c:idx val="0"/>
          <c:spPr>
            <a:noFill/>
            <a:ln>
              <a:noFill/>
              <a:prstDash val="solid"/>
            </a:ln>
          </c:spPr>
          <c:txPr>
            <a:bodyPr rot="0" spcFirstLastPara="1" vertOverflow="ellipsis" vert="horz" wrap="square" anchor="ctr" anchorCtr="1"/>
            <a:lstStyle/>
            <a:p>
              <a:pPr>
                <a:defRPr sz="900" b="1" i="0" strike="noStrike" kern="1200" baseline="0">
                  <a:solidFill>
                    <a:schemeClr val="tx1"/>
                  </a:solidFill>
                  <a:latin typeface="Century Gothic" panose="020B0502020202020204" pitchFamily="34" charset="0"/>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prstDash val="solid"/>
          </a:ln>
        </c:spPr>
        <c:marker>
          <c:symbol val="none"/>
        </c:marker>
        <c:dLbl>
          <c:idx val="0"/>
          <c:spPr>
            <a:noFill/>
            <a:ln>
              <a:noFill/>
              <a:prstDash val="solid"/>
            </a:ln>
          </c:spPr>
          <c:txPr>
            <a:bodyPr rot="0" spcFirstLastPara="1" vertOverflow="ellipsis" vert="horz" wrap="square" anchor="ctr" anchorCtr="1"/>
            <a:lstStyle/>
            <a:p>
              <a:pPr>
                <a:defRPr sz="900" b="1" i="0" strike="noStrike" kern="1200" baseline="0">
                  <a:solidFill>
                    <a:schemeClr val="tx1"/>
                  </a:solidFill>
                  <a:latin typeface="Century Gothic" panose="020B0502020202020204" pitchFamily="34" charset="0"/>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00000"/>
          </a:solidFill>
          <a:ln>
            <a:noFill/>
            <a:prstDash val="solid"/>
          </a:ln>
        </c:spPr>
        <c:marker>
          <c:symbol val="none"/>
        </c:marker>
        <c:dLbl>
          <c:idx val="0"/>
          <c:spPr>
            <a:noFill/>
            <a:ln>
              <a:noFill/>
              <a:prstDash val="solid"/>
            </a:ln>
          </c:spPr>
          <c:txPr>
            <a:bodyPr rot="0" spcFirstLastPara="1" vertOverflow="ellipsis" vert="horz" wrap="square" anchor="ctr" anchorCtr="1"/>
            <a:lstStyle/>
            <a:p>
              <a:pPr>
                <a:defRPr sz="900" b="1" i="0" strike="noStrike" kern="1200" baseline="0">
                  <a:solidFill>
                    <a:schemeClr val="tx1"/>
                  </a:solidFill>
                  <a:latin typeface="Century Gothic" panose="020B0502020202020204" pitchFamily="34" charset="0"/>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Топ_ПНВ!$B$3</c:f>
              <c:strCache>
                <c:ptCount val="1"/>
                <c:pt idx="0">
                  <c:v>Итог</c:v>
                </c:pt>
              </c:strCache>
            </c:strRef>
          </c:tx>
          <c:spPr>
            <a:solidFill>
              <a:srgbClr val="C00000"/>
            </a:solidFill>
            <a:ln>
              <a:noFill/>
              <a:prstDash val="solid"/>
            </a:ln>
          </c:spPr>
          <c:invertIfNegative val="0"/>
          <c:dLbls>
            <c:spPr>
              <a:noFill/>
              <a:ln>
                <a:noFill/>
                <a:prstDash val="solid"/>
              </a:ln>
            </c:spPr>
            <c:txPr>
              <a:bodyPr rot="0" spcFirstLastPara="1" vertOverflow="ellipsis" vert="horz" wrap="square" anchor="ctr" anchorCtr="1"/>
              <a:lstStyle/>
              <a:p>
                <a:pPr>
                  <a:defRPr sz="900" b="1" i="0" strike="noStrike" kern="1200" baseline="0">
                    <a:solidFill>
                      <a:schemeClr val="tx1"/>
                    </a:solidFill>
                    <a:latin typeface="Century Gothic" panose="020B0502020202020204" pitchFamily="34" charset="0"/>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Топ_ПНВ!$A$4:$A$7</c:f>
              <c:strCache>
                <c:ptCount val="3"/>
                <c:pt idx="0">
                  <c:v>Циркуляция</c:v>
                </c:pt>
                <c:pt idx="1">
                  <c:v>Монтаж_демонтаж</c:v>
                </c:pt>
                <c:pt idx="2">
                  <c:v>СПО</c:v>
                </c:pt>
              </c:strCache>
            </c:strRef>
          </c:cat>
          <c:val>
            <c:numRef>
              <c:f>Топ_ПНВ!$B$4:$B$7</c:f>
              <c:numCache>
                <c:formatCode>0</c:formatCode>
                <c:ptCount val="3"/>
                <c:pt idx="0">
                  <c:v>149.31</c:v>
                </c:pt>
                <c:pt idx="1">
                  <c:v>141.41400000000002</c:v>
                </c:pt>
                <c:pt idx="2">
                  <c:v>55.861999999999995</c:v>
                </c:pt>
              </c:numCache>
            </c:numRef>
          </c:val>
          <c:extLst>
            <c:ext xmlns:c16="http://schemas.microsoft.com/office/drawing/2014/chart" uri="{C3380CC4-5D6E-409C-BE32-E72D297353CC}">
              <c16:uniqueId val="{00000000-4B61-49D4-ABB9-251286FDF127}"/>
            </c:ext>
          </c:extLst>
        </c:ser>
        <c:dLbls>
          <c:showLegendKey val="0"/>
          <c:showVal val="0"/>
          <c:showCatName val="0"/>
          <c:showSerName val="0"/>
          <c:showPercent val="0"/>
          <c:showBubbleSize val="0"/>
        </c:dLbls>
        <c:gapWidth val="219"/>
        <c:overlap val="-27"/>
        <c:axId val="644149295"/>
        <c:axId val="458405087"/>
      </c:barChart>
      <c:catAx>
        <c:axId val="644149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solidFill>
                <a:latin typeface="Century Gothic" panose="020B0502020202020204" pitchFamily="34" charset="0"/>
                <a:ea typeface="+mn-ea"/>
                <a:cs typeface="+mn-cs"/>
              </a:defRPr>
            </a:pPr>
            <a:endParaRPr lang="ru-RU"/>
          </a:p>
        </c:txPr>
        <c:crossAx val="458405087"/>
        <c:crosses val="autoZero"/>
        <c:auto val="1"/>
        <c:lblAlgn val="ctr"/>
        <c:lblOffset val="100"/>
        <c:noMultiLvlLbl val="0"/>
      </c:catAx>
      <c:valAx>
        <c:axId val="458405087"/>
        <c:scaling>
          <c:orientation val="minMax"/>
        </c:scaling>
        <c:delete val="1"/>
        <c:axPos val="l"/>
        <c:numFmt formatCode="0" sourceLinked="1"/>
        <c:majorTickMark val="none"/>
        <c:minorTickMark val="none"/>
        <c:tickLblPos val="nextTo"/>
        <c:crossAx val="644149295"/>
        <c:crosses val="autoZero"/>
        <c:crossBetween val="between"/>
      </c:valAx>
    </c:plotArea>
    <c:plotVisOnly val="1"/>
    <c:dispBlanksAs val="gap"/>
    <c:showDLblsOverMax val="1"/>
  </c:chart>
  <c:spPr>
    <a:solidFill>
      <a:schemeClr val="bg1">
        <a:lumMod val="95000"/>
      </a:schemeClr>
    </a:solidFill>
    <a:ln w="9525" cap="flat" cmpd="sng" algn="ctr">
      <a:noFill/>
      <a:prstDash val="solid"/>
      <a:round/>
    </a:ln>
  </c:sp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pivotSource>
    <c:name>[КРС-3 обнова планирование.xlsx]Рейсовая_скорость!Рейсовая_скорость</c:name>
    <c:fmtId val="0"/>
  </c:pivotSource>
  <c:chart>
    <c:title>
      <c:tx>
        <c:rich>
          <a:bodyPr rot="0" spcFirstLastPara="1" vertOverflow="ellipsis" vert="horz" wrap="square" anchor="ctr" anchorCtr="1"/>
          <a:lstStyle/>
          <a:p>
            <a:pPr>
              <a:defRPr sz="1400" b="0" i="0" strike="noStrike" kern="1200" spc="0" baseline="0">
                <a:solidFill>
                  <a:schemeClr val="tx1"/>
                </a:solidFill>
                <a:latin typeface="Century Gothic" panose="020B0502020202020204" pitchFamily="34" charset="0"/>
                <a:ea typeface="+mn-ea"/>
                <a:cs typeface="+mn-cs"/>
              </a:defRPr>
            </a:pPr>
            <a:r>
              <a:rPr lang="ru-RU"/>
              <a:t>Средняя рейсовая скорость,</a:t>
            </a:r>
            <a:r>
              <a:rPr lang="ru-RU" baseline="0"/>
              <a:t> м/сутки</a:t>
            </a:r>
            <a:endParaRPr lang="ru-RU"/>
          </a:p>
        </c:rich>
      </c:tx>
      <c:overlay val="0"/>
      <c:spPr>
        <a:noFill/>
        <a:ln>
          <a:noFill/>
          <a:prstDash val="solid"/>
        </a:ln>
      </c:spPr>
    </c:title>
    <c:autoTitleDeleted val="0"/>
    <c:pivotFmts>
      <c:pivotFmt>
        <c:idx val="0"/>
        <c:spPr>
          <a:solidFill>
            <a:srgbClr val="C00000"/>
          </a:solidFill>
          <a:ln>
            <a:noFill/>
            <a:prstDash val="solid"/>
          </a:ln>
        </c:spPr>
        <c:marker>
          <c:symbol val="none"/>
        </c:marker>
        <c:dLbl>
          <c:idx val="0"/>
          <c:spPr>
            <a:noFill/>
            <a:ln>
              <a:noFill/>
              <a:prstDash val="solid"/>
            </a:ln>
          </c:spPr>
          <c:txPr>
            <a:bodyPr rot="0" spcFirstLastPara="1" vertOverflow="ellipsis" vert="horz" wrap="square" anchor="ctr" anchorCtr="1"/>
            <a:lstStyle/>
            <a:p>
              <a:pPr>
                <a:defRPr sz="900" b="1" i="0" strike="noStrike" kern="1200" baseline="0">
                  <a:solidFill>
                    <a:schemeClr val="tx1"/>
                  </a:solidFill>
                  <a:latin typeface="Century Gothic" panose="020B0502020202020204" pitchFamily="34" charset="0"/>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prstDash val="solid"/>
          </a:ln>
        </c:spPr>
        <c:marker>
          <c:symbol val="none"/>
        </c:marker>
        <c:dLbl>
          <c:idx val="0"/>
          <c:spPr>
            <a:noFill/>
            <a:ln>
              <a:noFill/>
              <a:prstDash val="solid"/>
            </a:ln>
          </c:spPr>
          <c:txPr>
            <a:bodyPr rot="0" spcFirstLastPara="1" vertOverflow="ellipsis" vert="horz" wrap="square" anchor="ctr" anchorCtr="1"/>
            <a:lstStyle/>
            <a:p>
              <a:pPr>
                <a:defRPr sz="900" b="1" i="0" strike="noStrike" kern="1200" baseline="0">
                  <a:solidFill>
                    <a:schemeClr val="tx1"/>
                  </a:solidFill>
                  <a:latin typeface="Century Gothic" panose="020B0502020202020204" pitchFamily="34" charset="0"/>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prstDash val="solid"/>
          </a:ln>
        </c:spPr>
        <c:marker>
          <c:symbol val="none"/>
        </c:marker>
        <c:dLbl>
          <c:idx val="0"/>
          <c:spPr>
            <a:noFill/>
            <a:ln>
              <a:noFill/>
              <a:prstDash val="solid"/>
            </a:ln>
          </c:spPr>
          <c:txPr>
            <a:bodyPr rot="0" spcFirstLastPara="1" vertOverflow="ellipsis" vert="horz" wrap="square" anchor="ctr" anchorCtr="1"/>
            <a:lstStyle/>
            <a:p>
              <a:pPr>
                <a:defRPr sz="900" b="1" i="0" strike="noStrike" kern="1200" baseline="0">
                  <a:solidFill>
                    <a:schemeClr val="tx1"/>
                  </a:solidFill>
                  <a:latin typeface="Century Gothic" panose="020B0502020202020204" pitchFamily="34" charset="0"/>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00000"/>
          </a:solidFill>
          <a:ln>
            <a:noFill/>
            <a:prstDash val="solid"/>
          </a:ln>
        </c:spPr>
        <c:marker>
          <c:symbol val="none"/>
        </c:marker>
        <c:dLbl>
          <c:idx val="0"/>
          <c:spPr>
            <a:noFill/>
            <a:ln>
              <a:noFill/>
              <a:prstDash val="solid"/>
            </a:ln>
          </c:spPr>
          <c:txPr>
            <a:bodyPr rot="0" spcFirstLastPara="1" vertOverflow="ellipsis" vert="horz" wrap="square" anchor="ctr" anchorCtr="1"/>
            <a:lstStyle/>
            <a:p>
              <a:pPr>
                <a:defRPr sz="1600" b="1" i="0" strike="noStrike" kern="1200" baseline="0">
                  <a:solidFill>
                    <a:schemeClr val="tx1"/>
                  </a:solidFill>
                  <a:latin typeface="Century Gothic" panose="020B0502020202020204" pitchFamily="34" charset="0"/>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Рейсовая_скорость!$B$3</c:f>
              <c:strCache>
                <c:ptCount val="1"/>
                <c:pt idx="0">
                  <c:v>Итог</c:v>
                </c:pt>
              </c:strCache>
            </c:strRef>
          </c:tx>
          <c:spPr>
            <a:solidFill>
              <a:srgbClr val="C00000"/>
            </a:solidFill>
            <a:ln>
              <a:noFill/>
              <a:prstDash val="solid"/>
            </a:ln>
          </c:spPr>
          <c:invertIfNegative val="0"/>
          <c:dLbls>
            <c:spPr>
              <a:noFill/>
              <a:ln>
                <a:noFill/>
                <a:prstDash val="solid"/>
              </a:ln>
            </c:spPr>
            <c:txPr>
              <a:bodyPr rot="0" spcFirstLastPara="1" vertOverflow="ellipsis" vert="horz" wrap="square" anchor="ctr" anchorCtr="1"/>
              <a:lstStyle/>
              <a:p>
                <a:pPr>
                  <a:defRPr sz="1600" b="1" i="0" strike="noStrike" kern="1200" baseline="0">
                    <a:solidFill>
                      <a:schemeClr val="tx1"/>
                    </a:solidFill>
                    <a:latin typeface="Century Gothic" panose="020B0502020202020204" pitchFamily="34" charset="0"/>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Рейсовая_скорость!$A$4:$A$11</c:f>
              <c:strCache>
                <c:ptCount val="7"/>
                <c:pt idx="0">
                  <c:v>Жангазиев С.К.</c:v>
                </c:pt>
                <c:pt idx="1">
                  <c:v>Керимов Н.К.</c:v>
                </c:pt>
                <c:pt idx="2">
                  <c:v>Штыкин А.А.</c:v>
                </c:pt>
                <c:pt idx="3">
                  <c:v>Шипунов С.И.</c:v>
                </c:pt>
                <c:pt idx="4">
                  <c:v>Хохряков В.Я.</c:v>
                </c:pt>
                <c:pt idx="5">
                  <c:v>Титов А.А.</c:v>
                </c:pt>
                <c:pt idx="6">
                  <c:v>Арбузов А.В.</c:v>
                </c:pt>
              </c:strCache>
            </c:strRef>
          </c:cat>
          <c:val>
            <c:numRef>
              <c:f>Рейсовая_скорость!$B$4:$B$11</c:f>
              <c:numCache>
                <c:formatCode>0</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0-39B3-452E-B3D9-BC5119F52409}"/>
            </c:ext>
          </c:extLst>
        </c:ser>
        <c:dLbls>
          <c:showLegendKey val="0"/>
          <c:showVal val="0"/>
          <c:showCatName val="0"/>
          <c:showSerName val="0"/>
          <c:showPercent val="0"/>
          <c:showBubbleSize val="0"/>
        </c:dLbls>
        <c:gapWidth val="219"/>
        <c:overlap val="-27"/>
        <c:axId val="644149295"/>
        <c:axId val="458405087"/>
      </c:barChart>
      <c:catAx>
        <c:axId val="644149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solidFill>
                <a:latin typeface="Century Gothic" panose="020B0502020202020204" pitchFamily="34" charset="0"/>
                <a:ea typeface="+mn-ea"/>
                <a:cs typeface="+mn-cs"/>
              </a:defRPr>
            </a:pPr>
            <a:endParaRPr lang="ru-RU"/>
          </a:p>
        </c:txPr>
        <c:crossAx val="458405087"/>
        <c:crosses val="autoZero"/>
        <c:auto val="1"/>
        <c:lblAlgn val="ctr"/>
        <c:lblOffset val="100"/>
        <c:noMultiLvlLbl val="0"/>
      </c:catAx>
      <c:valAx>
        <c:axId val="458405087"/>
        <c:scaling>
          <c:orientation val="minMax"/>
        </c:scaling>
        <c:delete val="1"/>
        <c:axPos val="l"/>
        <c:numFmt formatCode="0" sourceLinked="1"/>
        <c:majorTickMark val="none"/>
        <c:minorTickMark val="none"/>
        <c:tickLblPos val="nextTo"/>
        <c:crossAx val="644149295"/>
        <c:crosses val="autoZero"/>
        <c:crossBetween val="between"/>
      </c:valAx>
    </c:plotArea>
    <c:plotVisOnly val="1"/>
    <c:dispBlanksAs val="gap"/>
    <c:showDLblsOverMax val="1"/>
  </c:chart>
  <c:spPr>
    <a:solidFill>
      <a:schemeClr val="bg1">
        <a:lumMod val="95000"/>
      </a:schemeClr>
    </a:solidFill>
    <a:ln w="9525" cap="flat" cmpd="sng" algn="ctr">
      <a:noFill/>
      <a:prstDash val="solid"/>
      <a:round/>
    </a:ln>
  </c:sp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title>
      <c:tx>
        <c:rich>
          <a:bodyPr rot="0" spcFirstLastPara="1" vertOverflow="ellipsis" vert="horz" wrap="square" anchor="ctr" anchorCtr="1"/>
          <a:lstStyle/>
          <a:p>
            <a:pPr>
              <a:defRPr sz="1400" b="0" i="0" strike="noStrike" kern="1200" spc="0" baseline="0">
                <a:solidFill>
                  <a:schemeClr val="tx1"/>
                </a:solidFill>
                <a:latin typeface="Century Gothic" panose="020B0502020202020204" pitchFamily="34" charset="0"/>
                <a:ea typeface="+mn-ea"/>
                <a:cs typeface="+mn-cs"/>
              </a:defRPr>
            </a:pPr>
            <a:r>
              <a:rPr lang="ru-RU"/>
              <a:t>Анализ расхода</a:t>
            </a:r>
            <a:r>
              <a:rPr lang="ru-RU" baseline="0"/>
              <a:t> ДТ</a:t>
            </a:r>
            <a:endParaRPr lang="ru-RU"/>
          </a:p>
        </c:rich>
      </c:tx>
      <c:overlay val="0"/>
      <c:spPr>
        <a:noFill/>
        <a:ln>
          <a:noFill/>
          <a:prstDash val="solid"/>
        </a:ln>
      </c:spPr>
    </c:title>
    <c:autoTitleDeleted val="0"/>
    <c:plotArea>
      <c:layout/>
      <c:pieChart>
        <c:varyColors val="1"/>
        <c:ser>
          <c:idx val="0"/>
          <c:order val="0"/>
          <c:spPr>
            <a:ln>
              <a:noFill/>
              <a:prstDash val="solid"/>
            </a:ln>
          </c:spPr>
          <c:dPt>
            <c:idx val="0"/>
            <c:bubble3D val="0"/>
            <c:spPr>
              <a:solidFill>
                <a:srgbClr val="434C4F"/>
              </a:solidFill>
              <a:ln w="19050">
                <a:noFill/>
                <a:prstDash val="solid"/>
              </a:ln>
            </c:spPr>
            <c:extLst>
              <c:ext xmlns:c16="http://schemas.microsoft.com/office/drawing/2014/chart" uri="{C3380CC4-5D6E-409C-BE32-E72D297353CC}">
                <c16:uniqueId val="{00000001-D8F3-4877-8366-240B2E16B87E}"/>
              </c:ext>
            </c:extLst>
          </c:dPt>
          <c:dPt>
            <c:idx val="1"/>
            <c:bubble3D val="0"/>
            <c:spPr>
              <a:solidFill>
                <a:schemeClr val="bg1">
                  <a:lumMod val="50000"/>
                </a:schemeClr>
              </a:solidFill>
              <a:ln w="19050">
                <a:noFill/>
                <a:prstDash val="solid"/>
              </a:ln>
            </c:spPr>
            <c:extLst>
              <c:ext xmlns:c16="http://schemas.microsoft.com/office/drawing/2014/chart" uri="{C3380CC4-5D6E-409C-BE32-E72D297353CC}">
                <c16:uniqueId val="{00000003-D8F3-4877-8366-240B2E16B87E}"/>
              </c:ext>
            </c:extLst>
          </c:dPt>
          <c:dPt>
            <c:idx val="2"/>
            <c:bubble3D val="0"/>
            <c:spPr>
              <a:solidFill>
                <a:srgbClr val="C00000"/>
              </a:solidFill>
              <a:ln w="19050">
                <a:noFill/>
                <a:prstDash val="solid"/>
              </a:ln>
            </c:spPr>
            <c:extLst>
              <c:ext xmlns:c16="http://schemas.microsoft.com/office/drawing/2014/chart" uri="{C3380CC4-5D6E-409C-BE32-E72D297353CC}">
                <c16:uniqueId val="{00000005-D8F3-4877-8366-240B2E16B87E}"/>
              </c:ext>
            </c:extLst>
          </c:dPt>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bg1"/>
                    </a:solidFill>
                    <a:latin typeface="Century Gothic" panose="020B0502020202020204" pitchFamily="34" charset="0"/>
                    <a:ea typeface="+mn-ea"/>
                    <a:cs typeface="+mn-cs"/>
                  </a:defRPr>
                </a:pPr>
                <a:endParaRPr lang="ru-RU"/>
              </a:p>
            </c:txPr>
            <c:dLblPos val="inEnd"/>
            <c:showLegendKey val="0"/>
            <c:showVal val="1"/>
            <c:showCatName val="0"/>
            <c:showSerName val="0"/>
            <c:showPercent val="0"/>
            <c:showBubbleSize val="0"/>
            <c:showLeaderLines val="1"/>
            <c:extLst>
              <c:ext xmlns:c15="http://schemas.microsoft.com/office/drawing/2012/chart" uri="{CE6537A1-D6FC-4f65-9D91-7224C49458BB}"/>
            </c:extLst>
          </c:dLbls>
          <c:cat>
            <c:strRef>
              <c:f>'Анализ ДТ'!$G$15:$G$17</c:f>
              <c:strCache>
                <c:ptCount val="3"/>
                <c:pt idx="0">
                  <c:v>Остаток ДТ</c:v>
                </c:pt>
                <c:pt idx="1">
                  <c:v>Нормативный
расход ДТ</c:v>
                </c:pt>
                <c:pt idx="2">
                  <c:v>Перерасход ДТ</c:v>
                </c:pt>
              </c:strCache>
            </c:strRef>
          </c:cat>
          <c:val>
            <c:numRef>
              <c:f>'Анализ ДТ'!$H$15:$H$17</c:f>
              <c:numCache>
                <c:formatCode>0</c:formatCode>
                <c:ptCount val="3"/>
                <c:pt idx="0">
                  <c:v>0</c:v>
                </c:pt>
                <c:pt idx="1">
                  <c:v>0</c:v>
                </c:pt>
                <c:pt idx="2">
                  <c:v>0</c:v>
                </c:pt>
              </c:numCache>
            </c:numRef>
          </c:val>
          <c:extLst>
            <c:ext xmlns:c16="http://schemas.microsoft.com/office/drawing/2014/chart" uri="{C3380CC4-5D6E-409C-BE32-E72D297353CC}">
              <c16:uniqueId val="{00000006-D8F3-4877-8366-240B2E16B87E}"/>
            </c:ext>
          </c:extLst>
        </c:ser>
        <c:dLbls>
          <c:showLegendKey val="0"/>
          <c:showVal val="0"/>
          <c:showCatName val="0"/>
          <c:showSerName val="0"/>
          <c:showPercent val="0"/>
          <c:showBubbleSize val="0"/>
          <c:showLeaderLines val="1"/>
        </c:dLbls>
        <c:firstSliceAng val="0"/>
      </c:pieChart>
    </c:plotArea>
    <c:legend>
      <c:legendPos val="t"/>
      <c:overlay val="0"/>
      <c:spPr>
        <a:noFill/>
        <a:ln>
          <a:noFill/>
          <a:prstDash val="solid"/>
        </a:ln>
      </c:spPr>
      <c:txPr>
        <a:bodyPr rot="0" spcFirstLastPara="1" vertOverflow="ellipsis" vert="horz" wrap="square" anchor="ctr" anchorCtr="1"/>
        <a:lstStyle/>
        <a:p>
          <a:pPr>
            <a:defRPr sz="900" b="0" i="0" strike="noStrike" kern="1200" baseline="0">
              <a:solidFill>
                <a:schemeClr val="tx1"/>
              </a:solidFill>
              <a:latin typeface="Century Gothic" panose="020B0502020202020204" pitchFamily="34" charset="0"/>
              <a:ea typeface="+mn-ea"/>
              <a:cs typeface="+mn-cs"/>
            </a:defRPr>
          </a:pPr>
          <a:endParaRPr lang="ru-RU"/>
        </a:p>
      </c:txPr>
    </c:legend>
    <c:plotVisOnly val="1"/>
    <c:dispBlanksAs val="gap"/>
    <c:showDLblsOverMax val="1"/>
  </c:chart>
  <c:spPr>
    <a:solidFill>
      <a:schemeClr val="bg1">
        <a:lumMod val="95000"/>
      </a:schemeClr>
    </a:solidFill>
    <a:ln w="9525" cap="flat" cmpd="sng" algn="ctr">
      <a:no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6" Type="http://schemas.openxmlformats.org/officeDocument/2006/relationships/chart" Target="../charts/chart16.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8.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9.xml.rels><?xml version="1.0" encoding="UTF-8" standalone="yes"?>
<Relationships xmlns="http://schemas.openxmlformats.org/package/2006/relationships"><Relationship Id="rId1" Type="http://schemas.openxmlformats.org/officeDocument/2006/relationships/chart" Target="../charts/chart22.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23.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24.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25.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26.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27.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28.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29.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30.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31.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32.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797965</xdr:colOff>
      <xdr:row>3</xdr:row>
      <xdr:rowOff>167677</xdr:rowOff>
    </xdr:to>
    <xdr:pic>
      <xdr:nvPicPr>
        <xdr:cNvPr id="5" name="Рисунок 4">
          <a:extLst>
            <a:ext uri="{FF2B5EF4-FFF2-40B4-BE49-F238E27FC236}">
              <a16:creationId xmlns:a16="http://schemas.microsoft.com/office/drawing/2014/main" id="{00000000-0008-0000-0100-000005000000}"/>
            </a:ext>
          </a:extLst>
        </xdr:cNvPr>
        <xdr:cNvPicPr>
          <a:picLocks noChangeAspect="1" noChangeArrowheads="1"/>
        </xdr:cNvPicPr>
      </xdr:nvPicPr>
      <xdr:blipFill rotWithShape="1">
        <a:blip xmlns:r="http://schemas.openxmlformats.org/officeDocument/2006/relationships" r:embed="rId1" cstate="print"/>
        <a:srcRect l="7160" t="7105" r="6914" b="7105"/>
        <a:stretch>
          <a:fillRect/>
        </a:stretch>
      </xdr:blipFill>
      <xdr:spPr bwMode="auto">
        <a:xfrm>
          <a:off x="0" y="0"/>
          <a:ext cx="797965" cy="797652"/>
        </a:xfrm>
        <a:prstGeom prst="rect">
          <a:avLst/>
        </a:prstGeom>
        <a:noFill/>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6791</xdr:colOff>
      <xdr:row>0</xdr:row>
      <xdr:rowOff>94740</xdr:rowOff>
    </xdr:from>
    <xdr:to>
      <xdr:col>0</xdr:col>
      <xdr:colOff>397494</xdr:colOff>
      <xdr:row>2</xdr:row>
      <xdr:rowOff>98982</xdr:rowOff>
    </xdr:to>
    <xdr:pic>
      <xdr:nvPicPr>
        <xdr:cNvPr id="2" name="Рисунок 1">
          <a:extLst>
            <a:ext uri="{FF2B5EF4-FFF2-40B4-BE49-F238E27FC236}">
              <a16:creationId xmlns:a16="http://schemas.microsoft.com/office/drawing/2014/main" id="{00000000-0008-0000-0400-000002000000}"/>
            </a:ext>
          </a:extLst>
        </xdr:cNvPr>
        <xdr:cNvPicPr>
          <a:picLocks noChangeAspect="1"/>
        </xdr:cNvPicPr>
      </xdr:nvPicPr>
      <xdr:blipFill rotWithShape="1">
        <a:blip xmlns:r="http://schemas.openxmlformats.org/officeDocument/2006/relationships" r:embed="rId1"/>
        <a:srcRect l="15453" r="68873" b="28004"/>
        <a:stretch>
          <a:fillRect/>
        </a:stretch>
      </xdr:blipFill>
      <xdr:spPr>
        <a:xfrm>
          <a:off x="6791" y="94740"/>
          <a:ext cx="387316" cy="394132"/>
        </a:xfrm>
        <a:prstGeom prst="rect">
          <a:avLst/>
        </a:prstGeom>
        <a:ln>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18</xdr:col>
      <xdr:colOff>0</xdr:colOff>
      <xdr:row>2</xdr:row>
      <xdr:rowOff>0</xdr:rowOff>
    </xdr:from>
    <xdr:to>
      <xdr:col>26</xdr:col>
      <xdr:colOff>0</xdr:colOff>
      <xdr:row>9</xdr:row>
      <xdr:rowOff>0</xdr:rowOff>
    </xdr:to>
    <xdr:graphicFrame macro="">
      <xdr:nvGraphicFramePr>
        <xdr:cNvPr id="2" name="Chart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0</xdr:colOff>
      <xdr:row>10</xdr:row>
      <xdr:rowOff>-1</xdr:rowOff>
    </xdr:from>
    <xdr:to>
      <xdr:col>35</xdr:col>
      <xdr:colOff>0</xdr:colOff>
      <xdr:row>32</xdr:row>
      <xdr:rowOff>495609</xdr:rowOff>
    </xdr:to>
    <xdr:graphicFrame macro="">
      <xdr:nvGraphicFramePr>
        <xdr:cNvPr id="3" name="Chart 2">
          <a:extLst>
            <a:ext uri="{FF2B5EF4-FFF2-40B4-BE49-F238E27FC236}">
              <a16:creationId xmlns:a16="http://schemas.microsoft.com/office/drawing/2014/main" id="{00000000-0008-0000-08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10</xdr:row>
      <xdr:rowOff>0</xdr:rowOff>
    </xdr:from>
    <xdr:to>
      <xdr:col>17</xdr:col>
      <xdr:colOff>0</xdr:colOff>
      <xdr:row>17</xdr:row>
      <xdr:rowOff>0</xdr:rowOff>
    </xdr:to>
    <xdr:graphicFrame macro="">
      <xdr:nvGraphicFramePr>
        <xdr:cNvPr id="4" name="Chart 3">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0</xdr:colOff>
      <xdr:row>2</xdr:row>
      <xdr:rowOff>1</xdr:rowOff>
    </xdr:from>
    <xdr:to>
      <xdr:col>17</xdr:col>
      <xdr:colOff>0</xdr:colOff>
      <xdr:row>9</xdr:row>
      <xdr:rowOff>0</xdr:rowOff>
    </xdr:to>
    <xdr:graphicFrame macro="">
      <xdr:nvGraphicFramePr>
        <xdr:cNvPr id="5" name="Chart 4">
          <a:extLst>
            <a:ext uri="{FF2B5EF4-FFF2-40B4-BE49-F238E27FC236}">
              <a16:creationId xmlns:a16="http://schemas.microsoft.com/office/drawing/2014/main" id="{00000000-0008-0000-08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18</xdr:row>
      <xdr:rowOff>0</xdr:rowOff>
    </xdr:from>
    <xdr:to>
      <xdr:col>17</xdr:col>
      <xdr:colOff>0</xdr:colOff>
      <xdr:row>25</xdr:row>
      <xdr:rowOff>0</xdr:rowOff>
    </xdr:to>
    <xdr:graphicFrame macro="">
      <xdr:nvGraphicFramePr>
        <xdr:cNvPr id="6" name="Chart 5">
          <a:extLst>
            <a:ext uri="{FF2B5EF4-FFF2-40B4-BE49-F238E27FC236}">
              <a16:creationId xmlns:a16="http://schemas.microsoft.com/office/drawing/2014/main" id="{00000000-0008-0000-08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26</xdr:row>
      <xdr:rowOff>0</xdr:rowOff>
    </xdr:from>
    <xdr:to>
      <xdr:col>17</xdr:col>
      <xdr:colOff>0</xdr:colOff>
      <xdr:row>33</xdr:row>
      <xdr:rowOff>0</xdr:rowOff>
    </xdr:to>
    <xdr:graphicFrame macro="">
      <xdr:nvGraphicFramePr>
        <xdr:cNvPr id="7" name="Chart 6">
          <a:extLst>
            <a:ext uri="{FF2B5EF4-FFF2-40B4-BE49-F238E27FC236}">
              <a16:creationId xmlns:a16="http://schemas.microsoft.com/office/drawing/2014/main" id="{00000000-0008-0000-08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36</xdr:col>
      <xdr:colOff>0</xdr:colOff>
      <xdr:row>25</xdr:row>
      <xdr:rowOff>489027</xdr:rowOff>
    </xdr:from>
    <xdr:to>
      <xdr:col>44</xdr:col>
      <xdr:colOff>0</xdr:colOff>
      <xdr:row>32</xdr:row>
      <xdr:rowOff>489027</xdr:rowOff>
    </xdr:to>
    <xdr:graphicFrame macro="">
      <xdr:nvGraphicFramePr>
        <xdr:cNvPr id="8" name="Chart 7">
          <a:extLst>
            <a:ext uri="{FF2B5EF4-FFF2-40B4-BE49-F238E27FC236}">
              <a16:creationId xmlns:a16="http://schemas.microsoft.com/office/drawing/2014/main" id="{00000000-0008-0000-08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34</xdr:row>
      <xdr:rowOff>0</xdr:rowOff>
    </xdr:from>
    <xdr:to>
      <xdr:col>35</xdr:col>
      <xdr:colOff>0</xdr:colOff>
      <xdr:row>49</xdr:row>
      <xdr:rowOff>0</xdr:rowOff>
    </xdr:to>
    <xdr:graphicFrame macro="">
      <xdr:nvGraphicFramePr>
        <xdr:cNvPr id="9" name="Chart 8">
          <a:extLst>
            <a:ext uri="{FF2B5EF4-FFF2-40B4-BE49-F238E27FC236}">
              <a16:creationId xmlns:a16="http://schemas.microsoft.com/office/drawing/2014/main" id="{00000000-0008-0000-08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2</xdr:row>
      <xdr:rowOff>0</xdr:rowOff>
    </xdr:from>
    <xdr:to>
      <xdr:col>8</xdr:col>
      <xdr:colOff>0</xdr:colOff>
      <xdr:row>9</xdr:row>
      <xdr:rowOff>0</xdr:rowOff>
    </xdr:to>
    <xdr:graphicFrame macro="">
      <xdr:nvGraphicFramePr>
        <xdr:cNvPr id="10" name="Chart 9">
          <a:extLst>
            <a:ext uri="{FF2B5EF4-FFF2-40B4-BE49-F238E27FC236}">
              <a16:creationId xmlns:a16="http://schemas.microsoft.com/office/drawing/2014/main" id="{00000000-0008-0000-08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26</xdr:col>
      <xdr:colOff>506441</xdr:colOff>
      <xdr:row>1</xdr:row>
      <xdr:rowOff>506441</xdr:rowOff>
    </xdr:from>
    <xdr:to>
      <xdr:col>35</xdr:col>
      <xdr:colOff>0</xdr:colOff>
      <xdr:row>8</xdr:row>
      <xdr:rowOff>506441</xdr:rowOff>
    </xdr:to>
    <xdr:graphicFrame macro="">
      <xdr:nvGraphicFramePr>
        <xdr:cNvPr id="11" name="Chart 10">
          <a:extLst>
            <a:ext uri="{FF2B5EF4-FFF2-40B4-BE49-F238E27FC236}">
              <a16:creationId xmlns:a16="http://schemas.microsoft.com/office/drawing/2014/main" id="{00000000-0008-0000-08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36</xdr:col>
      <xdr:colOff>0</xdr:colOff>
      <xdr:row>34</xdr:row>
      <xdr:rowOff>0</xdr:rowOff>
    </xdr:from>
    <xdr:to>
      <xdr:col>62</xdr:col>
      <xdr:colOff>0</xdr:colOff>
      <xdr:row>49</xdr:row>
      <xdr:rowOff>0</xdr:rowOff>
    </xdr:to>
    <xdr:graphicFrame macro="">
      <xdr:nvGraphicFramePr>
        <xdr:cNvPr id="12" name="Chart 11">
          <a:extLst>
            <a:ext uri="{FF2B5EF4-FFF2-40B4-BE49-F238E27FC236}">
              <a16:creationId xmlns:a16="http://schemas.microsoft.com/office/drawing/2014/main" id="{00000000-0008-0000-08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45</xdr:col>
      <xdr:colOff>0</xdr:colOff>
      <xdr:row>26</xdr:row>
      <xdr:rowOff>6583</xdr:rowOff>
    </xdr:from>
    <xdr:to>
      <xdr:col>53</xdr:col>
      <xdr:colOff>0</xdr:colOff>
      <xdr:row>33</xdr:row>
      <xdr:rowOff>0</xdr:rowOff>
    </xdr:to>
    <xdr:graphicFrame macro="">
      <xdr:nvGraphicFramePr>
        <xdr:cNvPr id="13" name="Chart 12">
          <a:extLst>
            <a:ext uri="{FF2B5EF4-FFF2-40B4-BE49-F238E27FC236}">
              <a16:creationId xmlns:a16="http://schemas.microsoft.com/office/drawing/2014/main" id="{00000000-0008-0000-08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54</xdr:col>
      <xdr:colOff>0</xdr:colOff>
      <xdr:row>26</xdr:row>
      <xdr:rowOff>0</xdr:rowOff>
    </xdr:from>
    <xdr:to>
      <xdr:col>62</xdr:col>
      <xdr:colOff>1</xdr:colOff>
      <xdr:row>33</xdr:row>
      <xdr:rowOff>1</xdr:rowOff>
    </xdr:to>
    <xdr:graphicFrame macro="">
      <xdr:nvGraphicFramePr>
        <xdr:cNvPr id="14" name="Chart 13">
          <a:extLst>
            <a:ext uri="{FF2B5EF4-FFF2-40B4-BE49-F238E27FC236}">
              <a16:creationId xmlns:a16="http://schemas.microsoft.com/office/drawing/2014/main" id="{00000000-0008-0000-08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36</xdr:col>
      <xdr:colOff>0</xdr:colOff>
      <xdr:row>50</xdr:row>
      <xdr:rowOff>0</xdr:rowOff>
    </xdr:from>
    <xdr:to>
      <xdr:col>62</xdr:col>
      <xdr:colOff>0</xdr:colOff>
      <xdr:row>61</xdr:row>
      <xdr:rowOff>0</xdr:rowOff>
    </xdr:to>
    <xdr:graphicFrame macro="">
      <xdr:nvGraphicFramePr>
        <xdr:cNvPr id="15" name="Chart 14">
          <a:extLst>
            <a:ext uri="{FF2B5EF4-FFF2-40B4-BE49-F238E27FC236}">
              <a16:creationId xmlns:a16="http://schemas.microsoft.com/office/drawing/2014/main" id="{00000000-0008-0000-08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36</xdr:col>
      <xdr:colOff>0</xdr:colOff>
      <xdr:row>18</xdr:row>
      <xdr:rowOff>0</xdr:rowOff>
    </xdr:from>
    <xdr:to>
      <xdr:col>62</xdr:col>
      <xdr:colOff>0</xdr:colOff>
      <xdr:row>25</xdr:row>
      <xdr:rowOff>0</xdr:rowOff>
    </xdr:to>
    <xdr:graphicFrame macro="">
      <xdr:nvGraphicFramePr>
        <xdr:cNvPr id="16" name="Chart 15">
          <a:extLst>
            <a:ext uri="{FF2B5EF4-FFF2-40B4-BE49-F238E27FC236}">
              <a16:creationId xmlns:a16="http://schemas.microsoft.com/office/drawing/2014/main" id="{00000000-0008-0000-0800-00001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63</xdr:col>
      <xdr:colOff>0</xdr:colOff>
      <xdr:row>26</xdr:row>
      <xdr:rowOff>0</xdr:rowOff>
    </xdr:from>
    <xdr:to>
      <xdr:col>77</xdr:col>
      <xdr:colOff>0</xdr:colOff>
      <xdr:row>33</xdr:row>
      <xdr:rowOff>0</xdr:rowOff>
    </xdr:to>
    <xdr:graphicFrame macro="">
      <xdr:nvGraphicFramePr>
        <xdr:cNvPr id="17" name="Chart 16">
          <a:extLst>
            <a:ext uri="{FF2B5EF4-FFF2-40B4-BE49-F238E27FC236}">
              <a16:creationId xmlns:a16="http://schemas.microsoft.com/office/drawing/2014/main" id="{00000000-0008-0000-08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0</xdr:colOff>
      <xdr:row>2</xdr:row>
      <xdr:rowOff>0</xdr:rowOff>
    </xdr:from>
    <xdr:to>
      <xdr:col>13</xdr:col>
      <xdr:colOff>613090</xdr:colOff>
      <xdr:row>28</xdr:row>
      <xdr:rowOff>107951</xdr:rowOff>
    </xdr:to>
    <xdr:graphicFrame macro="">
      <xdr:nvGraphicFramePr>
        <xdr:cNvPr id="2" name="Chart 1">
          <a:extLst>
            <a:ext uri="{FF2B5EF4-FFF2-40B4-BE49-F238E27FC236}">
              <a16:creationId xmlns:a16="http://schemas.microsoft.com/office/drawing/2014/main" id="{00000000-0008-0000-0D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389466</xdr:colOff>
      <xdr:row>20</xdr:row>
      <xdr:rowOff>177800</xdr:rowOff>
    </xdr:from>
    <xdr:to>
      <xdr:col>16</xdr:col>
      <xdr:colOff>660400</xdr:colOff>
      <xdr:row>34</xdr:row>
      <xdr:rowOff>76200</xdr:rowOff>
    </xdr:to>
    <xdr:graphicFrame macro="">
      <xdr:nvGraphicFramePr>
        <xdr:cNvPr id="2" name="Chart 1">
          <a:extLst>
            <a:ext uri="{FF2B5EF4-FFF2-40B4-BE49-F238E27FC236}">
              <a16:creationId xmlns:a16="http://schemas.microsoft.com/office/drawing/2014/main" id="{00000000-0008-0000-0E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1659647</xdr:colOff>
      <xdr:row>1</xdr:row>
      <xdr:rowOff>199417</xdr:rowOff>
    </xdr:from>
    <xdr:to>
      <xdr:col>10</xdr:col>
      <xdr:colOff>162128</xdr:colOff>
      <xdr:row>15</xdr:row>
      <xdr:rowOff>104843</xdr:rowOff>
    </xdr:to>
    <xdr:graphicFrame macro="">
      <xdr:nvGraphicFramePr>
        <xdr:cNvPr id="2" name="Chart 1">
          <a:extLst>
            <a:ext uri="{FF2B5EF4-FFF2-40B4-BE49-F238E27FC236}">
              <a16:creationId xmlns:a16="http://schemas.microsoft.com/office/drawing/2014/main" id="{00000000-0008-0000-0F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7</xdr:col>
      <xdr:colOff>133350</xdr:colOff>
      <xdr:row>30</xdr:row>
      <xdr:rowOff>171450</xdr:rowOff>
    </xdr:from>
    <xdr:to>
      <xdr:col>15</xdr:col>
      <xdr:colOff>800100</xdr:colOff>
      <xdr:row>44</xdr:row>
      <xdr:rowOff>69850</xdr:rowOff>
    </xdr:to>
    <xdr:graphicFrame macro="">
      <xdr:nvGraphicFramePr>
        <xdr:cNvPr id="2" name="Chart 1">
          <a:extLst>
            <a:ext uri="{FF2B5EF4-FFF2-40B4-BE49-F238E27FC236}">
              <a16:creationId xmlns:a16="http://schemas.microsoft.com/office/drawing/2014/main" id="{00000000-0008-0000-1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565150</xdr:colOff>
      <xdr:row>19</xdr:row>
      <xdr:rowOff>146050</xdr:rowOff>
    </xdr:from>
    <xdr:to>
      <xdr:col>10</xdr:col>
      <xdr:colOff>374650</xdr:colOff>
      <xdr:row>33</xdr:row>
      <xdr:rowOff>44450</xdr:rowOff>
    </xdr:to>
    <xdr:graphicFrame macro="">
      <xdr:nvGraphicFramePr>
        <xdr:cNvPr id="2" name="Chart 1">
          <a:extLst>
            <a:ext uri="{FF2B5EF4-FFF2-40B4-BE49-F238E27FC236}">
              <a16:creationId xmlns:a16="http://schemas.microsoft.com/office/drawing/2014/main" id="{00000000-0008-0000-1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1817615</xdr:colOff>
      <xdr:row>8</xdr:row>
      <xdr:rowOff>198073</xdr:rowOff>
    </xdr:from>
    <xdr:to>
      <xdr:col>7</xdr:col>
      <xdr:colOff>48995</xdr:colOff>
      <xdr:row>22</xdr:row>
      <xdr:rowOff>96472</xdr:rowOff>
    </xdr:to>
    <xdr:graphicFrame macro="">
      <xdr:nvGraphicFramePr>
        <xdr:cNvPr id="2" name="Chart 1">
          <a:extLst>
            <a:ext uri="{FF2B5EF4-FFF2-40B4-BE49-F238E27FC236}">
              <a16:creationId xmlns:a16="http://schemas.microsoft.com/office/drawing/2014/main" id="{00000000-0008-0000-1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5</xdr:col>
      <xdr:colOff>0</xdr:colOff>
      <xdr:row>2</xdr:row>
      <xdr:rowOff>0</xdr:rowOff>
    </xdr:from>
    <xdr:to>
      <xdr:col>9</xdr:col>
      <xdr:colOff>762000</xdr:colOff>
      <xdr:row>15</xdr:row>
      <xdr:rowOff>101600</xdr:rowOff>
    </xdr:to>
    <xdr:graphicFrame macro="">
      <xdr:nvGraphicFramePr>
        <xdr:cNvPr id="2" name="Chart 1">
          <a:extLst>
            <a:ext uri="{FF2B5EF4-FFF2-40B4-BE49-F238E27FC236}">
              <a16:creationId xmlns:a16="http://schemas.microsoft.com/office/drawing/2014/main" id="{00000000-0008-0000-1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984250</xdr:colOff>
      <xdr:row>27</xdr:row>
      <xdr:rowOff>6350</xdr:rowOff>
    </xdr:from>
    <xdr:to>
      <xdr:col>15</xdr:col>
      <xdr:colOff>412750</xdr:colOff>
      <xdr:row>40</xdr:row>
      <xdr:rowOff>107950</xdr:rowOff>
    </xdr:to>
    <xdr:graphicFrame macro="">
      <xdr:nvGraphicFramePr>
        <xdr:cNvPr id="2" name="Chart 1">
          <a:extLst>
            <a:ext uri="{FF2B5EF4-FFF2-40B4-BE49-F238E27FC236}">
              <a16:creationId xmlns:a16="http://schemas.microsoft.com/office/drawing/2014/main" id="{00000000-0008-0000-1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6</xdr:col>
      <xdr:colOff>18814</xdr:colOff>
      <xdr:row>3</xdr:row>
      <xdr:rowOff>1</xdr:rowOff>
    </xdr:from>
    <xdr:to>
      <xdr:col>8</xdr:col>
      <xdr:colOff>783949</xdr:colOff>
      <xdr:row>50</xdr:row>
      <xdr:rowOff>0</xdr:rowOff>
    </xdr:to>
    <xdr:graphicFrame macro="">
      <xdr:nvGraphicFramePr>
        <xdr:cNvPr id="2" name="Chart 1">
          <a:extLst>
            <a:ext uri="{FF2B5EF4-FFF2-40B4-BE49-F238E27FC236}">
              <a16:creationId xmlns:a16="http://schemas.microsoft.com/office/drawing/2014/main" id="{00000000-0008-0000-1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5</xdr:col>
      <xdr:colOff>12700</xdr:colOff>
      <xdr:row>2</xdr:row>
      <xdr:rowOff>19050</xdr:rowOff>
    </xdr:from>
    <xdr:to>
      <xdr:col>11</xdr:col>
      <xdr:colOff>0</xdr:colOff>
      <xdr:row>15</xdr:row>
      <xdr:rowOff>120650</xdr:rowOff>
    </xdr:to>
    <xdr:graphicFrame macro="">
      <xdr:nvGraphicFramePr>
        <xdr:cNvPr id="2" name="Chart 1">
          <a:extLst>
            <a:ext uri="{FF2B5EF4-FFF2-40B4-BE49-F238E27FC236}">
              <a16:creationId xmlns:a16="http://schemas.microsoft.com/office/drawing/2014/main" id="{00000000-0008-0000-1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4</xdr:col>
      <xdr:colOff>615950</xdr:colOff>
      <xdr:row>6</xdr:row>
      <xdr:rowOff>196850</xdr:rowOff>
    </xdr:from>
    <xdr:to>
      <xdr:col>9</xdr:col>
      <xdr:colOff>425450</xdr:colOff>
      <xdr:row>29</xdr:row>
      <xdr:rowOff>101600</xdr:rowOff>
    </xdr:to>
    <xdr:graphicFrame macro="">
      <xdr:nvGraphicFramePr>
        <xdr:cNvPr id="2" name="Chart 1">
          <a:extLst>
            <a:ext uri="{FF2B5EF4-FFF2-40B4-BE49-F238E27FC236}">
              <a16:creationId xmlns:a16="http://schemas.microsoft.com/office/drawing/2014/main" id="{00000000-0008-0000-1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4</xdr:col>
      <xdr:colOff>977480</xdr:colOff>
      <xdr:row>6</xdr:row>
      <xdr:rowOff>54042</xdr:rowOff>
    </xdr:from>
    <xdr:to>
      <xdr:col>9</xdr:col>
      <xdr:colOff>364788</xdr:colOff>
      <xdr:row>19</xdr:row>
      <xdr:rowOff>155642</xdr:rowOff>
    </xdr:to>
    <xdr:graphicFrame macro="">
      <xdr:nvGraphicFramePr>
        <xdr:cNvPr id="2" name="Chart 1">
          <a:extLst>
            <a:ext uri="{FF2B5EF4-FFF2-40B4-BE49-F238E27FC236}">
              <a16:creationId xmlns:a16="http://schemas.microsoft.com/office/drawing/2014/main" id="{00000000-0008-0000-1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5</xdr:col>
      <xdr:colOff>196850</xdr:colOff>
      <xdr:row>19</xdr:row>
      <xdr:rowOff>146050</xdr:rowOff>
    </xdr:from>
    <xdr:to>
      <xdr:col>10</xdr:col>
      <xdr:colOff>6350</xdr:colOff>
      <xdr:row>33</xdr:row>
      <xdr:rowOff>44450</xdr:rowOff>
    </xdr:to>
    <xdr:graphicFrame macro="">
      <xdr:nvGraphicFramePr>
        <xdr:cNvPr id="2" name="Chart 1">
          <a:extLst>
            <a:ext uri="{FF2B5EF4-FFF2-40B4-BE49-F238E27FC236}">
              <a16:creationId xmlns:a16="http://schemas.microsoft.com/office/drawing/2014/main" id="{00000000-0008-0000-1C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4</xdr:col>
      <xdr:colOff>565150</xdr:colOff>
      <xdr:row>19</xdr:row>
      <xdr:rowOff>146050</xdr:rowOff>
    </xdr:from>
    <xdr:to>
      <xdr:col>9</xdr:col>
      <xdr:colOff>374650</xdr:colOff>
      <xdr:row>33</xdr:row>
      <xdr:rowOff>44450</xdr:rowOff>
    </xdr:to>
    <xdr:graphicFrame macro="">
      <xdr:nvGraphicFramePr>
        <xdr:cNvPr id="2" name="Chart 1">
          <a:extLst>
            <a:ext uri="{FF2B5EF4-FFF2-40B4-BE49-F238E27FC236}">
              <a16:creationId xmlns:a16="http://schemas.microsoft.com/office/drawing/2014/main" id="{00000000-0008-0000-1D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3</xdr:col>
      <xdr:colOff>57150</xdr:colOff>
      <xdr:row>3</xdr:row>
      <xdr:rowOff>6350</xdr:rowOff>
    </xdr:from>
    <xdr:to>
      <xdr:col>5</xdr:col>
      <xdr:colOff>768350</xdr:colOff>
      <xdr:row>16</xdr:row>
      <xdr:rowOff>107950</xdr:rowOff>
    </xdr:to>
    <xdr:graphicFrame macro="">
      <xdr:nvGraphicFramePr>
        <xdr:cNvPr id="2" name="Chart 1">
          <a:extLst>
            <a:ext uri="{FF2B5EF4-FFF2-40B4-BE49-F238E27FC236}">
              <a16:creationId xmlns:a16="http://schemas.microsoft.com/office/drawing/2014/main" id="{00000000-0008-0000-1E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3</xdr:col>
      <xdr:colOff>349250</xdr:colOff>
      <xdr:row>19</xdr:row>
      <xdr:rowOff>146050</xdr:rowOff>
    </xdr:from>
    <xdr:to>
      <xdr:col>4</xdr:col>
      <xdr:colOff>2559050</xdr:colOff>
      <xdr:row>33</xdr:row>
      <xdr:rowOff>44450</xdr:rowOff>
    </xdr:to>
    <xdr:graphicFrame macro="">
      <xdr:nvGraphicFramePr>
        <xdr:cNvPr id="2" name="Chart 1">
          <a:extLst>
            <a:ext uri="{FF2B5EF4-FFF2-40B4-BE49-F238E27FC236}">
              <a16:creationId xmlns:a16="http://schemas.microsoft.com/office/drawing/2014/main" id="{00000000-0008-0000-1F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kita Kanukov" refreshedDate="46173.949399074067" createdVersion="8" refreshedVersion="8" minRefreshableVersion="3" recordCount="243" xr:uid="{00000000-000A-0000-FFFF-FFFF00000000}">
  <cacheSource type="worksheet">
    <worksheetSource name="Планирование"/>
  </cacheSource>
  <cacheFields count="37">
    <cacheField name="Операция" numFmtId="0">
      <sharedItems count="478">
        <s v="Переезд бригады на скв. № 2201г к.п. № 23 КНГКМ"/>
        <s v="Расстановка оборудования"/>
        <s v="Завоз тех.воды"/>
        <s v="Монтаж ПА-60/80"/>
        <s v="Монтаж выкидной линии "/>
        <s v="Опрессовка на рабочее давление Р=35МПа БД,БГ, ПП2Г- 2ФТ-180х35"/>
        <s v="Укладка на стеллажи ТТ-73мм - 340шт."/>
        <s v="Отогрев ФА. Демонтаж ФА. Подготовка ФА для ревизии."/>
        <s v="Монтаж ПП2Г-2ФТ-180х35. Монтаж 2-х отбойных щитов, 4-х дистанционных штурвалов. Монтаж МОП, СУП."/>
        <s v="Монтаж КНК, спуск компоновки до глубины 1000м"/>
        <s v="Спуск и посадка пакера"/>
        <s v="Отогрев и опрессовка ЗД АФ"/>
        <s v="Спуск компоновки до глубины 3216м"/>
        <s v="Переезд бригады"/>
        <s v="Укладка НКТ 89"/>
        <s v="Опрессовка БГД, ПВО до установки на устье"/>
        <s v="Монтаж БГД, опрессовка выкидной линии"/>
        <s v="Отогрев ФА.Демонтаж ёлки АФ"/>
        <s v="Монтаж превентора  "/>
        <s v="Спуск УГРХ"/>
        <s v="М/ж пакера ПРО-ЯМО"/>
        <s v="Опрессовка задвижек трубной головки АФ"/>
        <s v="Д/ж гидрозадвижки и выкидной линии"/>
        <s v="Опрессовка фланцевых соединений после установки ЗД"/>
        <s v="Демонтаж рабочей площадки"/>
        <s v="Монтаж ФА ГРП"/>
        <s v="Стыковка УГРХ"/>
        <s v="Демонтаж УПА"/>
        <s v="Демонтаж БГД"/>
        <s v="Демонтаж заземления. Отключение оборудования. Сдача скважины"/>
        <s v="Ловильные работы труболовкой"/>
        <s v="Ловильные работы З-86"/>
        <s v="Выгрузка на доп. стеллажи ТТ-73мм. Погрузка с выкладкой на стеллажи НКТ-89мм 300шт."/>
        <s v="Монтаж компоновки УГРХ"/>
        <s v="Спуск компоновки УГРХ"/>
        <s v="Демонтаж оборудования"/>
        <s v="Монтаж ФА"/>
        <s v="Стыковка стингера"/>
        <s v="Монтаж подрывного патрубка"/>
        <s v="Демонтаж АФ ГРП "/>
        <s v="Опрессовка ПВО до концевых задвижек"/>
        <s v="Замена негерметичной ЗД АФ"/>
        <s v="Срыв Стингера"/>
        <s v="Подъём Стингера на НКТ-89м"/>
        <s v="Доподъём Стингера"/>
        <s v="Разгрузка на ПМ оборудования для монтажа УЭЦН"/>
        <s v="Монтажа УЭЦН"/>
        <s v="Спуск УЭЦН"/>
        <s v="Демонтаж ПВО. Монтаж ПШ ФА"/>
        <s v="Опрессовка лифта НКТ-73"/>
        <s v="Сдача скважины"/>
        <s v="СКО"/>
        <s v="Монтаж компоновки &quot;Перо&quot; НКТ-60(9м)+ТТ-60"/>
        <s v="Спуск компоновки &quot;перо&quot;+ НКТ-60мм"/>
        <s v="Обратная промывка скважины"/>
        <s v="Подъём компоновки &quot;перо&quot;"/>
        <s v="Переезд"/>
        <s v="Расстановка БО"/>
        <s v="Опрессовка БД, БГ, ПВО до установки на устье"/>
        <s v="Монтаж и опрессовка нагнетательных линий"/>
        <s v="Монтаж выкидной линии"/>
        <s v="Замер избыточного давления"/>
        <s v="Глушение скважины"/>
        <s v="Технологическая стоянка"/>
        <s v="Разрядка скважины"/>
        <s v="Монтаж ПА и БО"/>
        <s v="Монтаж ПВО"/>
        <s v="Опрессовка ПВО"/>
        <s v="Опрессовка задвижек АФ"/>
        <s v="Произвести замену ЗД"/>
        <s v="Произвести срыв стингера"/>
        <s v="Произвести подъём стингера"/>
        <s v="Переукладка НКТ на ПМ"/>
        <s v="Установка барабана, разгрузка УЭЦН"/>
        <s v="Монтаж УЭЦН"/>
        <s v="Контрольный замер сопротивления"/>
        <s v="Опрессовка НКТ"/>
        <s v="Запуск скважины"/>
        <s v="Демонтаж ПА"/>
        <s v="Демонтаж БД"/>
        <s v="Демонтаж "/>
        <s v="Подъём УГРХ"/>
        <s v="Доподъём УГРХ"/>
        <s v="Переезд бригады на скв. №2118 (9 рейсов, L=0,015 км)"/>
        <s v="Расстановка и подключение оборудования, установка подставок под кабель, монтаж заземлений и 2‑х защитных колпаков"/>
        <s v="Монтаж линии набора воды, набор тех. воды 41,7 м³ (ρ=1,01), обработка ПАВ, отбор пробы, параллельный завоз жидкости глушения 131 м³"/>
        <s v="Опрессовка блока дросселирования, блока глушения и превентора до установки на устье"/>
        <s v="Монтаж и опрессовка нагнетательных линий на полуторократное давление (Р=23 МПа)"/>
        <s v="Монтаж блока дросселирования и выкидной линии L=10 м, демонтаж дублирующих задвижек (2 шт.), монтаж гидравлических задвижек, опрессовка выкидной линии на 10 МПа"/>
        <s v="Замер избыточного давления, разрядка скважины до атмосферного давления (при необходимости глушение)"/>
        <s v="Глушение скважины прямой промывкой раствором 1,01 г/см³ в V=31,7 м³, отбор проб"/>
        <s v="Разрядка скважины до атмосферного давления, организация постоянного долива раствором глушения"/>
        <s v="Монтаж подъемника УБРСП-80, устройство 2 якорей, установка пригрузов (2 компл.), монтаж приемного моста, стеллажей, рабочей площадки, спайдера, гидроключа, ИВЭ-50, испытание якорей"/>
        <s v="Глушение скважины при наличии избыточного давления (31,7 м³, ρ=1,01 г/см³)"/>
        <s v="Демонтаж АФ ГРП (без срыва стингера), монтаж ПВО, СУП, 2 отбойных щитов, 4 дистанционных штурвалов"/>
        <s v="Опрессовка ПВО на устье до 23 МПа (видеорегистрация)"/>
        <s v="Опрессовка задвижек АФ №2,3,9,10 на 23 МПа"/>
        <s v="Замена негерметичных задвижек №2,3,9,10 и опрессовка соединений на 23 МПа"/>
        <s v="Срыв стингера, вызов циркуляции, обратная промывка раствором глушения V=53,9 м³ (6-8 л/с)"/>
        <s v="Подъём стингера на НКТ-89 с глубины 2941,42 м до 725,6 м (220 шт.) с постоянным доливом"/>
        <s v="Снятие со стеллажей НКТ-89 (220 шт.), укладка новой НКТП-73 с покрытием (245 шт.), установка переводника"/>
        <s v="Доподъём стингера на НКТ-89 с 725,6 м до устья (73 шт.) с постоянным доливом, снятие со стеллажей НКТ-89 (73 шт.)"/>
        <s v="Установка барабана на автовымотку, разгрузка УЭЦН, опрессовка подклапанных НКТП-73 (5 шт.) на 25 МПа, сверка номеров, ВИК резьб, центровка мачты"/>
        <s v="Монтаж УЭЦН (1 секция ПЭД, гидрозащита, газосепаратор, диспергатор, 2 секции ЭЦН)"/>
        <s v="Настройка ГКШ, сборка и опрессовка компоновки на 20 МПа, спуск УЭЦН на глубину 2450 м с поинтервальной опрессовкой НКТП через 600 м (6 МПа), замером изоляции через 300 м, установкой противополётного кольца на 800 м"/>
        <s v="Контрольный замер сопротивления изоляции после спуска ЭПУ (до и после посадки ПШ)"/>
        <s v="Демонтаж ГКШ, спайдера, превентора, отбойных щитов и штурвалов. Монтаж ёлки ФА, кабельного ввода, опрессовка КВ на 17,6 МПа, укладка кабеля (50 м)"/>
        <s v="Опрессовка НКТП-73 на 6 МПа и ФА с обвязкой на 4 МПа"/>
        <s v="Перевод скважины на нефть по затрубному пространству (V=40 м³, на поглощение)"/>
        <s v="Пробный запуск УЭЦН на мерную ёмкость"/>
        <s v="Демонтаж ИВЭ-50, рабочей площадки, УБРСП-80, смена дублирующих задвижек (2 шт.), опрессовка фланцев, демонтаж пригрузов, якорей, приёмного моста, стеллажей, линии долива"/>
        <s v="Демонтаж блока дросселирования и выкидной линии (10 м)"/>
        <s v="Демонтаж 2‑х защитных колпаков, заземлений, отключение оборудования, демонтаж подставок под кабель, уборка территории"/>
        <s v="Ожидание спецтехники. Техническое дежурство."/>
        <s v="Переезд бригады на скв. №2200 кп №23 РНМ со скв. №2118 кп №23 РНМ — Ʃ9 рейсов. L=0,005км."/>
        <s v="Расстановка оборудования. Подключение оборудования с установкой подставок под кабель. Монтаж заземлений. Монтаж 2-х защитных колпаков."/>
        <s v="Монтаж линий для набора тех.воды L=5м. Набор тех.воды со скв. ППД №728 кп.16. Набор тех.жидкости ρ=1,01 г/см³ в V=42,3м³. Обработка ПАВ СНПХ-ПКД-0515 0,03%. Отбор и передача пробы в лабораторию. Параллельный завоз жидкости в V=136м³."/>
        <s v="Монтаж и опрессовка нагнетательных линий на Р=23МПа."/>
        <s v="Монтаж блока дросселирования и линий L-10м. Демонтаж ЗД №2,10. Монтаж двух гидравлических задвижек. Опрессовка выкидной линии на Р=10МПа (герметично)."/>
        <s v="Разрядка скважины (-) на выходе тех.жидкость. Замер Ризб от 0,5МПа до 0."/>
        <s v="Монтаж подъемного агрегата УБРСП-80 (30% + 70%). Устройство 2-х якорей. Установка пригрузов 2 комплекта. Монтаж приемного моста с 3 облегченными стеллажами. Монтаж РП, спайдера СУ-80, гидроключа ГКШ-1200, ИВЭ-50."/>
        <s v="Глушение скважины прямой промывкой раствором ρ=1,01 г/см³ в V=32,3м³. Скорость подачи 4-6 л/с."/>
        <s v="Технологическая стоянка. Разрядка скважины (-), излив V=1,8м³. Замер Ризб=1,5МПа. Приготовление раствора глушения ρ=1,10 г/см³ в V=101,3м³."/>
        <s v="Завоз KCl с базы ООО «Победит Холдинг» КП №7 L=17,285км — 15т."/>
        <s v="Приготовление раствора глушения ρ=1,10 г/см³ в V=40м³ + 67м³."/>
        <s v="Приготовление раствора глушения ρ=1,10 г/см³ в V=101м³. Глушение скважины прямой промывкой в V=32,3м³. Технологический отстой."/>
        <s v="Техотстой. Замер Ризб=0. Разрядка скважины (+) на выходе тех.жидкость."/>
        <s v="Запуск бригады КРС пусковой комиссией. Получение разрешения районного инженера ТВО на демонтаж ФА ГРП и монтаж ПВО. Устранение пунктов ПК."/>
        <s v="Демонтаж ФА ГРП (без срыва пакера). Монтаж ПВО. Монтаж СУП, МОП. Монтаж 2-х отбойных щитов и 4-х дистанционных штурвалов. Опрессовка ПВО на Р=23МПа. Опрессовка ЗД №3,9,10 на Р=23МПа."/>
        <s v="Срыв стингера: расхаживание с увеличением веса до 66т (свой 43т), противодавление в затрубе 10МПа. Обратная промывка скважины в V=59м³."/>
        <s v="Подъём стингера на НКТ 89мм с глубины 3136м до 725,6м (221шт). Вес на вира 61т."/>
        <s v="Снятие со стеллажей НКТ 89мм (221шт). Укладка на стеллажи новой НКТП 73мм с покрытием TC 3000F (265шт). Доподъём стингера с 725,6м до устья (66шт). Демонтаж стингера."/>
        <s v="Установка барабана на автовымотку. Разгрузка УЭЦН на приемный мост. Опрессовка подклапанных 5шт на 250атм."/>
        <s v="Монтаж 0215ЭЦНАКИ5А-100И/2450."/>
        <s v="Сборка компоновки: ЭЦН + 5 НКТП73 + КОШ + АШУ-73 + 1 НКТП73 + СК-73 + 1 НКТП73. Опрессовка на Р=20МПа (герметично)."/>
        <s v="Спуск УЭЦН на НКТП73мм: Н=1636,4м (159шт) с замером Rиз через 300м и опрессовкой НКТП через 600м (Р=6МПа). Остановка с 20:00 до 24:00 по неполному составу вахты."/>
        <s v="Спуск УЭЦН на НКТП73мм: Н=2654,4м (258шт) с замером Rиз через 300м и опрессовкой НКТП через 600м (Р=6МПа). Контрольный замер КЗИ."/>
        <s v="Демонтаж ГКШ, спайдера. Протаскивание кабеля через подвесной ролик 50м. Демонтаж ПВО с протаскиванием кабеля. Демонтаж отбойных щитов, штурвалов, СУП. Монтаж ёлки ФА. Монтаж кабельного ввода. Опрессовка НКТП на Р=6МПа. Опрессовка КВ2 на Р=17,6МПа."/>
        <s v="Демонтаж ИВЭ-50, РП, УБРСП-80. Смена дублирующих задвижек. Опрессовка фланцевого соединения."/>
        <s v="Перевод скважины на нефть через затрубное пространство в V=40м³. Опрессовка ОК и ФА с обвязкой на Р=4МПа."/>
        <s v="Демонтаж оборудования. Сдача скважины."/>
        <s v="Переезд бригады на скв. №2095"/>
        <s v="Расстановка и подключение оборудования, монтаж заземлений и защитных колпаков"/>
        <s v="Монтаж линии набора воды, набор тех. воды 35,4 м³, обработка ПАВ, завоз жидкости глушения 81,1 м³"/>
        <s v="Монтаж и опрессовка нагнетательных линий на полуторократное давление"/>
        <s v="Монтаж блока дросселирования и выкидной линии, замена двух задвижек, опрессовка выкидной линии"/>
        <s v="Замер давления, разрядка скважины (при необходимости глушение)"/>
        <s v="Глушение скважины прямой промывкой 25,4 м³, отбор проб"/>
        <s v="Разрядка скважины до атмосферного давления, организация постоянного долива"/>
        <s v="Монтаж подъемника УБРСП-80, якорей, пригрузов, мостов, стеллажей, спайдера, гидроключа, ИВЭ-50"/>
        <s v="Глушение скважины при наличии избыточного давления"/>
        <s v="Демонтаж АФ ГРП (без срыва пакера), монтаж ПВО, СУП, отбойных щитов и штурвалов"/>
        <s v="Опрессовка ПВО на устье до 21,34 МПа (видеорегистрация)"/>
        <s v="Опрессовка задвижек АФ №2,3,9,10 на 21,34 МПа"/>
        <s v="Замена негерметичных задвижек №2,3,9,10 и опрессовка соединений"/>
        <s v="Срыв пакера ГРП, релаксация уплотнений 2 часа"/>
        <s v="Подъём пакера на 100 м, вызов циркуляции, обратная промывка 32,1 м³"/>
        <s v="При отсутствии циркуляции – расхаживание, наращивание, повторные промывки (до 3 циклов)"/>
        <s v="Подъём пакера с 2840 м до 725,6 м (215 шт.) с постоянным доливом"/>
        <s v="Снятие со стеллажей НКТ-89 (225 шт.), укладка ТТ-73 (337 шт.)"/>
        <s v="Доподъём пакера до устья, демонтаж пакера, снятие НКТ-89 (73 шт.)"/>
        <s v="Отбивка забоя по ГК, МЛМ силами ООО «Газпром недра»"/>
        <s v="Спуск компоновки «Зубчатая муфта» до 3003 м, нормализация забоя с отмывкой пропанта, промывка"/>
        <s v="При отрицательном результате – монтаж гидроротора и ВБТ-80, нормализация забоя, демонтаж"/>
        <s v="Подъём компоновки с 3039,64 м до 656,2 м с постоянным доливом"/>
        <s v="Снятие ТТ-73 (264 шт.), укладка НКТ-73 без покрытия (285 шт.)"/>
        <s v="Доподъём компоновки до устья, снятие ТТ-73 (73 шт.)"/>
        <s v="Установка барабана, разгрузка УЭЦН, опрессовка подклапанных НКТ (5 шт.), сверка номеров, центровка"/>
        <s v="Монтаж УЭЦН (1 секция ПЭД, гидрозащита, газосепаратор, 2 секции ЭЦН)"/>
        <s v="Настройка ГКШ, сборка и опрессовка компоновки, спуск УЭЦН на 2850 м с контролем изоляции и опрессовкой НКТ"/>
        <s v="Контрольный замер сопротивления изоляции после спуска"/>
        <s v="Демонтаж ПВО, протаскивание кабеля, монтаж ёлки ФА и кабельного ввода, опрессовка КВ, укладка кабеля"/>
        <s v="Перевод скважины на нефть по затрубному пространству (40 м³)"/>
        <s v="Демонтаж ИВЭ-50, рабочей площадки, УБРСП-80, смена задвижек, демонтаж пригрузов, якорей, мостов, стеллажей, линии долива"/>
        <s v="Демонтаж блока дросселирования и выкидной линии"/>
        <s v="Демонтаж защитных колпаков, заземлений, отключение оборудования, демонтаж подставок, уборка территории"/>
        <s v="Монтаж МБУ" u="1"/>
        <s v="ВМР. Пусковая комиссия. ПР к бурению" u="1"/>
        <s v="Срыв планшайбы" u="1"/>
        <s v="Опресовка ПВО (трубные плашки)" u="1"/>
        <s v="Срыв пакера" u="1"/>
        <s v="Подъём пакера на НКТ-73мм" u="1"/>
        <s v="Перемонтаж ПВО" u="1"/>
        <s v="Сборка зачистной КНБК" u="1"/>
        <s v="Спуск зачистной компоновки с проработкой до глубины 3150м. Опрессовка ПВО (трубные плашки)" u="1"/>
        <s v="Подъём зачистной компоновки " u="1"/>
        <s v="Сборка компоновки ГУК с пакер-пробкой" u="1"/>
        <s v="Спуск компоновки ГУК с пакер пробкой до глубины 3040м" u="1"/>
        <s v="Промывка. Активация пакер-пробки" u="1"/>
        <s v="Подъём ГУК с глубины 3040м" u="1"/>
        <s v="Опрессовка глухих плашек совместно с пакер-пробкой" u="1"/>
        <s v="Монтаж БГД и выкидной линии" u="1"/>
        <s v="Опресовка до концевых задвижек" u="1"/>
        <s v="ГИС (АКЦ с записью ФКД, ГГЦ, ГК, ННК-т, МЛМ) " u="1"/>
        <s v="Сборка фрезерующей КНБК" u="1"/>
        <s v="Спуск КНБК 2 с  обратными промежуточными промывками через 500м, скорость спуска не более 0,2-0,25м/с." u="1"/>
        <s v="Ориентирование инструмента " u="1"/>
        <s v="УТЗ &quot;Выброс&quot;" u="1"/>
        <s v="Обратная промывка" u="1"/>
        <s v="Установка клин-отклонителя." u="1"/>
        <s v="Фрезерование Э.К. в интервале 2562-2565м" u="1"/>
        <s v="Углубление в породе (карман) 2570м" u="1"/>
        <s v="Определение приемистости." u="1"/>
        <s v="Промывка скважины, перевод скважины на буровой раствор " u="1"/>
        <s v="Подъем КНБК №2" u="1"/>
        <s v="Разборка КНБК №2" u="1"/>
        <s v="Сборка КНБК №3 на бурение " u="1"/>
        <s v="Спуск КНБК №3. Сборка ТБТ- 110м. " u="1"/>
        <s v="Проработка кармана в инт-ле 2565-2570м" u="1"/>
        <s v="Бурение интервала 2570-3665 м" u="1"/>
        <s v="Промывка скважины. " u="1"/>
        <s v="Шаблонировка в инт 3665-2562-3665м" u="1"/>
        <s v="Подъем КНБК №2 до гл 2562м" u="1"/>
        <s v="Тех.отстой (тест на приток)" u="1"/>
        <s v="Подъем КНБК №2 " u="1"/>
        <s v="ГИС на трубах:_x000a_ПС, Резистивиметрия, ВИКИЗ, ИК, АКШ, ГГК-П, БК, Инклинометрия, ГК, ННК-т" u="1"/>
        <s v="Сборка КНБК №3 на шаблонировку " u="1"/>
        <s v="Спуск на шаблонировку до 2562м" u="1"/>
        <s v="Шаблонировка в инт 2562-3665м" u="1"/>
        <s v="Шаблонировка в инт 3665-2562м" u="1"/>
        <s v="Подъем КНБК №3" u="1"/>
        <s v="Разборка КНБК №3 " u="1"/>
        <s v="Сборка &quot;хвостовика&quot;" u="1"/>
        <s v="Спуск &quot;хвостовика&quot; с промежуточной промывкой в окне и перед Баженом" u="1"/>
        <s v="Промывка." u="1"/>
        <s v="Активация подвески" u="1"/>
        <s v="Цементирование &quot;хвостовика&quot;" u="1"/>
        <s v="ОЗЦ. Срезка прямой промывкой. " u="1"/>
        <s v="ОЗЦ. Подъем СБТ-89" u="1"/>
        <s v="ОЗЦ. Разборка разъединителя. " u="1"/>
        <s v="Сборка КНБК на нормализацию." u="1"/>
        <s v="Спуск со сборкой СБТ-60мм, спуск СБТ-89 до МСЦ - 3365м" u="1"/>
        <s v="Опрессовка ЭК" u="1"/>
        <s v="Нормализация МСЦ, заглушек фильтров с промежуточными промывками до глубины 3665м" u="1"/>
        <s v="Промывка на забое перед подъёмом" u="1"/>
        <s v="Подъем СБТ-89, СБТ-60мм с выбросом на ПМ 3665м" u="1"/>
        <s v="Исследование автономным прибором на трубах:_x000a_ (АКЦ с записью ФКД, ГГЦ, ГК, ННК-т, МЛМ, инклинометрия с ГК)._x000a_" u="1"/>
        <s v="Спуск НКТ до глубины 3230м" u="1"/>
        <s v="Демонтаж ПВО" u="1"/>
        <s v="Монтаж ФА. Опрессовка." u="1"/>
        <s v="Время на строительство скважины включает в себя не более 3%" u="1"/>
        <s v="Монтаж ПВО, ЛГ, ЛД, БГД, ФЛ" u="1"/>
        <s v="Опрессовка ПВО с устьевым пакером" u="1"/>
        <s v="Сборка труболовки " u="1"/>
        <s v="Спуск труболовки до гл. 3121,65м со сборкой БИ со стеллажей" u="1"/>
        <s v="Ловильные работы по извлечению хвостовика" u="1"/>
        <s v="Подъем труболовки " u="1"/>
        <s v="Разборка труболовки" u="1"/>
        <s v="Спуск воронки на установку ЦМ в инт. 3120-3020м." u="1"/>
        <s v="ПР и установка ЦМ в инт. 3120-3020м." u="1"/>
        <s v="ОЗЦ. Подъем бурильного инструмента  в безопасную зону (200) до гл. 2920м. Промывка, вымыв остатков цемента. Подъем бурильного инструмента. " u="1"/>
        <s v="Сборка ЯГФ-178" u="1"/>
        <s v="Спуск ЯГФ-178 до 3004м" u="1"/>
        <s v="Установка ЯГФ-178" u="1"/>
        <s v="Подъем транспортной КНК" u="1"/>
        <s v="Спуск КНБК №2 с обратными промежуточными промывками через каждые 500м, скорость спуска не более 0,2м/с." u="1"/>
        <s v="Фрезерование Э.К. в интервале 3004-3007м" u="1"/>
        <s v="Углубление в породе (карман) 3007-3012м" u="1"/>
        <s v="Определение приемистости" u="1"/>
        <s v="Промывка скважины, перевод скважины на буровой раствор" u="1"/>
        <s v="Спуск КНБК №3. Сборка ТБТ- 100м. " u="1"/>
        <s v="Проработка кармана в инт-ле 3007-3012м" u="1"/>
        <s v="Бурение интервала 3012-3062м" u="1"/>
        <s v="Промывка" u="1"/>
        <s v="Подъем КНБК" u="1"/>
        <s v="Разборка КНБК" u="1"/>
        <s v="Сборка КНБК с резистивиметром" u="1"/>
        <s v="Спуск КНБК №4" u="1"/>
        <s v="Бурение интервала 3062-3710м" u="1"/>
        <s v="Промывка скважины" u="1"/>
        <s v="Шаблонировка в инт 3710-3012-3710м" u="1"/>
        <s v="Подъем КНБК №3 до гл. 3012м" u="1"/>
        <s v="Подъем КНБК №3 " u="1"/>
        <s v="ПР к спуску хвостовика МСГРП" u="1"/>
        <s v="Сборка хвостовика МСГРП" u="1"/>
        <s v="Спуск &quot;хвостовика&quot; с промежуточной промывкой в окне " u="1"/>
        <s v="Подъем транспортной колонны с выбросом " u="1"/>
        <s v="Разборка разъединителя" u="1"/>
        <s v="Сборка КНБК №1 " u="1"/>
        <s v="Бурение в интервале 0 - 50 м" u="1"/>
        <s v="Промывка на забое" u="1"/>
        <s v="Технологическое СПО в инт. 0-50-0 м" u="1"/>
        <s v="ПЗР к спуску направления  324 мм" u="1"/>
        <s v="Спуск направления 324 мм" u="1"/>
        <s v="Промывка -0,5 ч.  ПЗР к цементированию -1 ч" u="1"/>
        <s v="Цементирование направления 324 мм" u="1"/>
        <s v="ОЗЦ.Оборудование устья скважины" u="1"/>
        <s v="Сборка КНБК №2 с Т/С" u="1"/>
        <s v="Разбуривание цементного стакана. Промывка" u="1"/>
        <s v="Бурение в интервале 50 - 1450 м" u="1"/>
        <s v="Подъем с проработкой в интервале 1450 - 50 м" u="1"/>
        <s v="ПЗР к спуску кондуктора" u="1"/>
        <s v="Спуск кондуктора 245 мм" u="1"/>
        <s v="ПЗР к цементированию" u="1"/>
        <s v="Цементирование кондуктора 245 мм" u="1"/>
        <s v="Монтаж ПВО, Опрессовка ПВО (ППГ-глухие)" u="1"/>
        <s v="ГИС (АКЦ. ЦМ. РК. МЛМ)" u="1"/>
        <s v="Сборка КНБК №3 с Т/С" u="1"/>
        <s v="Спуск в инт. 50-1450 м. со сборкой СБТ-127 мм с приемных мостков (1918м) " u="1"/>
        <s v="Опрессовка ПВО трубных плашек и ПУГ" u="1"/>
        <s v="Разбуривание оснастки" u="1"/>
        <s v="Опрессовка цем.кольца" u="1"/>
        <s v="Бурение в интервале 1450 - 3598 м" u="1"/>
        <s v="Поглощение" u="1"/>
        <s v="Сборка и спуск НКТ-73 (100 м) на СБТ-127, промывка, УЦМ (изолирующий), ОЗЦ ЦМ, определние &quot;головы&quot; ЦМ" u="1"/>
        <s v="Подъем НКТ-73 (с выбросом НКТ) на СБТ-127" u="1"/>
        <s v="Сборка КНБК" u="1"/>
        <s v="Спуск КНБК" u="1"/>
        <s v="Бурение под ЭК" u="1"/>
        <s v="Поэтапное бурение под ЭК" u="1"/>
        <s v="Промывка на проектном забое, КСПО, промывка, установка пачки" u="1"/>
        <s v="Подъем КНБК с выбросом СБТ-127" u="1"/>
        <s v="Разборка КНБК." u="1"/>
        <s v="ГИС (в открытом стволе на БИ). Выброс бурильного инструмента (1918м) 36 ч. на ГИС 19 ч. на выброс" u="1"/>
        <s v="ПЗР к спуску эксплуатационной колонны 168 мм" u="1"/>
        <s v="Спуск эксплуатационной колонны 168 мм" u="1"/>
        <s v="Цементирование эксплуатационной колонный 168 мм" u="1"/>
        <s v="ОЗЦ, Перемонтаж ПВО, Опрессовка ПВО (глухие плашки)" u="1"/>
        <s v="ГИС (АКЦ, ЦМ, РК, МЛМ) интервал ОК-168 мм" u="1"/>
        <s v="Сборка КНБК №5 без Т/С " u="1"/>
        <s v="Спуск КНБК со сборкой СБТ-102 мм с мостков (2459м/)+ЯСС" u="1"/>
        <s v="Бурение в интервале 3598 - 3659 м" u="1"/>
        <s v="Прокачка пачки ВУС в объеме 6 м3" u="1"/>
        <s v="КСПО в интервале 3659 - 3598 м" u="1"/>
        <s v="КСПО в интервале 3598 - 3659 м" u="1"/>
        <s v="ГИС (в открытом стволе на БИ)" u="1"/>
        <s v="ПЗР к спуску хвостовика 114 мм" u="1"/>
        <s v="Сборка хвостовика 114 мм" u="1"/>
        <s v="Спуск хвостовика 114 мм" u="1"/>
        <s v="СПО подъем с выбросом СБТна мостки (2459)" u="1"/>
        <s v="Спуск НКТ-73 мм (1500м, с мостков, со сборкой вручную)" u="1"/>
        <s v="ВМР. Пусковая комиссия. ПР к бурению." u="1"/>
        <s v="Бурение в интервале 0 - 50 м." u="1"/>
        <s v="Промывка на забое. " u="1"/>
        <s v="Технологическое СПО в инт. 0-50-0 м." u="1"/>
        <s v="ПЗР к спуску направления  324 мм." u="1"/>
        <s v="Спуск направления 324 мм." u="1"/>
        <s v="Промывка -0,5 ч.  ПЗР к цементированию -1 ч." u="1"/>
        <s v="Цементирование направления 324 мм." u="1"/>
        <s v="ОЗЦ.Оборудование устья скважины." u="1"/>
        <s v="Разбуривание цементного стакана. Промывка." u="1"/>
        <s v="Бурение в интервале 50 - 1450 м." u="1"/>
        <s v="Подъем с проработкой в интервале 1450 - 50 м." u="1"/>
        <s v="ПЗР к спуску кондуктора." u="1"/>
        <s v="Спуск кондуктора 245 мм." u="1"/>
        <s v="ПЗР к цементированию." u="1"/>
        <s v="Цементирование кондуктора 245 мм." u="1"/>
        <s v="Монтаж ПВО, Опрессовка ПВО (ППГ-глухие)." u="1"/>
        <s v="Опрессовка ПВО трубных плашек и ПУГ. " u="1"/>
        <s v="Разбуривание оснастки." u="1"/>
        <s v="Бурение в интервале 1450 - 3598 м." u="1"/>
        <s v="УТЗ &quot;ВЫБРОС&quot;." u="1"/>
        <s v="Подъем КНБК с проработкой в интервале 3598 - 1450 м." u="1"/>
        <s v="Подъем КНБК в интервале 1450 - 50 м." u="1"/>
        <s v="ПЗР к спуску эксплуатационной колонны 168 мм." u="1"/>
        <s v="Спуск эксплуатационной колонны 168 мм." u="1"/>
        <s v="Цементирование эксплуатационной колонный 168 мм." u="1"/>
        <s v="ГИС (АКЦ, ЦМ, РК, МЛМ) интервал ОК-168 мм." u="1"/>
        <s v="Опрессовка ПВО трубных плашек и ПУГ.  " u="1"/>
        <s v="Бурение в интервале 3598 - 3659 м." u="1"/>
        <s v="Прокачка пачки ВУС в объеме 6 м3." u="1"/>
        <s v="КСПО в интервале 3659 - 3598 м." u="1"/>
        <s v="КСПО в интервале 3598 - 3659 м." u="1"/>
        <s v="Подъем КНБК." u="1"/>
        <s v="ГИС (в открытом стволе на БИ)." u="1"/>
        <s v="ПЗР к спуску хвостовика 114 мм." u="1"/>
        <s v="Сборка хвостовика 114 мм." u="1"/>
        <s v="Спуск хвостовика 114 мм. " u="1"/>
        <s v="Активация подвески." u="1"/>
        <s v="ПЗР к спуску направления  324 мм " u="1"/>
        <s v="Спуск направления 324 мм " u="1"/>
        <s v="Промывка -0,5 ч., ПЗР к цементированию -1 ч., продувка манифольда -0,25 ч. (в холодное время года)" u="1"/>
        <s v="ОЗЦ.  Оборудование устья скважины." u="1"/>
        <s v="Спуск КНБК в инт. 26-50 м." u="1"/>
        <s v="Бурение в интервале 50 - 1384 м" u="1"/>
        <s v="Промывка+ 0,25 продувка манифольда (в холодное время года)" u="1"/>
        <s v="Подъем с проработкой в интервале 1384 - 0 м" u="1"/>
        <s v="Разборка КНБК " u="1"/>
        <s v="ПЗР к спуску кондуктора " u="1"/>
        <s v="Спуск кондуктора 245 мм (+ промежуточные промывки)" u="1"/>
        <s v="ОЗЦ. Монтаж ПВО." u="1"/>
        <s v="Оборудование устья скважины" u="1"/>
        <s v="Опрессовка ПВО (ППГ-глухие)" u="1"/>
        <s v="ГИС (АКЦ, ЦМ, РК, МЛМ) интервал ОК-245мм. Интервал 0-1384 м *" u="1"/>
        <s v="Сборка инструмента СБТ-127 мм (1444м). Спуск КНБК в инт. 30-1384м." u="1"/>
        <s v="Опрессовка ПВО трубных плашек и ПУГ  " u="1"/>
        <s v="Бурение в интервале 1384 - 3268 м" u="1"/>
        <s v="Подъем КНБК с проработкой в интервале 3268- 1384м" u="1"/>
        <s v="Подъем КНБК в интервале 1384 - 50 м" u="1"/>
        <s v="ГИС (в открытом стволе на БИ). *" u="1"/>
        <s v="Подъем с выбросом инструмента на мостки (1444м/60шт)" u="1"/>
        <s v="ПЗР к спуску эксплуатационной колонны 168мм" u="1"/>
        <s v="Спуск эксплуатационной колонны 168 мм (+ промежуточные промывки)" u="1"/>
        <s v="Цементирование эксплуатационной колонный 168мм" u="1"/>
        <s v="ОЗЦ. Перемонтаж ПВО." u="1"/>
        <s v="ГИС (АКЦ, ЦМ, РК, МЛМ) интервал ОК-168 мм. *" u="1"/>
        <s v=" Опрессовка ПВО (глухие плашки)" u="1"/>
        <s v="Сборка КНБК №4 с Т/С " u="1"/>
        <s v="Спуск КНБК со сборкой СБТ 89 мм с мостков в инт. 30-3268м (2112м)+сборка Ясс" u="1"/>
        <s v="Перезапись ГК в интервале 3218-3268м." u="1"/>
        <s v="Бурение в интервале 3268 - 3768 м" u="1"/>
        <s v="Промывка + 0,25 продувка манифольда (в холодное время года)" u="1"/>
        <s v="КСПО вверх" u="1"/>
        <s v="КСПО вниз" u="1"/>
        <s v="Промывка. Установка пачки." u="1"/>
        <s v="Разборка КНБК №6" u="1"/>
        <s v="ГИС заключительный" u="1"/>
        <s v="Спуск хвостовика 114 мм " u="1"/>
        <s v="Промывка. Активация подвески" u="1"/>
        <s v="СПО подъем с выбросом  (4054м)+ТБТ 89мм (100м)" u="1"/>
        <s v="ОЗЦ. Сборка СБТ-127 мм (316 м.). Оборудование устья скважины." u="1"/>
        <s v="Бурение в интервале 50 - 1549 м" u="1"/>
        <s v="Подъем с проработкой в интервале 1549 - 0 м" u="1"/>
        <s v="ГИС (АКЦ, ЦМ, РК, МЛМ) интервал ОК-245мм. Интервал 0-1549 м *" u="1"/>
        <s v="Сборка инструмента СБТ-127 мм (1989м). Спуск КНБК в инт. 30-1549 м." u="1"/>
        <s v="Бурение в интервале 1549 - 3554 м" u="1"/>
        <s v="Подъем КНБК с проработкой в интервале 3554 - 1549 м" u="1"/>
        <s v="Подъем КНБК в интервале 1549 - 50 м" u="1"/>
        <s v="Подъем с выбросом инструмента на мостки (2286м/95шт)" u="1"/>
        <s v="Сборка КНБК №5 с Т/С " u="1"/>
        <s v="Спуск КНБК со сборкой СБТ 89 мм с мостков в инт. 30-3534 м (4054м)+ТБТ 89мм (100м)+сборка Ясс" u="1"/>
        <s v="Перезапись ГК в интервале 3484-3534м." u="1"/>
        <s v="Бурение в интервале 3554 - 4054 м" u="1"/>
        <s v="КСПО в интервале 4054 - 3554 м" u="1"/>
        <s v="КСПО в интервале 3554 - 4054 м" u="1"/>
        <s v="ГИС (заключительный на СБТ).*" u="1"/>
        <s v="Время на строительство скважины включает в себя не более 2 процентов ремонтного времени от цикла строительства скважины." u="1"/>
        <s v="Промывка -0,5ч  ПЗР к цементированию -1ч" u="1"/>
        <s v="ОЗЦ. Оборудование устья. Сборка СБТ-127 мм (400м)" u="1"/>
        <s v="Бурение в интервале 50 - 1542 м" u="1"/>
        <s v="Подъем с проработкой мест затяжек в интервале 1542 - 50 м" u="1"/>
        <s v="ГИС (инклинометр в открытом стволе)" u="1"/>
        <s v="ОЗЦ.  Монтаж ПВО" u="1"/>
        <s v="ПЗР к ГИС." u="1"/>
        <s v="ГИС. (АКЦ, ЦМ, РК, МЛМ) интервал ОК-245 мм" u="1"/>
        <s v="Спуск со сборкой СБТ 127мм в интервале 50 - 1250 м" u="1"/>
        <s v="Бурение в интервале 1542 - 3478 м" u="1"/>
        <s v="Подъем КНБК в интервале 3534 - 1542м" u="1"/>
        <s v="Подъем КНБК в интервале 1542 - 0 м" u="1"/>
        <s v="СПО подъем с выбросом инструмента на мостки (1700м/139шт)" u="1"/>
        <s v="ОЗЦ. Перемонтаж ПВО" u="1"/>
        <s v="ПЗР к ГИС АКЦ" u="1"/>
        <s v="ГИС (АКЦ, ЦМ, РК, МЛМ) интервал ОК-168мм" u="1"/>
        <s v="Опрессовка Глухих плашек ПВО " u="1"/>
        <s v="Спуск со сборкой СБТ 89 мм с мостков (3650м)+ ТБТ 89мм (200м)" u="1"/>
        <s v="Сборка КНБК №5 c Т/С резак" u="1"/>
        <s v="Спуск КНБК " u="1"/>
        <s v="Бурение в интервале 3534 -4033" u="1"/>
        <s v="КСПО в интервале 4033-3534м" u="1"/>
        <s v="КСПО в интервале 3534-4033м" u="1"/>
        <s v="ГИС (заключительный на СБТ) интерпритация" u="1"/>
        <s v="Промывка, Активация подвески" u="1"/>
        <s v="СПО подъем с выбросом СБТ 89 мм на мостки (3550м/289шт)" u="1"/>
        <s v="Время на строительство скважины включает в себя не более 3% от времени бурения скважины на технического обслуживания " u="1"/>
        <s v="Сборкой СБТ 89 мм с мостков (3650м)+ ТБТ 89мм (200м)" u="1"/>
        <s v="ГИС (АКЦ, ЦМ, РК, МЛМ) интервал ОК-168мм," u="1"/>
        <s v="ОЗЦ, оборудование устья. " u="1"/>
        <s v="ОЗЦ. Монтаж ПВО" u="1"/>
        <s v="ГИС (АКЦ, ЦМ, РК, МЛМ) интервал 245 мм." u="1"/>
        <s v="Спуск со сборкой СБТ 127мм в интервале 50 - 1650 м" u="1"/>
        <s v="Опрессовка цем.кольца+ПЗР+продувка" u="1"/>
        <s v="Бурение в интервале 1450 - 3714 м" u="1"/>
        <s v="Шаблонировка 3714-1450-3714 м" u="1"/>
        <s v="Подъем КНБК в интервале 3714-1450 м" u="1"/>
        <s v="Подъем КНБК в интервале 1450-0 м" u="1"/>
        <s v="СПО подъем с выбросом инструмента на мостки (3700м/301 шт)" u="1"/>
        <s v="ОЗЦ. Перемонтаж ПВО, Опрессовка ПВО (глухие плашки)" u="1"/>
        <s v="Спуск со сборкой  СБТ 102 мм с мостков (3800м)" u="1"/>
        <s v="ПЗР к ГИС" u="1"/>
        <s v="Сборка КНБК №5 " u="1"/>
        <s v="Спуск КНБК  (3700м)" u="1"/>
        <s v="Разбуривание оснастки. Перезапись ГК" u="1"/>
        <s v="Бурение в интервале 3714 - 3773 м" u="1"/>
        <s v="КСПО в интервале 3773 - 3714 м" u="1"/>
        <s v="КСПО в интервале 3714 - 3773 м" u="1"/>
        <s v="СПО подъем с выбросом СБТ 102мм на мостки (3700м/303шт)" u="1"/>
        <s v="Спуск НКТ-73 ММ (1500)" u="1"/>
        <s v="Бурение в интервале 1542 - 3534 м" u="1"/>
      </sharedItems>
    </cacheField>
    <cacheField name="Скважина" numFmtId="0">
      <sharedItems containsMixedTypes="1" containsNumber="1" containsInteger="1" minValue="435" maxValue="2200"/>
    </cacheField>
    <cacheField name="ОК" numFmtId="0">
      <sharedItems containsNonDate="0" containsString="0" containsBlank="1"/>
    </cacheField>
    <cacheField name="Этап" numFmtId="0">
      <sharedItems containsBlank="1" count="15">
        <s v="ДПМ"/>
        <s v="ПР"/>
        <s v="КРС"/>
        <s v="Заканчивание"/>
        <s v="Доп. работы"/>
        <s v="ГИС"/>
        <s v="ЗБС" u="1"/>
        <s v="Бурение" u="1"/>
        <s v="Крепление" u="1"/>
        <s v="ОЗЦ" u="1"/>
        <m u="1"/>
        <s v="Ловильные работы" u="1"/>
        <s v="Б/м работы" u="1"/>
        <s v="Осложнение ствола" u="1"/>
        <s v="Прихват" u="1"/>
      </sharedItems>
    </cacheField>
    <cacheField name="Контекст простоя" numFmtId="0">
      <sharedItems/>
    </cacheField>
    <cacheField name="Событие" numFmtId="0">
      <sharedItems containsBlank="1"/>
    </cacheField>
    <cacheField name="Категория работ" numFmtId="0">
      <sharedItems/>
    </cacheField>
    <cacheField name="Вид работ" numFmtId="0">
      <sharedItems/>
    </cacheField>
    <cacheField name="Категория объектов" numFmtId="0">
      <sharedItems/>
    </cacheField>
    <cacheField name="Объект работ" numFmtId="0">
      <sharedItems/>
    </cacheField>
    <cacheField name="Рейс" numFmtId="0">
      <sharedItems containsString="0" containsBlank="1" containsNumber="1" containsInteger="1" minValue="1" maxValue="4"/>
    </cacheField>
    <cacheField name="Ключ" numFmtId="0">
      <sharedItems/>
    </cacheField>
    <cacheField name="Начало (цель)" numFmtId="164">
      <sharedItems containsSemiMixedTypes="0" containsNonDate="0" containsDate="1" containsString="0" minDate="2026-03-11T08:30:00" maxDate="2026-05-28T05:07:09"/>
    </cacheField>
    <cacheField name="Конец (цель)" numFmtId="164">
      <sharedItems containsSemiMixedTypes="0" containsNonDate="0" containsDate="1" containsString="0" minDate="2026-03-11T09:26:24" maxDate="2026-05-28T07:28:45"/>
    </cacheField>
    <cacheField name="Часы (цель)" numFmtId="166">
      <sharedItems containsSemiMixedTypes="0" containsString="0" containsNumber="1" minValue="0" maxValue="78.8"/>
    </cacheField>
    <cacheField name="Забой, м (цель)" numFmtId="0">
      <sharedItems containsNonDate="0" containsString="0" containsBlank="1"/>
    </cacheField>
    <cacheField name="Сутки (цель)" numFmtId="2">
      <sharedItems containsSemiMixedTypes="0" containsString="0" containsNumber="1" minValue="0" maxValue="3.2833333333333332"/>
    </cacheField>
    <cacheField name="Нараст. сутки (цель)" numFmtId="2">
      <sharedItems containsString="0" containsBlank="1" containsNumber="1" minValue="0.1288" maxValue="37.704966666666657"/>
    </cacheField>
    <cacheField name="Начало (план)" numFmtId="164">
      <sharedItems containsSemiMixedTypes="0" containsNonDate="0" containsDate="1" containsString="0" minDate="2026-03-11T08:30:00" maxDate="2026-05-28T05:07:09"/>
    </cacheField>
    <cacheField name="Конец (план)" numFmtId="164">
      <sharedItems containsSemiMixedTypes="0" containsNonDate="0" containsDate="1" containsString="0" minDate="2026-03-11T09:26:24" maxDate="2026-05-28T07:28:45"/>
    </cacheField>
    <cacheField name="Часы (план)" numFmtId="166">
      <sharedItems containsSemiMixedTypes="0" containsString="0" containsNumber="1" minValue="0" maxValue="78.8"/>
    </cacheField>
    <cacheField name="Забой, м (план)" numFmtId="0">
      <sharedItems containsSemiMixedTypes="0" containsString="0" containsNumber="1" containsInteger="1" minValue="0" maxValue="0"/>
    </cacheField>
    <cacheField name="Сутки (план)" numFmtId="2">
      <sharedItems containsSemiMixedTypes="0" containsString="0" containsNumber="1" minValue="0" maxValue="3.2833333333333332"/>
    </cacheField>
    <cacheField name="Нараст. сутки (план)" numFmtId="2">
      <sharedItems containsString="0" containsBlank="1" containsNumber="1" minValue="0.60708333333333331" maxValue="19.426216666666669"/>
    </cacheField>
    <cacheField name="Начало (факт)" numFmtId="164">
      <sharedItems containsSemiMixedTypes="0" containsNonDate="0" containsDate="1" containsString="0" minDate="2026-02-28T15:00:00" maxDate="2026-05-30T16:07:45"/>
    </cacheField>
    <cacheField name="Конец (факт, прогноз)" numFmtId="164">
      <sharedItems containsSemiMixedTypes="0" containsNonDate="0" containsDate="1" containsString="0" minDate="2026-03-02T00:00:00" maxDate="2026-05-30T18:29:21"/>
    </cacheField>
    <cacheField name="Часы (факт)" numFmtId="166">
      <sharedItems containsMixedTypes="1" containsNumber="1" minValue="0" maxValue="94.500000000000014"/>
    </cacheField>
    <cacheField name="Факт без НПВ, часы" numFmtId="166">
      <sharedItems containsMixedTypes="1" containsNumber="1" minValue="0" maxValue="78.8"/>
    </cacheField>
    <cacheField name="Сутки (факт)" numFmtId="2">
      <sharedItems containsSemiMixedTypes="0" containsString="0" containsNumber="1" minValue="4.1666666666666666E-3" maxValue="3.9375"/>
    </cacheField>
    <cacheField name="Нараст. сутки (факт)" numFmtId="2">
      <sharedItems containsSemiMixedTypes="0" containsString="0" containsNumber="1" minValue="4.1666666666666666E-3" maxValue="91.119550000000061"/>
    </cacheField>
    <cacheField name="Забой, м (факт)" numFmtId="0">
      <sharedItems containsSemiMixedTypes="0" containsString="0" containsNumber="1" containsInteger="1" minValue="0" maxValue="3472"/>
    </cacheField>
    <cacheField name="НПВ за операцию, часы" numFmtId="166">
      <sharedItems containsSemiMixedTypes="0" containsString="0" containsNumber="1" containsInteger="1" minValue="0" maxValue="0"/>
    </cacheField>
    <cacheField name="НПВ между операциями, часы" numFmtId="166">
      <sharedItems containsSemiMixedTypes="0" containsString="0" containsNumber="1" containsInteger="1" minValue="0" maxValue="0"/>
    </cacheField>
    <cacheField name="ПНВ, часы" numFmtId="2">
      <sharedItems containsMixedTypes="1" containsNumber="1" minValue="0" maxValue="87.7"/>
    </cacheField>
    <cacheField name="Проблемные позиции, оборудование, материалы, комментарии к НПВ" numFmtId="0">
      <sharedItems containsBlank="1"/>
    </cacheField>
    <cacheField name="Следование ГГД" numFmtId="166">
      <sharedItems containsSemiMixedTypes="0" containsString="0" containsNumber="1" minValue="-5.8329166666662786" maxValue="23.815416666671808"/>
    </cacheField>
    <cacheField name="Отставание/опережение" numFmtId="0" formula="'Сутки (план)'-'Сутки (факт)'" databaseField="0"/>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refreshedBy="Nikita Kanukov" refreshedDate="46173.949399305558" createdVersion="8" refreshedVersion="8" minRefreshableVersion="3" recordCount="24" xr:uid="{00000000-000A-0000-FFFF-FFFF01000000}">
  <cacheSource type="worksheet">
    <worksheetSource name="Учет_ДТ"/>
  </cacheSource>
  <cacheFields count="8">
    <cacheField name="Дата" numFmtId="14">
      <sharedItems containsSemiMixedTypes="0" containsNonDate="0" containsDate="1" containsString="0" minDate="2026-04-18T00:00:00" maxDate="2026-04-27T00:00:00" count="9">
        <d v="2026-04-18T00:00:00"/>
        <d v="2026-04-19T00:00:00"/>
        <d v="2026-04-20T00:00:00"/>
        <d v="2026-04-21T00:00:00"/>
        <d v="2026-04-22T00:00:00"/>
        <d v="2026-04-23T00:00:00"/>
        <d v="2026-04-24T00:00:00"/>
        <d v="2026-04-25T00:00:00"/>
        <d v="2026-04-26T00:00:00" u="1"/>
      </sharedItems>
    </cacheField>
    <cacheField name="Потребитель" numFmtId="0">
      <sharedItems/>
    </cacheField>
    <cacheField name="Время работы, ч" numFmtId="0">
      <sharedItems containsString="0" containsBlank="1" containsNumber="1" containsInteger="1" minValue="4" maxValue="24"/>
    </cacheField>
    <cacheField name="Расход ДТ, л/ч" numFmtId="0">
      <sharedItems containsNonDate="0" containsString="0" containsBlank="1"/>
    </cacheField>
    <cacheField name="Расход, литр за сутки" numFmtId="0">
      <sharedItems containsNonDate="0" containsString="0" containsBlank="1"/>
    </cacheField>
    <cacheField name="Остаток ДТ, литр" numFmtId="0">
      <sharedItems containsNonDate="0" containsString="0" containsBlank="1"/>
    </cacheField>
    <cacheField name="Приход ДТ, л" numFmtId="0">
      <sharedItems containsString="0" containsBlank="1" containsNumber="1" containsInteger="1" minValue="20000" maxValue="20000"/>
    </cacheField>
    <cacheField name="Расхождение расходов" numFmtId="0" formula="#NAME?-#NAME?" databaseField="0"/>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User" refreshedDate="46202.450038425923" missingItemsLimit="0" createdVersion="8" refreshedVersion="8" minRefreshableVersion="3" recordCount="237" xr:uid="{00000000-000A-0000-FFFF-FFFF14000000}">
  <cacheSource type="worksheet">
    <worksheetSource name="Хронология"/>
  </cacheSource>
  <cacheFields count="60">
    <cacheField name="Проект" numFmtId="49">
      <sharedItems/>
    </cacheField>
    <cacheField name="Основные работы" numFmtId="49">
      <sharedItems/>
    </cacheField>
    <cacheField name="Месторождение" numFmtId="49">
      <sharedItems/>
    </cacheField>
    <cacheField name="Куст" numFmtId="0">
      <sharedItems containsMixedTypes="1" containsNumber="1" containsInteger="1" minValue="1" maxValue="1"/>
    </cacheField>
    <cacheField name="Скважина" numFmtId="0">
      <sharedItems containsMixedTypes="1" containsNumber="1" containsInteger="1" minValue="431" maxValue="851" count="4">
        <s v="6 бис"/>
        <n v="431"/>
        <n v="851"/>
        <s v="600"/>
      </sharedItems>
    </cacheField>
    <cacheField name="Мастер" numFmtId="49">
      <sharedItems containsBlank="1" count="5">
        <s v="Вдовин И.О."/>
        <s v="Жабин П.П."/>
        <s v="Тарасов А.С."/>
        <s v="Епифанов Д.Б."/>
        <m/>
      </sharedItems>
    </cacheField>
    <cacheField name="Помощник мастера" numFmtId="49">
      <sharedItems containsNonDate="0" containsString="0" containsBlank="1"/>
    </cacheField>
    <cacheField name="Бурильщик" numFmtId="0">
      <sharedItems containsBlank="1" count="8">
        <s v="Жангазиев С.К."/>
        <s v="Керимов Н.К."/>
        <m/>
        <s v="Штыкин А.А."/>
        <s v="Шипунов С.И."/>
        <s v="Хохряков В.Я."/>
        <s v="Титов А.А."/>
        <s v="Арбузов А.В."/>
      </sharedItems>
    </cacheField>
    <cacheField name="№ рапорта" numFmtId="1">
      <sharedItems containsString="0" containsBlank="1" containsNumber="1" containsInteger="1" minValue="1" maxValue="29"/>
    </cacheField>
    <cacheField name="№ п/п" numFmtId="49">
      <sharedItems containsBlank="1"/>
    </cacheField>
    <cacheField name="ОК" numFmtId="0">
      <sharedItems containsNonDate="0" containsString="0" containsBlank="1"/>
    </cacheField>
    <cacheField name="Этап" numFmtId="0">
      <sharedItems count="6">
        <s v="ДПМ"/>
        <s v="ПР"/>
        <s v="КРС"/>
        <s v="ГИС"/>
        <s v="Заканчивание"/>
        <s v="Доп. работы"/>
      </sharedItems>
    </cacheField>
    <cacheField name="Контекст простоя" numFmtId="0">
      <sharedItems/>
    </cacheField>
    <cacheField name="Событие" numFmtId="0">
      <sharedItems containsBlank="1" count="5">
        <m/>
        <s v="Ожидание разрешения"/>
        <s v="Внеплановый ремонт"/>
        <s v="Орг. простой"/>
        <s v="Ожидание персонала"/>
      </sharedItems>
    </cacheField>
    <cacheField name="Категория работ" numFmtId="0">
      <sharedItems count="11">
        <s v="ПР"/>
        <s v="Монтаж_демонтаж_установка"/>
        <s v="Вспом_работы"/>
        <s v="СПО"/>
        <s v="Сборка_разборка_оснащение"/>
        <s v="ГИС"/>
        <s v="Контроль_замер"/>
        <s v="Испытания"/>
        <s v="Ремонт"/>
        <s v="Циркуляция"/>
        <s v="Простой"/>
      </sharedItems>
    </cacheField>
    <cacheField name="Вид работ" numFmtId="0">
      <sharedItems count="29">
        <s v="Передвижка"/>
        <s v="Монтаж"/>
        <s v="Устранение"/>
        <s v="Срыв"/>
        <s v="Подъем"/>
        <s v="Разборка"/>
        <s v="ГИС"/>
        <s v="Подготовка"/>
        <s v="Сборка"/>
        <s v="Спуск"/>
        <s v="Демонтаж"/>
        <s v="Замер"/>
        <s v="Перемонтаж"/>
        <s v="Запуск в работу"/>
        <s v="Завоз"/>
        <s v="Замена"/>
        <s v="Опрессовка"/>
        <s v="Монтаж линии"/>
        <s v="Глушение"/>
        <s v="Обратная промывка"/>
        <s v="Разрядка"/>
        <s v="Промывка"/>
        <s v="Ожидание"/>
        <s v="Рабочая комиссия"/>
        <s v="Ремонт"/>
        <s v="Переезд"/>
        <s v="Тех. дежурство"/>
        <s v="Приготовление раствора"/>
        <s v="Работа комиссии"/>
      </sharedItems>
    </cacheField>
    <cacheField name="Категория объектов" numFmtId="0">
      <sharedItems/>
    </cacheField>
    <cacheField name="Объект работ" numFmtId="0">
      <sharedItems count="25">
        <s v="УПА"/>
        <s v="БО"/>
        <s v="Предписания"/>
        <s v="Планшайба"/>
        <s v="УЭЦН"/>
        <s v="АКЦ-прибор"/>
        <s v="ГКШ"/>
        <s v="Электрооборудование"/>
        <s v="Фонтанная арматура"/>
        <s v="Тех. вода"/>
        <s v="Запорная арматура"/>
        <s v="Линия глушения"/>
        <s v="ПВО"/>
        <s v="Скважина"/>
        <s v="Пакер"/>
        <s v="Персонал"/>
        <s v="Разрешительная документация"/>
        <s v="МТР"/>
        <s v="Техника"/>
        <s v="Буровая установка"/>
        <s v="ФА"/>
        <s v="Бригада КРС"/>
        <s v="Раствор глушения"/>
        <s v="Блок дросселирования"/>
        <s v="Геофизический прибор"/>
      </sharedItems>
    </cacheField>
    <cacheField name="Рейс" numFmtId="0">
      <sharedItems containsString="0" containsBlank="1" containsNumber="1" containsInteger="1" minValue="1" maxValue="1"/>
    </cacheField>
    <cacheField name="Описание работ" numFmtId="0">
      <sharedItems containsBlank="1" longText="1"/>
    </cacheField>
    <cacheField name="Часы" numFmtId="0">
      <sharedItems containsSemiMixedTypes="0" containsString="0" containsNumber="1" minValue="0.5" maxValue="24"/>
    </cacheField>
    <cacheField name="Забой, м" numFmtId="0">
      <sharedItems containsString="0" containsBlank="1" containsNumber="1" minValue="0" maxValue="2758.16"/>
    </cacheField>
    <cacheField name="Статус" numFmtId="0">
      <sharedItems containsBlank="1"/>
    </cacheField>
    <cacheField name="Ответственный за НПВ" numFmtId="0">
      <sharedItems containsBlank="1" count="4">
        <s v="Победит Холдинг"/>
        <m/>
        <s v="Организационные"/>
        <s v="Технические"/>
      </sharedItems>
    </cacheField>
    <cacheField name="Слайд/ротор" numFmtId="0">
      <sharedItems containsNonDate="0" containsString="0" containsBlank="1"/>
    </cacheField>
    <cacheField name="G, т" numFmtId="0">
      <sharedItems containsNonDate="0" containsString="0" containsBlank="1"/>
    </cacheField>
    <cacheField name="Q, л/с" numFmtId="0">
      <sharedItems containsNonDate="0" containsString="0" containsBlank="1"/>
    </cacheField>
    <cacheField name="P, атм" numFmtId="0">
      <sharedItems containsNonDate="0" containsString="0" containsBlank="1"/>
    </cacheField>
    <cacheField name="N, об/мин" numFmtId="0">
      <sharedItems containsNonDate="0" containsString="0" containsBlank="1"/>
    </cacheField>
    <cacheField name="M, кН*м" numFmtId="0">
      <sharedItems containsNonDate="0" containsString="0" containsBlank="1"/>
    </cacheField>
    <cacheField name="Проходка, м" numFmtId="0">
      <sharedItems containsSemiMixedTypes="0" containsString="0" containsNumber="1" minValue="0" maxValue="2758.16"/>
    </cacheField>
    <cacheField name="Начало" numFmtId="164">
      <sharedItems containsSemiMixedTypes="0" containsNonDate="0" containsDate="1" containsString="0" minDate="2026-05-02T20:00:00" maxDate="2026-06-23T00:00:00"/>
    </cacheField>
    <cacheField name="Окончание" numFmtId="164">
      <sharedItems containsSemiMixedTypes="0" containsNonDate="0" containsDate="1" containsString="0" minDate="2026-05-03T00:00:00" maxDate="2026-06-23T00:00:00" count="237">
        <d v="2026-05-03T00:00:00"/>
        <d v="2026-05-03T02:30:00"/>
        <d v="2026-05-03T06:45:00"/>
        <d v="2026-05-03T18:00:00"/>
        <d v="2026-05-04T00:00:00"/>
        <d v="2026-05-04T03:00:00"/>
        <d v="2026-05-04T08:00:00"/>
        <d v="2026-05-04T15:30:00"/>
        <d v="2026-05-04T18:00:00"/>
        <d v="2026-05-05T00:00:00"/>
        <d v="2026-05-05T06:00:00"/>
        <d v="2026-05-05T07:30:00"/>
        <d v="2026-05-05T18:10:12"/>
        <d v="2026-05-05T23:10:12"/>
        <d v="2026-05-06T00:00:00"/>
        <d v="2026-05-06T00:30:00"/>
        <d v="2026-05-06T02:30:00"/>
        <d v="2026-05-06T03:30:00"/>
        <d v="2026-05-06T17:00:00"/>
        <d v="2026-05-06T21:30:00"/>
        <d v="2026-05-07T00:00:00"/>
        <d v="2026-05-07T07:00:00"/>
        <d v="2026-05-07T12:00:00"/>
        <d v="2026-05-07T16:00:00"/>
        <d v="2026-05-07T20:00:00"/>
        <d v="2026-05-08T00:00:00"/>
        <d v="2026-05-08T07:00:00"/>
        <d v="2026-05-08T12:00:00"/>
        <d v="2026-05-08T16:00:00"/>
        <d v="2026-05-08T20:00:00"/>
        <d v="2026-05-09T00:00:00"/>
        <d v="2026-05-09T07:00:00"/>
        <d v="2026-05-09T12:00:00"/>
        <d v="2026-05-09T16:00:00"/>
        <d v="2026-05-09T20:00:00"/>
        <d v="2026-05-10T00:00:00"/>
        <d v="2026-05-10T07:00:00"/>
        <d v="2026-05-10T12:00:00"/>
        <d v="2026-05-10T16:00:00"/>
        <d v="2026-05-10T20:00:00"/>
        <d v="2026-05-11T00:00:00"/>
        <d v="2026-05-11T07:00:00"/>
        <d v="2026-05-11T12:00:00"/>
        <d v="2026-05-11T16:00:00"/>
        <d v="2026-05-11T20:00:00"/>
        <d v="2026-05-12T00:00:00"/>
        <d v="2026-05-12T07:00:00"/>
        <d v="2026-05-12T12:00:00"/>
        <d v="2026-05-12T16:00:00"/>
        <d v="2026-05-12T20:00:00"/>
        <d v="2026-05-13T00:00:00"/>
        <d v="2026-05-13T07:00:00"/>
        <d v="2026-05-13T12:00:00"/>
        <d v="2026-05-13T16:00:00"/>
        <d v="2026-05-13T20:00:00"/>
        <d v="2026-05-14T00:00:00"/>
        <d v="2026-05-14T07:00:00"/>
        <d v="2026-05-14T12:00:00"/>
        <d v="2026-05-14T16:00:00"/>
        <d v="2026-05-14T20:00:00"/>
        <d v="2026-05-15T00:00:00"/>
        <d v="2026-05-15T07:00:00"/>
        <d v="2026-05-15T12:00:00"/>
        <d v="2026-05-16T00:00:00"/>
        <d v="2026-05-16T16:00:00"/>
        <d v="2026-05-16T20:00:00"/>
        <d v="2026-05-17T00:00:00"/>
        <d v="2026-05-17T07:00:00"/>
        <d v="2026-05-18T00:00:00"/>
        <d v="2026-05-18T12:00:00"/>
        <d v="2026-05-18T16:00:00"/>
        <d v="2026-05-18T20:00:00"/>
        <d v="2026-05-18T22:00:00"/>
        <d v="2026-05-19T00:00:00"/>
        <d v="2026-05-19T22:00:00"/>
        <d v="2026-05-20T00:00:00"/>
        <d v="2026-05-20T05:00:00"/>
        <d v="2026-05-20T10:00:00"/>
        <d v="2026-05-20T14:00:00"/>
        <d v="2026-05-20T18:00:00"/>
        <d v="2026-05-20T22:00:00"/>
        <d v="2026-05-21T00:00:00"/>
        <d v="2026-05-21T05:00:00"/>
        <d v="2026-05-21T10:00:00"/>
        <d v="2026-05-21T14:00:00"/>
        <d v="2026-05-21T18:00:00"/>
        <d v="2026-05-21T22:00:00"/>
        <d v="2026-05-22T00:00:00"/>
        <d v="2026-05-22T05:00:00"/>
        <d v="2026-05-22T10:00:00"/>
        <d v="2026-05-22T14:00:00"/>
        <d v="2026-05-22T18:00:00"/>
        <d v="2026-05-23T00:00:00"/>
        <d v="2026-05-24T00:00:00"/>
        <d v="2026-05-24T04:30:00"/>
        <d v="2026-05-24T08:00:00"/>
        <d v="2026-05-24T18:00:00"/>
        <d v="2026-05-24T19:00:00"/>
        <d v="2026-05-25T00:00:00"/>
        <d v="2026-05-25T08:00:00"/>
        <d v="2026-05-25T14:00:00"/>
        <d v="2026-05-25T19:30:00"/>
        <d v="2026-05-26T00:00:00"/>
        <d v="2026-05-26T08:00:00"/>
        <d v="2026-05-26T18:00:00"/>
        <d v="2026-05-26T20:30:00"/>
        <d v="2026-05-26T22:00:00"/>
        <d v="2026-05-27T00:00:00"/>
        <d v="2026-05-27T04:00:00"/>
        <d v="2026-05-27T10:00:00"/>
        <d v="2026-05-27T16:00:00"/>
        <d v="2026-05-27T20:00:00"/>
        <d v="2026-05-28T00:00:00"/>
        <d v="2026-05-28T08:00:00"/>
        <d v="2026-05-28T17:00:00"/>
        <d v="2026-05-29T00:00:00"/>
        <d v="2026-05-29T20:00:00"/>
        <d v="2026-05-29T22:30:00"/>
        <d v="2026-05-30T00:00:00"/>
        <d v="2026-05-30T06:00:00"/>
        <d v="2026-05-30T09:30:00"/>
        <d v="2026-05-31T00:00:00"/>
        <d v="2026-05-31T08:00:00"/>
        <d v="2026-05-31T20:00:00"/>
        <d v="2026-06-01T00:00:00"/>
        <d v="2026-06-01T03:00:00"/>
        <d v="2026-06-01T04:30:00"/>
        <d v="2026-06-01T10:00:00"/>
        <d v="2026-06-01T16:00:00"/>
        <d v="2026-06-01T17:30:00"/>
        <d v="2026-06-01T18:30:00"/>
        <d v="2026-06-01T19:00:00"/>
        <d v="2026-06-01T22:00:00"/>
        <d v="2026-06-02T00:00:00"/>
        <d v="2026-06-02T01:00:00"/>
        <d v="2026-06-02T07:00:00"/>
        <d v="2026-06-02T12:00:00"/>
        <d v="2026-06-02T16:00:00"/>
        <d v="2026-06-02T20:00:00"/>
        <d v="2026-06-03T00:00:00"/>
        <d v="2026-06-03T07:00:00"/>
        <d v="2026-06-03T12:00:00"/>
        <d v="2026-06-03T16:00:00"/>
        <d v="2026-06-03T20:00:00"/>
        <d v="2026-06-04T00:00:00"/>
        <d v="2026-06-04T07:00:00"/>
        <d v="2026-06-04T12:00:00"/>
        <d v="2026-06-04T16:00:00"/>
        <d v="2026-06-04T20:00:00"/>
        <d v="2026-06-05T00:00:00"/>
        <d v="2026-06-05T07:00:00"/>
        <d v="2026-06-05T12:00:00"/>
        <d v="2026-06-05T16:00:00"/>
        <d v="2026-06-05T20:00:00"/>
        <d v="2026-06-06T00:00:00"/>
        <d v="2026-06-06T07:00:00"/>
        <d v="2026-06-06T12:00:00"/>
        <d v="2026-06-06T16:00:00"/>
        <d v="2026-06-06T20:00:00"/>
        <d v="2026-06-07T00:00:00"/>
        <d v="2026-06-07T07:00:00"/>
        <d v="2026-06-07T12:00:00"/>
        <d v="2026-06-07T16:00:00"/>
        <d v="2026-06-07T20:00:00"/>
        <d v="2026-06-08T00:00:00"/>
        <d v="2026-06-08T07:00:00"/>
        <d v="2026-06-08T12:00:00"/>
        <d v="2026-06-08T16:00:00"/>
        <d v="2026-06-08T20:00:00"/>
        <d v="2026-06-09T00:00:00"/>
        <d v="2026-06-09T07:00:00"/>
        <d v="2026-06-09T12:00:00"/>
        <d v="2026-06-09T16:00:00"/>
        <d v="2026-06-09T20:00:00"/>
        <d v="2026-06-10T00:00:00"/>
        <d v="2026-06-10T07:00:00"/>
        <d v="2026-06-10T12:00:00"/>
        <d v="2026-06-10T16:00:00"/>
        <d v="2026-06-10T20:00:00"/>
        <d v="2026-06-11T00:00:00"/>
        <d v="2026-06-11T07:00:00"/>
        <d v="2026-06-11T12:00:00"/>
        <d v="2026-06-11T16:00:00"/>
        <d v="2026-06-11T20:00:00"/>
        <d v="2026-06-12T00:00:00"/>
        <d v="2026-06-12T07:00:00"/>
        <d v="2026-06-12T12:00:00"/>
        <d v="2026-06-12T16:00:00"/>
        <d v="2026-06-12T20:00:00"/>
        <d v="2026-06-13T00:00:00"/>
        <d v="2026-06-13T07:00:00"/>
        <d v="2026-06-13T12:00:00"/>
        <d v="2026-06-13T16:00:00"/>
        <d v="2026-06-13T20:00:00"/>
        <d v="2026-06-14T00:00:00"/>
        <d v="2026-06-14T07:00:00"/>
        <d v="2026-06-14T12:00:00"/>
        <d v="2026-06-14T16:00:00"/>
        <d v="2026-06-14T20:00:00"/>
        <d v="2026-06-15T00:00:00"/>
        <d v="2026-06-15T07:00:00"/>
        <d v="2026-06-15T12:00:00"/>
        <d v="2026-06-15T16:00:00"/>
        <d v="2026-06-15T20:00:00"/>
        <d v="2026-06-16T00:00:00"/>
        <d v="2026-06-16T07:00:00"/>
        <d v="2026-06-16T12:00:00"/>
        <d v="2026-06-16T16:00:00"/>
        <d v="2026-06-16T20:00:00"/>
        <d v="2026-06-17T00:00:00"/>
        <d v="2026-06-17T07:00:00"/>
        <d v="2026-06-17T12:00:00"/>
        <d v="2026-06-17T16:00:00"/>
        <d v="2026-06-17T20:00:00"/>
        <d v="2026-06-18T00:00:00"/>
        <d v="2026-06-18T07:00:00"/>
        <d v="2026-06-18T12:00:00"/>
        <d v="2026-06-18T16:00:00"/>
        <d v="2026-06-18T20:00:00"/>
        <d v="2026-06-19T00:00:00"/>
        <d v="2026-06-19T07:00:00"/>
        <d v="2026-06-19T12:00:00"/>
        <d v="2026-06-19T16:00:00"/>
        <d v="2026-06-19T20:00:00"/>
        <d v="2026-06-20T00:00:00"/>
        <d v="2026-06-20T07:00:00"/>
        <d v="2026-06-20T12:00:00"/>
        <d v="2026-06-20T16:00:00"/>
        <d v="2026-06-20T20:00:00"/>
        <d v="2026-06-21T00:00:00"/>
        <d v="2026-06-21T07:00:00"/>
        <d v="2026-06-21T12:00:00"/>
        <d v="2026-06-21T16:00:00"/>
        <d v="2026-06-21T20:00:00"/>
        <d v="2026-06-22T00:00:00"/>
        <d v="2026-06-22T07:00:00"/>
        <d v="2026-06-22T12:00:00"/>
      </sharedItems>
      <fieldGroup par="51"/>
    </cacheField>
    <cacheField name="Сутки" numFmtId="2">
      <sharedItems containsSemiMixedTypes="0" containsString="0" containsNumber="1" minValue="2.0833333333333332E-2" maxValue="1"/>
    </cacheField>
    <cacheField name="Нараст. сутки" numFmtId="2">
      <sharedItems containsSemiMixedTypes="0" containsString="0" containsNumber="1" minValue="0.16666666666666666" maxValue="50.666666666666536"/>
    </cacheField>
    <cacheField name="Результат" numFmtId="0">
      <sharedItems count="3">
        <s v="ПВ"/>
        <s v="ПНВ"/>
        <s v="НПВ"/>
      </sharedItems>
    </cacheField>
    <cacheField name="ПВ" numFmtId="166">
      <sharedItems containsSemiMixedTypes="0" containsString="0" containsNumber="1" minValue="-7.1054273576010019E-15" maxValue="14.5"/>
    </cacheField>
    <cacheField name="ПНВ" numFmtId="166">
      <sharedItems containsSemiMixedTypes="0" containsString="0" containsNumber="1" minValue="0" maxValue="24"/>
    </cacheField>
    <cacheField name="НПВ" numFmtId="166">
      <sharedItems containsSemiMixedTypes="0" containsString="0" containsNumber="1" minValue="0" maxValue="22"/>
    </cacheField>
    <cacheField name="Накопительное НПВ" numFmtId="1">
      <sharedItems containsSemiMixedTypes="0" containsString="0" containsNumber="1" minValue="0" maxValue="172"/>
    </cacheField>
    <cacheField name="Накопительное ПНВ" numFmtId="1">
      <sharedItems containsSemiMixedTypes="0" containsString="0" containsNumber="1" minValue="0" maxValue="198.51999999999998"/>
    </cacheField>
    <cacheField name="Дата начала" numFmtId="14">
      <sharedItems containsSemiMixedTypes="0" containsNonDate="0" containsDate="1" containsString="0" minDate="2026-05-02T00:00:00" maxDate="2026-06-23T00:00:00" count="52">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sharedItems>
      <fieldGroup par="53"/>
    </cacheField>
    <cacheField name="Время начала" numFmtId="165">
      <sharedItems containsSemiMixedTypes="0" containsNonDate="0" containsDate="1" containsString="0" minDate="1899-12-30T00:00:00" maxDate="1900-01-01T00:00:00"/>
    </cacheField>
    <cacheField name="Дата окончания" numFmtId="14">
      <sharedItems containsSemiMixedTypes="0" containsNonDate="0" containsDate="1" containsString="0" minDate="2026-05-03T00:00:00" maxDate="2026-06-23T00:00:00"/>
    </cacheField>
    <cacheField name="Время окончания" numFmtId="165">
      <sharedItems containsSemiMixedTypes="0" containsNonDate="0" containsDate="1" containsString="0" minDate="1899-12-30T00:00:00" maxDate="1900-01-01T00:00:00"/>
    </cacheField>
    <cacheField name="Бригада" numFmtId="165">
      <sharedItems count="16">
        <s v="Вдовин И.О._x000a__x000a_Жангазиев С.К."/>
        <s v="Жабин П.П._x000a__x000a_Керимов Н.К."/>
        <s v="Тарасов А.С._x000a__x000a_Жангазиев С.К."/>
        <s v="Жабин П.П._x000a__x000a_"/>
        <s v="Жабин П.П._x000a__x000a_Жангазиев С.К."/>
        <s v="Тарасов А.С._x000a__x000a_Штыкин А.А."/>
        <s v="Епифанов Д.Б._x000a__x000a_Жангазиев С.К."/>
        <s v="_x000a__x000a_"/>
        <s v="_x000a__x000a_Шипунов С.И."/>
        <s v="Епифанов Д.Б._x000a__x000a_Хохряков В.Я."/>
        <s v="Епифанов Д.Б._x000a__x000a_Шипунов С.И."/>
        <s v="_x000a__x000a_Хохряков В.Я."/>
        <s v="Жабин П.П._x000a__x000a_Титов А.А."/>
        <s v="_x000a__x000a_Арбузов А.В."/>
        <s v="_x000a__x000a_Титов А.А."/>
        <s v="Жабин П.П._x000a__x000a_Арбузов А.В."/>
      </sharedItems>
    </cacheField>
    <cacheField name="Ключ" numFmtId="0">
      <sharedItems/>
    </cacheField>
    <cacheField name="Результат, вид, объект" numFmtId="1">
      <sharedItems count="62">
        <s v="ПВ:  _x000a_Передвижка  УПА"/>
        <s v="ПНВ:  _x000a_Передвижка  УПА"/>
        <s v="ПНВ:  _x000a_Монтаж  БО"/>
        <s v="ПНВ:  _x000a_Монтаж  УПА"/>
        <s v="НПВ:  Ожидание разрешения_x000a_Устранение  Предписания"/>
        <s v="ПНВ:  _x000a_Срыв  Планшайба"/>
        <s v="ПНВ:  _x000a_Подъем  УЭЦН"/>
        <s v="ПВ:  _x000a_Разборка  УЭЦН"/>
        <s v="ПВ:  _x000a_ГИС  АКЦ-прибор"/>
        <s v="ПНВ:  _x000a_Подготовка  УЭЦН"/>
        <s v="ПНВ:  _x000a_Сборка  УЭЦН"/>
        <s v="ПНВ:  _x000a_Спуск  УЭЦН"/>
        <s v="ПВ:  _x000a_Демонтаж  ГКШ"/>
        <s v="ПВ:  _x000a_Замер  Электрооборудование"/>
        <s v="ПНВ:  _x000a_Перемонтаж  Фонтанная арматура"/>
        <s v="ПВ:  _x000a_Запуск в работу  УЭЦН"/>
        <s v="ПНВ:  _x000a_Демонтаж  УПА"/>
        <s v="ПВ:  _x000a_Завоз  Тех. вода"/>
        <s v="ПНВ:  _x000a_Завоз  Тех. вода"/>
        <s v="НПВ:  Внеплановый ремонт_x000a_Замена  Запорная арматура"/>
        <s v="ПНВ:  _x000a_Опрессовка  Фонтанная арматура"/>
        <s v="ПВ:  _x000a_Монтаж  БО"/>
        <s v="ПНВ:  _x000a_Монтаж линии  Линия глушения"/>
        <s v="ПНВ:  _x000a_Опрессовка  ПВО"/>
        <s v="НПВ:  Внеплановый ремонт_x000a_Замена  ПВО"/>
        <s v="НПВ:  Орг. простой_x000a_Подготовка  Скважина"/>
        <s v="ПВ:  _x000a_Глушение  Скважина"/>
        <s v="ПНВ:  _x000a_Глушение  Скважина"/>
        <s v="ПВ:  _x000a_Обратная промывка  Скважина"/>
        <s v="ПВ:  _x000a_Разрядка  Скважина"/>
        <s v="ПВ:  _x000a_Монтаж  УПА"/>
        <s v="ПНВ:  _x000a_Спуск  Пакер"/>
        <s v="ПНВ:  _x000a_Опрессовка  Запорная арматура"/>
        <s v="ПВ:  _x000a_Промывка  Скважина"/>
        <s v="НПВ:  Ожидание персонала_x000a_Ожидание  Персонал"/>
        <s v="ПВ:  _x000a_Подъем  УЭЦН"/>
        <s v="ПВ:  _x000a_Сборка  УЭЦН"/>
        <s v="ПВ:  _x000a_Спуск  УЭЦН"/>
        <s v="ПНВ:  _x000a_Обратная промывка  Скважина"/>
        <s v="НПВ:  _x000a_Ожидание  Персонал"/>
        <s v="НПВ:  _x000a_Рабочая комиссия  Разрешительная документация"/>
        <s v="НПВ:  _x000a_Ожидание  МТР"/>
        <s v="ПНВ:  _x000a_Демонтаж  Фонтанная арматура"/>
        <s v="ПНВ:  _x000a_Монтаж  ПВО"/>
        <s v="НПВ:  _x000a_Ожидание  Техника"/>
        <s v="НПВ:  _x000a_Ремонт  ПВО"/>
        <s v="ПНВ:  _x000a_Замена  Запорная арматура"/>
        <s v="НПВ:  _x000a_Ремонт  УПА"/>
        <s v="ПВ:  _x000a_Демонтаж  УПА"/>
        <s v="ПНВ:  _x000a_Демонтаж  БО"/>
        <s v="ПВ:  _x000a_Переезд  Буровая установка"/>
        <s v="ПНВ:  _x000a_Переезд  Буровая установка"/>
        <s v="ПНВ:  _x000a_Демонтаж  ФА"/>
        <s v="НПВ:  Ожидание разрешения_x000a_Тех. дежурство  Бригада КРС"/>
        <s v="ПВ:  _x000a_Приготовление раствора  Раствор глушения"/>
        <s v="ПВ:  _x000a_Монтаж  Блок дросселирования"/>
        <s v="ПНВ:  _x000a_Монтаж  Блок дросселирования"/>
        <s v="НПВ:  _x000a_Опрессовка  Блок дросселирования"/>
        <s v="ПНВ:  _x000a_Приготовление раствора  Раствор глушения"/>
        <s v="НПВ:  _x000a_Работа комиссии  Скважина"/>
        <s v="ПНВ:  _x000a_Промывка  Скважина"/>
        <s v="ПВ:  _x000a_ГИС  Геофизический прибор"/>
      </sharedItems>
    </cacheField>
    <cacheField name="Подытог за операцию" numFmtId="2">
      <sharedItems containsSemiMixedTypes="0" containsString="0" containsNumber="1" minValue="2.0833333333333332E-2" maxValue="6.7083333333333348"/>
    </cacheField>
    <cacheField name="Вид, объект" numFmtId="0">
      <sharedItems count="46">
        <s v="Передвижка УПА"/>
        <s v="Монтаж БО"/>
        <s v="Монтаж УПА"/>
        <s v="Устранение Предписания"/>
        <s v="Срыв Планшайба"/>
        <s v="Подъем УЭЦН"/>
        <s v="Разборка УЭЦН"/>
        <s v="ГИС АКЦ-прибор"/>
        <s v="Подготовка УЭЦН"/>
        <s v="Сборка УЭЦН"/>
        <s v="Спуск УЭЦН"/>
        <s v="Демонтаж ГКШ"/>
        <s v="Замер Электрооборудование"/>
        <s v="Перемонтаж Фонтанная арматура"/>
        <s v="Запуск в работу УЭЦН"/>
        <s v="Демонтаж УПА"/>
        <s v="Завоз Тех. вода"/>
        <s v="Замена Запорная арматура"/>
        <s v="Опрессовка Фонтанная арматура"/>
        <s v="Монтаж линии Линия глушения"/>
        <s v="Опрессовка ПВО"/>
        <s v="Замена ПВО"/>
        <s v="Подготовка Скважина"/>
        <s v="Глушение Скважина"/>
        <s v="Обратная промывка Скважина"/>
        <s v="Разрядка Скважина"/>
        <s v="Спуск Пакер"/>
        <s v="Опрессовка Запорная арматура"/>
        <s v="Промывка Скважина"/>
        <s v="Ожидание Персонал"/>
        <s v="Рабочая комиссия Разрешительная документация"/>
        <s v="Ожидание МТР"/>
        <s v="Демонтаж Фонтанная арматура"/>
        <s v="Монтаж ПВО"/>
        <s v="Ожидание Техника"/>
        <s v="Ремонт ПВО"/>
        <s v="Ремонт УПА"/>
        <s v="Демонтаж БО"/>
        <s v="Переезд Буровая установка"/>
        <s v="Демонтаж ФА"/>
        <s v="Тех. дежурство Бригада КРС"/>
        <s v="Приготовление раствора Раствор глушения"/>
        <s v="Монтаж Блок дросселирования"/>
        <s v="Опрессовка Блок дросселирования"/>
        <s v="Работа комиссии Скважина"/>
        <s v="ГИС Геофизический прибор"/>
      </sharedItems>
    </cacheField>
    <cacheField name="Дни (Окончание)" numFmtId="0" databaseField="0">
      <fieldGroup base="32">
        <rangePr groupBy="days" startDate="2026-05-03T00:00:00" endDate="2026-06-23T00:00:00"/>
        <groupItems count="368">
          <s v="&lt;03.05.2026"/>
          <s v="01.янв"/>
          <s v="02.янв"/>
          <s v="03.янв"/>
          <s v="04.янв"/>
          <s v="05.янв"/>
          <s v="06.янв"/>
          <s v="07.янв"/>
          <s v="08.янв"/>
          <s v="09.янв"/>
          <s v="10.янв"/>
          <s v="11.янв"/>
          <s v="12.янв"/>
          <s v="13.янв"/>
          <s v="14.янв"/>
          <s v="15.янв"/>
          <s v="16.янв"/>
          <s v="17.янв"/>
          <s v="18.янв"/>
          <s v="19.янв"/>
          <s v="20.янв"/>
          <s v="21.янв"/>
          <s v="22.янв"/>
          <s v="23.янв"/>
          <s v="24.янв"/>
          <s v="25.янв"/>
          <s v="26.янв"/>
          <s v="27.янв"/>
          <s v="28.янв"/>
          <s v="29.янв"/>
          <s v="30.янв"/>
          <s v="31.янв"/>
          <s v="01.фев"/>
          <s v="02.фев"/>
          <s v="03.фев"/>
          <s v="04.фев"/>
          <s v="05.фев"/>
          <s v="06.фев"/>
          <s v="07.фев"/>
          <s v="08.фев"/>
          <s v="09.фев"/>
          <s v="10.фев"/>
          <s v="11.фев"/>
          <s v="12.фев"/>
          <s v="13.фев"/>
          <s v="14.фев"/>
          <s v="15.фев"/>
          <s v="16.фев"/>
          <s v="17.фев"/>
          <s v="18.фев"/>
          <s v="19.фев"/>
          <s v="20.фев"/>
          <s v="21.фев"/>
          <s v="22.фев"/>
          <s v="23.фев"/>
          <s v="24.фев"/>
          <s v="25.фев"/>
          <s v="26.фев"/>
          <s v="27.фев"/>
          <s v="28.фев"/>
          <s v="29.фев"/>
          <s v="01.мар"/>
          <s v="02.мар"/>
          <s v="03.мар"/>
          <s v="04.мар"/>
          <s v="05.мар"/>
          <s v="06.мар"/>
          <s v="07.мар"/>
          <s v="08.мар"/>
          <s v="09.мар"/>
          <s v="10.мар"/>
          <s v="11.мар"/>
          <s v="12.мар"/>
          <s v="13.мар"/>
          <s v="14.мар"/>
          <s v="15.мар"/>
          <s v="16.мар"/>
          <s v="17.мар"/>
          <s v="18.мар"/>
          <s v="19.мар"/>
          <s v="20.мар"/>
          <s v="21.мар"/>
          <s v="22.мар"/>
          <s v="23.мар"/>
          <s v="24.мар"/>
          <s v="25.мар"/>
          <s v="26.мар"/>
          <s v="27.мар"/>
          <s v="28.мар"/>
          <s v="29.мар"/>
          <s v="30.мар"/>
          <s v="31.мар"/>
          <s v="01.апр"/>
          <s v="02.апр"/>
          <s v="03.апр"/>
          <s v="04.апр"/>
          <s v="05.апр"/>
          <s v="06.апр"/>
          <s v="07.апр"/>
          <s v="08.апр"/>
          <s v="09.апр"/>
          <s v="10.апр"/>
          <s v="11.апр"/>
          <s v="12.апр"/>
          <s v="13.апр"/>
          <s v="14.апр"/>
          <s v="15.апр"/>
          <s v="16.апр"/>
          <s v="17.апр"/>
          <s v="18.апр"/>
          <s v="19.апр"/>
          <s v="20.апр"/>
          <s v="21.апр"/>
          <s v="22.апр"/>
          <s v="23.апр"/>
          <s v="24.апр"/>
          <s v="25.апр"/>
          <s v="26.апр"/>
          <s v="27.апр"/>
          <s v="28.апр"/>
          <s v="29.апр"/>
          <s v="30.апр"/>
          <s v="01.май"/>
          <s v="02.май"/>
          <s v="03.май"/>
          <s v="04.май"/>
          <s v="05.май"/>
          <s v="06.май"/>
          <s v="07.май"/>
          <s v="08.май"/>
          <s v="09.май"/>
          <s v="10.май"/>
          <s v="11.май"/>
          <s v="12.май"/>
          <s v="13.май"/>
          <s v="14.май"/>
          <s v="15.май"/>
          <s v="16.май"/>
          <s v="17.май"/>
          <s v="18.май"/>
          <s v="19.май"/>
          <s v="20.май"/>
          <s v="21.май"/>
          <s v="22.май"/>
          <s v="23.май"/>
          <s v="24.май"/>
          <s v="25.май"/>
          <s v="26.май"/>
          <s v="27.май"/>
          <s v="28.май"/>
          <s v="29.май"/>
          <s v="30.май"/>
          <s v="31.май"/>
          <s v="01.июн"/>
          <s v="02.июн"/>
          <s v="03.июн"/>
          <s v="04.июн"/>
          <s v="05.июн"/>
          <s v="06.июн"/>
          <s v="07.июн"/>
          <s v="08.июн"/>
          <s v="09.июн"/>
          <s v="10.июн"/>
          <s v="11.июн"/>
          <s v="12.июн"/>
          <s v="13.июн"/>
          <s v="14.июн"/>
          <s v="15.июн"/>
          <s v="16.июн"/>
          <s v="17.июн"/>
          <s v="18.июн"/>
          <s v="19.июн"/>
          <s v="20.июн"/>
          <s v="21.июн"/>
          <s v="22.июн"/>
          <s v="23.июн"/>
          <s v="24.июн"/>
          <s v="25.июн"/>
          <s v="26.июн"/>
          <s v="27.июн"/>
          <s v="28.июн"/>
          <s v="29.июн"/>
          <s v="30.июн"/>
          <s v="01.июл"/>
          <s v="02.июл"/>
          <s v="03.июл"/>
          <s v="04.июл"/>
          <s v="05.июл"/>
          <s v="06.июл"/>
          <s v="07.июл"/>
          <s v="08.июл"/>
          <s v="09.июл"/>
          <s v="10.июл"/>
          <s v="11.июл"/>
          <s v="12.июл"/>
          <s v="13.июл"/>
          <s v="14.июл"/>
          <s v="15.июл"/>
          <s v="16.июл"/>
          <s v="17.июл"/>
          <s v="18.июл"/>
          <s v="19.июл"/>
          <s v="20.июл"/>
          <s v="21.июл"/>
          <s v="22.июл"/>
          <s v="23.июл"/>
          <s v="24.июл"/>
          <s v="25.июл"/>
          <s v="26.июл"/>
          <s v="27.июл"/>
          <s v="28.июл"/>
          <s v="29.июл"/>
          <s v="30.июл"/>
          <s v="31.июл"/>
          <s v="01.авг"/>
          <s v="02.авг"/>
          <s v="03.авг"/>
          <s v="04.авг"/>
          <s v="05.авг"/>
          <s v="06.авг"/>
          <s v="07.авг"/>
          <s v="08.авг"/>
          <s v="09.авг"/>
          <s v="10.авг"/>
          <s v="11.авг"/>
          <s v="12.авг"/>
          <s v="13.авг"/>
          <s v="14.авг"/>
          <s v="15.авг"/>
          <s v="16.авг"/>
          <s v="17.авг"/>
          <s v="18.авг"/>
          <s v="19.авг"/>
          <s v="20.авг"/>
          <s v="21.авг"/>
          <s v="22.авг"/>
          <s v="23.авг"/>
          <s v="24.авг"/>
          <s v="25.авг"/>
          <s v="26.авг"/>
          <s v="27.авг"/>
          <s v="28.авг"/>
          <s v="29.авг"/>
          <s v="30.авг"/>
          <s v="31.авг"/>
          <s v="01.сен"/>
          <s v="02.сен"/>
          <s v="03.сен"/>
          <s v="04.сен"/>
          <s v="05.сен"/>
          <s v="06.сен"/>
          <s v="07.сен"/>
          <s v="08.сен"/>
          <s v="09.сен"/>
          <s v="10.сен"/>
          <s v="11.сен"/>
          <s v="12.сен"/>
          <s v="13.сен"/>
          <s v="14.сен"/>
          <s v="15.сен"/>
          <s v="16.сен"/>
          <s v="17.сен"/>
          <s v="18.сен"/>
          <s v="19.сен"/>
          <s v="20.сен"/>
          <s v="21.сен"/>
          <s v="22.сен"/>
          <s v="23.сен"/>
          <s v="24.сен"/>
          <s v="25.сен"/>
          <s v="26.сен"/>
          <s v="27.сен"/>
          <s v="28.сен"/>
          <s v="29.сен"/>
          <s v="30.сен"/>
          <s v="01.окт"/>
          <s v="02.окт"/>
          <s v="03.окт"/>
          <s v="04.окт"/>
          <s v="05.окт"/>
          <s v="06.окт"/>
          <s v="07.окт"/>
          <s v="08.окт"/>
          <s v="09.окт"/>
          <s v="10.окт"/>
          <s v="11.окт"/>
          <s v="12.окт"/>
          <s v="13.окт"/>
          <s v="14.окт"/>
          <s v="15.окт"/>
          <s v="16.окт"/>
          <s v="17.окт"/>
          <s v="18.окт"/>
          <s v="19.окт"/>
          <s v="20.окт"/>
          <s v="21.окт"/>
          <s v="22.окт"/>
          <s v="23.окт"/>
          <s v="24.окт"/>
          <s v="25.окт"/>
          <s v="26.окт"/>
          <s v="27.окт"/>
          <s v="28.окт"/>
          <s v="29.окт"/>
          <s v="30.окт"/>
          <s v="31.окт"/>
          <s v="01.ноя"/>
          <s v="02.ноя"/>
          <s v="03.ноя"/>
          <s v="04.ноя"/>
          <s v="05.ноя"/>
          <s v="06.ноя"/>
          <s v="07.ноя"/>
          <s v="08.ноя"/>
          <s v="09.ноя"/>
          <s v="10.ноя"/>
          <s v="11.ноя"/>
          <s v="12.ноя"/>
          <s v="13.ноя"/>
          <s v="14.ноя"/>
          <s v="15.ноя"/>
          <s v="16.ноя"/>
          <s v="17.ноя"/>
          <s v="18.ноя"/>
          <s v="19.ноя"/>
          <s v="20.ноя"/>
          <s v="21.ноя"/>
          <s v="22.ноя"/>
          <s v="23.ноя"/>
          <s v="24.ноя"/>
          <s v="25.ноя"/>
          <s v="26.ноя"/>
          <s v="27.ноя"/>
          <s v="28.ноя"/>
          <s v="29.ноя"/>
          <s v="30.ноя"/>
          <s v="01.дек"/>
          <s v="02.дек"/>
          <s v="03.дек"/>
          <s v="04.дек"/>
          <s v="05.дек"/>
          <s v="06.дек"/>
          <s v="07.дек"/>
          <s v="08.дек"/>
          <s v="09.дек"/>
          <s v="10.дек"/>
          <s v="11.дек"/>
          <s v="12.дек"/>
          <s v="13.дек"/>
          <s v="14.дек"/>
          <s v="15.дек"/>
          <s v="16.дек"/>
          <s v="17.дек"/>
          <s v="18.дек"/>
          <s v="19.дек"/>
          <s v="20.дек"/>
          <s v="21.дек"/>
          <s v="22.дек"/>
          <s v="23.дек"/>
          <s v="24.дек"/>
          <s v="25.дек"/>
          <s v="26.дек"/>
          <s v="27.дек"/>
          <s v="28.дек"/>
          <s v="29.дек"/>
          <s v="30.дек"/>
          <s v="31.дек"/>
          <s v="&gt;23.06.2026"/>
        </groupItems>
      </fieldGroup>
    </cacheField>
    <cacheField name="Месяцы (Окончание)" numFmtId="0" databaseField="0">
      <fieldGroup base="32">
        <rangePr groupBy="months" startDate="2026-05-03T00:00:00" endDate="2026-06-23T00:00:00"/>
        <groupItems count="14">
          <s v="&lt;03.05.2026"/>
          <s v="янв"/>
          <s v="фев"/>
          <s v="мар"/>
          <s v="апр"/>
          <s v="май"/>
          <s v="июн"/>
          <s v="июл"/>
          <s v="авг"/>
          <s v="сен"/>
          <s v="окт"/>
          <s v="ноя"/>
          <s v="дек"/>
          <s v="&gt;23.06.2026"/>
        </groupItems>
      </fieldGroup>
    </cacheField>
    <cacheField name="Макс (ПНВ; НПВ)" numFmtId="0" formula="ПНВ+НПВ" databaseField="0"/>
    <cacheField name="Дни (Дата начала)" numFmtId="0" databaseField="0">
      <fieldGroup base="41">
        <rangePr autoStart="0" groupBy="days" startDate="2026-03-16T00:00:00" endDate="2026-06-23T00:00:00" groupInterval="7"/>
        <groupItems count="17">
          <s v="&lt;16.03.2026"/>
          <s v="16.03.2026 - 22.03.2026"/>
          <s v="23.03.2026 - 29.03.2026"/>
          <s v="30.03.2026 - 05.04.2026"/>
          <s v="06.04.2026 - 12.04.2026"/>
          <s v="13.04.2026 - 19.04.2026"/>
          <s v="20.04.2026 - 26.04.2026"/>
          <s v="27.04.2026 - 03.05.2026"/>
          <s v="04.05.2026 - 10.05.2026"/>
          <s v="11.05.2026 - 17.05.2026"/>
          <s v="18.05.2026 - 24.05.2026"/>
          <s v="25.05.2026 - 31.05.2026"/>
          <s v="01.06.2026 - 07.06.2026"/>
          <s v="08.06.2026 - 14.06.2026"/>
          <s v="15.06.2026 - 21.06.2026"/>
          <s v="22.06.2026 - 23.06.2026"/>
          <s v="&gt;23.06.2026"/>
        </groupItems>
      </fieldGroup>
    </cacheField>
    <cacheField name="% ПВ" numFmtId="0" formula=" 1 -'Макс (ПНВ; НПВ)'/Часы" databaseField="0"/>
    <cacheField name="Сумма времени" numFmtId="0" formula="ПВ+ПНВ+НПВ" databaseField="0"/>
    <cacheField name="ПВ, %" numFmtId="0" formula="ПВ/'Сумма времени'" databaseField="0"/>
    <cacheField name="ПНВ, %" numFmtId="0" formula="ПНВ/'Сумма времени'" databaseField="0"/>
    <cacheField name="НПВ, %" numFmtId="0" formula="НПВ/'Сумма времени'" databaseField="0"/>
    <cacheField name="Рейсовая скорость" numFmtId="0" formula="'Проходка, м'/Сутки" databaseField="0"/>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count="237">
  <r>
    <s v="ГДТ"/>
    <s v="КРС"/>
    <s v="Казанское"/>
    <n v="1"/>
    <x v="0"/>
    <x v="0"/>
    <m/>
    <x v="0"/>
    <n v="1"/>
    <s v="0.1"/>
    <m/>
    <x v="0"/>
    <s v="Штатно"/>
    <x v="0"/>
    <x v="0"/>
    <x v="0"/>
    <s v="Оборудование"/>
    <x v="0"/>
    <m/>
    <s v="Переезд бригады на скв. № 6 бис к.п. № 1 бис КНГКМ с к.п. № 7 КНГКМ 9 рейсов L= 7,696км."/>
    <n v="4"/>
    <m/>
    <s v="Работы окончены"/>
    <x v="0"/>
    <m/>
    <m/>
    <m/>
    <m/>
    <m/>
    <m/>
    <n v="0"/>
    <d v="2026-05-02T20:00:00"/>
    <x v="0"/>
    <n v="0.1666666666666667"/>
    <n v="0.1666666666666667"/>
    <x v="0"/>
    <n v="4"/>
    <n v="0"/>
    <n v="0"/>
    <n v="0"/>
    <n v="0"/>
    <x v="0"/>
    <d v="1899-12-30T20:00:00"/>
    <d v="2026-05-03T00:00:00"/>
    <d v="1899-12-30T00:00:00"/>
    <x v="0"/>
    <s v="6 бис ОК– ДПМ Передвижка УПА "/>
    <x v="0"/>
    <n v="0.1666666666666667"/>
    <x v="0"/>
  </r>
  <r>
    <s v="ГДТ"/>
    <s v="КРС"/>
    <s v="Казанское"/>
    <n v="1"/>
    <x v="0"/>
    <x v="1"/>
    <m/>
    <x v="1"/>
    <m/>
    <m/>
    <m/>
    <x v="0"/>
    <s v="Штатно"/>
    <x v="0"/>
    <x v="0"/>
    <x v="0"/>
    <s v="Оборудование"/>
    <x v="0"/>
    <m/>
    <m/>
    <n v="2.5"/>
    <m/>
    <m/>
    <x v="1"/>
    <m/>
    <m/>
    <m/>
    <m/>
    <m/>
    <m/>
    <n v="0"/>
    <d v="2026-05-03T00:00:00"/>
    <x v="1"/>
    <n v="0.1041666666666667"/>
    <n v="0.2708333333333333"/>
    <x v="1"/>
    <n v="2.37"/>
    <n v="0.1299999999999999"/>
    <n v="0"/>
    <n v="0"/>
    <n v="0.1299999999999999"/>
    <x v="1"/>
    <d v="1899-12-30T00:00:00"/>
    <d v="2026-05-03T00:00:00"/>
    <d v="1899-12-30T02:30:00"/>
    <x v="1"/>
    <s v="6 бис ОК– ДПМ Передвижка УПА "/>
    <x v="1"/>
    <n v="0.2708333333333333"/>
    <x v="0"/>
  </r>
  <r>
    <s v="ГДТ"/>
    <s v="КРС"/>
    <s v="Казанское"/>
    <n v="1"/>
    <x v="0"/>
    <x v="1"/>
    <m/>
    <x v="1"/>
    <n v="1"/>
    <s v="0.2"/>
    <m/>
    <x v="0"/>
    <s v="Штатно"/>
    <x v="0"/>
    <x v="1"/>
    <x v="1"/>
    <s v="Оборудование"/>
    <x v="1"/>
    <m/>
    <s v="Расстановка оборудования- 9шт. Установка заземления - 9шт. Монтаж подставок под кабель-25шт. Подключение оборудования-8шт.  Монтаж Экр.колпаков - 1 шт."/>
    <n v="4.25"/>
    <m/>
    <s v="Работы окончены"/>
    <x v="0"/>
    <m/>
    <m/>
    <m/>
    <m/>
    <m/>
    <m/>
    <n v="0"/>
    <d v="2026-05-03T02:30:00"/>
    <x v="2"/>
    <n v="0.1770833333333333"/>
    <n v="0.4479166666666666"/>
    <x v="1"/>
    <n v="4.04"/>
    <n v="0.21"/>
    <n v="0"/>
    <n v="0"/>
    <n v="0.3399999999999999"/>
    <x v="1"/>
    <d v="1899-12-30T02:30:00"/>
    <d v="2026-05-03T00:00:00"/>
    <d v="1899-12-30T06:45:00"/>
    <x v="1"/>
    <s v="6 бис ОК– ДПМ Монтаж БО "/>
    <x v="2"/>
    <n v="0.1770833333333333"/>
    <x v="1"/>
  </r>
  <r>
    <s v="ГДТ"/>
    <s v="КРС"/>
    <s v="Казанское"/>
    <n v="1"/>
    <x v="0"/>
    <x v="0"/>
    <m/>
    <x v="0"/>
    <n v="1"/>
    <s v="0.3"/>
    <m/>
    <x v="1"/>
    <s v="Штатно"/>
    <x v="0"/>
    <x v="1"/>
    <x v="1"/>
    <s v="Оборудование"/>
    <x v="0"/>
    <m/>
    <s v="Монтаж подъемного агрегата А-60/80 согласно ТУ и правил ПБ - 100%, РП, спайдера СУ-80, гидроключа ГКШ-1200, ИВЭ-50. Монтаж системы видеонаблюдения. Устройство 2-х якорей. Установка пригрузов 2-х комплектов. Монтаж ПМ и трёх облегченных стеллажей. "/>
    <n v="11.25"/>
    <m/>
    <s v="Работы окончены"/>
    <x v="0"/>
    <m/>
    <m/>
    <m/>
    <m/>
    <m/>
    <m/>
    <n v="0"/>
    <d v="2026-05-03T06:45:00"/>
    <x v="3"/>
    <n v="0.46875"/>
    <n v="0.9166666666666666"/>
    <x v="1"/>
    <n v="8.09"/>
    <n v="3.16"/>
    <n v="0"/>
    <n v="0"/>
    <n v="3.5"/>
    <x v="1"/>
    <d v="1899-12-30T06:45:00"/>
    <d v="2026-05-03T00:00:00"/>
    <d v="1899-12-30T18:00:00"/>
    <x v="0"/>
    <s v="6 бис ОК– ПР Монтаж УПА "/>
    <x v="3"/>
    <n v="0.46875"/>
    <x v="2"/>
  </r>
  <r>
    <s v="ГДТ"/>
    <s v="КРС"/>
    <s v="Казанское"/>
    <n v="1"/>
    <x v="0"/>
    <x v="0"/>
    <m/>
    <x v="0"/>
    <n v="1"/>
    <s v="0.4"/>
    <m/>
    <x v="1"/>
    <s v="Орг_простой"/>
    <x v="1"/>
    <x v="2"/>
    <x v="2"/>
    <s v="Орг_логист_объекты"/>
    <x v="2"/>
    <m/>
    <s v="Запуск бригады КРС пусковой комиссией. "/>
    <n v="6"/>
    <m/>
    <s v="Работы окончены"/>
    <x v="2"/>
    <m/>
    <m/>
    <m/>
    <m/>
    <m/>
    <m/>
    <n v="0"/>
    <d v="2026-05-03T18:00:00"/>
    <x v="4"/>
    <n v="0.25"/>
    <n v="1.166666666666667"/>
    <x v="2"/>
    <n v="0"/>
    <n v="0"/>
    <n v="6"/>
    <n v="6"/>
    <n v="3.5"/>
    <x v="1"/>
    <d v="1899-12-30T18:00:00"/>
    <d v="2026-05-04T00:00:00"/>
    <d v="1899-12-30T00:00:00"/>
    <x v="0"/>
    <s v="6 бис ОК– ПР Орг_простой Ожидание разрешения Устранение Предписания "/>
    <x v="4"/>
    <n v="0.25"/>
    <x v="3"/>
  </r>
  <r>
    <s v="ГДТ"/>
    <s v="КРС"/>
    <s v="Казанское"/>
    <n v="1"/>
    <x v="0"/>
    <x v="1"/>
    <m/>
    <x v="1"/>
    <m/>
    <m/>
    <m/>
    <x v="1"/>
    <s v="Орг_простой"/>
    <x v="1"/>
    <x v="2"/>
    <x v="2"/>
    <s v="Орг_логист_объекты"/>
    <x v="2"/>
    <m/>
    <m/>
    <n v="3"/>
    <m/>
    <s v="Работы окончены"/>
    <x v="2"/>
    <m/>
    <m/>
    <m/>
    <m/>
    <m/>
    <m/>
    <n v="0"/>
    <d v="2026-05-04T00:00:00"/>
    <x v="5"/>
    <n v="0.125"/>
    <n v="1.291666666666667"/>
    <x v="2"/>
    <n v="0"/>
    <n v="0"/>
    <n v="3"/>
    <n v="9"/>
    <n v="3.5"/>
    <x v="2"/>
    <d v="1899-12-30T00:00:00"/>
    <d v="2026-05-04T00:00:00"/>
    <d v="1899-12-30T03:00:00"/>
    <x v="1"/>
    <s v="6 бис ОК– ПР Орг_простой Ожидание разрешения Устранение Предписания "/>
    <x v="4"/>
    <n v="0.375"/>
    <x v="3"/>
  </r>
  <r>
    <s v="ГДТ"/>
    <s v="КРС"/>
    <s v="Казанское"/>
    <n v="1"/>
    <x v="0"/>
    <x v="1"/>
    <m/>
    <x v="1"/>
    <n v="1"/>
    <s v="0.5"/>
    <m/>
    <x v="2"/>
    <s v="Штатно"/>
    <x v="0"/>
    <x v="1"/>
    <x v="3"/>
    <s v="Объекты_устье"/>
    <x v="3"/>
    <m/>
    <s v="Подрыв ПШ (вес при подрыве ПШ 8,9тн). Разделка кабельного ввода. Протаскивание кабеля через КВ (L≈50м).  Демонтаж КВ, ПШ."/>
    <n v="5"/>
    <m/>
    <s v="Работы окончены"/>
    <x v="0"/>
    <m/>
    <m/>
    <m/>
    <m/>
    <m/>
    <m/>
    <n v="0"/>
    <d v="2026-05-04T03:00:00"/>
    <x v="6"/>
    <n v="0.2083333333333333"/>
    <n v="1.5"/>
    <x v="1"/>
    <n v="1.48"/>
    <n v="3.52"/>
    <n v="0"/>
    <n v="9"/>
    <n v="7.02"/>
    <x v="2"/>
    <d v="1899-12-30T03:00:00"/>
    <d v="2026-05-04T00:00:00"/>
    <d v="1899-12-30T08:00:00"/>
    <x v="1"/>
    <s v="6 бис ОК– КРС Срыв Планшайба "/>
    <x v="5"/>
    <n v="0.2083333333333333"/>
    <x v="4"/>
  </r>
  <r>
    <s v="ГДТ"/>
    <s v="КРС"/>
    <s v="Казанское"/>
    <n v="1"/>
    <x v="0"/>
    <x v="0"/>
    <m/>
    <x v="0"/>
    <n v="1"/>
    <s v="0.6"/>
    <m/>
    <x v="2"/>
    <s v="Штатно"/>
    <x v="0"/>
    <x v="3"/>
    <x v="4"/>
    <s v="Технологический_инструмент"/>
    <x v="4"/>
    <m/>
    <s v="Комиссионный подъём 10.1ЭЦНМИК8 - 2000-350 с глубины 400,69 м. (39шт) на НКТП-114мм.Подъём НКТП-114мм осуществлять в соответствии с регламентом «По учёту и эксплуатации иа со сно- комп рессорных труб в АО «Газпром добыча Томск»."/>
    <n v="7.5"/>
    <m/>
    <s v="Работы окончены"/>
    <x v="0"/>
    <m/>
    <m/>
    <m/>
    <m/>
    <m/>
    <m/>
    <n v="0"/>
    <d v="2026-05-04T08:00:00"/>
    <x v="7"/>
    <n v="0.3125"/>
    <n v="1.8125"/>
    <x v="1"/>
    <n v="3.46"/>
    <n v="4.04"/>
    <n v="0"/>
    <n v="9"/>
    <n v="11.06"/>
    <x v="2"/>
    <d v="1899-12-30T08:00:00"/>
    <d v="2026-05-04T00:00:00"/>
    <d v="1899-12-30T15:30:00"/>
    <x v="0"/>
    <s v="6 бис ОК– КРС Подъем УЭЦН "/>
    <x v="6"/>
    <n v="0.3125"/>
    <x v="5"/>
  </r>
  <r>
    <s v="ГДТ"/>
    <s v="КРС"/>
    <s v="Казанское"/>
    <n v="1"/>
    <x v="0"/>
    <x v="0"/>
    <m/>
    <x v="0"/>
    <m/>
    <m/>
    <m/>
    <x v="2"/>
    <s v="Штатно"/>
    <x v="0"/>
    <x v="4"/>
    <x v="5"/>
    <s v="Технологический_инструмент"/>
    <x v="4"/>
    <m/>
    <s v="демонтаж 10.1ЭЦНМИК8 - 2000-350 (1 секция) согласно регламента &quot;По взаимодействию структурных подразделений внутри АО &quot;Газпром добыча Томск&quot; и сервисных (подрядных) организаций при работе с электропогружным оборудованием. "/>
    <n v="2.5"/>
    <m/>
    <s v="Работы окончены"/>
    <x v="1"/>
    <m/>
    <m/>
    <m/>
    <m/>
    <m/>
    <m/>
    <n v="0"/>
    <d v="2026-05-04T15:30:00"/>
    <x v="8"/>
    <n v="0.1041666666666667"/>
    <n v="1.916666666666667"/>
    <x v="0"/>
    <n v="2.5"/>
    <n v="0"/>
    <n v="0"/>
    <n v="9"/>
    <n v="11.06"/>
    <x v="2"/>
    <d v="1899-12-30T15:30:00"/>
    <d v="2026-05-04T00:00:00"/>
    <d v="1899-12-30T18:00:00"/>
    <x v="0"/>
    <s v="6 бис ОК– КРС Разборка УЭЦН "/>
    <x v="7"/>
    <n v="0.1041666666666667"/>
    <x v="6"/>
  </r>
  <r>
    <s v="ГДТ"/>
    <s v="КРС"/>
    <s v="Казанское"/>
    <n v="1"/>
    <x v="0"/>
    <x v="0"/>
    <m/>
    <x v="0"/>
    <m/>
    <m/>
    <m/>
    <x v="3"/>
    <s v="Штатно"/>
    <x v="0"/>
    <x v="5"/>
    <x v="6"/>
    <s v="Объекты_ГИС"/>
    <x v="5"/>
    <m/>
    <s v="ГФР: спуск прибора для записи АКЦ,  ГФР: спуск прибора для записи АКЦ Силами ООО &quot;Газпром недра&quot; ПФ &quot;Красноярскгазгеофизика в интервале от устья до текущего забоя (1448,6м). "/>
    <n v="6"/>
    <m/>
    <s v="Работы окончены"/>
    <x v="1"/>
    <m/>
    <m/>
    <m/>
    <m/>
    <m/>
    <m/>
    <n v="0"/>
    <d v="2026-05-04T18:00:00"/>
    <x v="9"/>
    <n v="0.25"/>
    <n v="2.166666666666667"/>
    <x v="0"/>
    <n v="6"/>
    <n v="0"/>
    <n v="0"/>
    <n v="9"/>
    <n v="11.06"/>
    <x v="2"/>
    <d v="1899-12-30T18:00:00"/>
    <d v="2026-05-05T00:00:00"/>
    <d v="1899-12-30T00:00:00"/>
    <x v="0"/>
    <s v="6 бис ОК– ГИС ГИС АКЦ-прибор "/>
    <x v="8"/>
    <n v="0.25"/>
    <x v="7"/>
  </r>
  <r>
    <s v="ГДТ"/>
    <s v="КРС"/>
    <s v="Казанское"/>
    <n v="1"/>
    <x v="0"/>
    <x v="1"/>
    <m/>
    <x v="1"/>
    <m/>
    <m/>
    <m/>
    <x v="3"/>
    <s v="Штатно"/>
    <x v="0"/>
    <x v="5"/>
    <x v="6"/>
    <s v="Объекты_ГИС"/>
    <x v="5"/>
    <m/>
    <m/>
    <n v="6"/>
    <m/>
    <m/>
    <x v="1"/>
    <m/>
    <m/>
    <m/>
    <m/>
    <m/>
    <m/>
    <n v="0"/>
    <d v="2026-05-05T00:00:00"/>
    <x v="10"/>
    <n v="0.25"/>
    <n v="2.416666666666667"/>
    <x v="0"/>
    <n v="6"/>
    <n v="0"/>
    <n v="0"/>
    <n v="9"/>
    <n v="11.06"/>
    <x v="3"/>
    <d v="1899-12-30T00:00:00"/>
    <d v="2026-05-05T00:00:00"/>
    <d v="1899-12-30T06:00:00"/>
    <x v="1"/>
    <s v="6 бис ОК– ГИС ГИС АКЦ-прибор "/>
    <x v="8"/>
    <n v="0.5"/>
    <x v="7"/>
  </r>
  <r>
    <s v="ГДТ"/>
    <s v="КРС"/>
    <s v="Казанское"/>
    <n v="1"/>
    <x v="0"/>
    <x v="0"/>
    <m/>
    <x v="0"/>
    <m/>
    <m/>
    <m/>
    <x v="2"/>
    <s v="Штатно"/>
    <x v="0"/>
    <x v="2"/>
    <x v="7"/>
    <s v="Технологический_инструмент"/>
    <x v="4"/>
    <m/>
    <s v="Разгрузка на ПМ оборудования для монтажа УЭЦН. Монтаж катушки с кабелем на автонаматыватель.  Настройка клапанов ГКШ-1200МТ. Сверка номерных узлов УЭЦН. Центровка мачты"/>
    <n v="1.5"/>
    <m/>
    <s v="Работы окончены"/>
    <x v="0"/>
    <m/>
    <m/>
    <m/>
    <m/>
    <m/>
    <m/>
    <n v="0"/>
    <d v="2026-05-05T06:00:00"/>
    <x v="11"/>
    <n v="0.0625"/>
    <n v="2.479166666666667"/>
    <x v="1"/>
    <n v="0.92"/>
    <n v="0.58"/>
    <n v="0"/>
    <n v="9"/>
    <n v="11.64"/>
    <x v="3"/>
    <d v="1899-12-30T06:00:00"/>
    <d v="2026-05-05T00:00:00"/>
    <d v="1899-12-30T07:30:00"/>
    <x v="0"/>
    <s v="6 бис ОК– КРС Подготовка УЭЦН "/>
    <x v="9"/>
    <n v="0.0625"/>
    <x v="8"/>
  </r>
  <r>
    <s v="ГДТ"/>
    <s v="КРС"/>
    <s v="Казанское"/>
    <n v="1"/>
    <x v="0"/>
    <x v="0"/>
    <m/>
    <x v="0"/>
    <m/>
    <m/>
    <m/>
    <x v="2"/>
    <s v="Штатно"/>
    <x v="0"/>
    <x v="4"/>
    <x v="8"/>
    <s v="Технологический_инструмент"/>
    <x v="4"/>
    <m/>
    <s v="монтаж 10.1ЭЦНМИК8-3000-300 (1 секция насоса, гидрозащита, ПЭД) согласно чек- листа по монтажу "/>
    <n v="10.67"/>
    <m/>
    <s v="Работы окончены"/>
    <x v="0"/>
    <m/>
    <m/>
    <m/>
    <m/>
    <m/>
    <m/>
    <n v="0"/>
    <d v="2026-05-05T07:30:00"/>
    <x v="12"/>
    <n v="0.4445833333333333"/>
    <n v="2.92375"/>
    <x v="1"/>
    <n v="6.67"/>
    <n v="4"/>
    <n v="0"/>
    <n v="9"/>
    <n v="15.64"/>
    <x v="3"/>
    <d v="1899-12-30T07:30:00"/>
    <d v="2026-05-05T00:00:00"/>
    <d v="1899-12-30T18:10:12"/>
    <x v="0"/>
    <s v="6 бис ОК– КРС Сборка УЭЦН "/>
    <x v="10"/>
    <n v="0.4445833333333333"/>
    <x v="9"/>
  </r>
  <r>
    <s v="ГДТ"/>
    <s v="КРС"/>
    <s v="Казанское"/>
    <n v="1"/>
    <x v="0"/>
    <x v="0"/>
    <m/>
    <x v="0"/>
    <m/>
    <m/>
    <m/>
    <x v="2"/>
    <s v="Штатно"/>
    <x v="0"/>
    <x v="3"/>
    <x v="9"/>
    <s v="Технологический_инструмент"/>
    <x v="4"/>
    <m/>
    <s v="спуск 10.1 ЭЦНМИК8-3000-300 на глубину 450 метров по мере НКТП в следующей компоновке: ЭЦН + НКТП-114 мм до устья. Скорость СПО установки не более 0,25 м/сек. "/>
    <n v="5"/>
    <m/>
    <s v="Работы окончены"/>
    <x v="0"/>
    <m/>
    <m/>
    <m/>
    <m/>
    <m/>
    <m/>
    <n v="0"/>
    <d v="2026-05-05T18:10:12"/>
    <x v="13"/>
    <n v="0.2083333333333333"/>
    <n v="3.132083333333334"/>
    <x v="1"/>
    <n v="4.97"/>
    <n v="0.03000000000000025"/>
    <n v="0"/>
    <n v="9"/>
    <n v="15.67"/>
    <x v="3"/>
    <d v="1899-12-30T18:10:12"/>
    <d v="2026-05-05T00:00:00"/>
    <d v="1899-12-30T23:10:12"/>
    <x v="0"/>
    <s v="6 бис ОК– КРС Спуск УЭЦН "/>
    <x v="11"/>
    <n v="0.2083333333333333"/>
    <x v="10"/>
  </r>
  <r>
    <s v="ГДТ"/>
    <s v="КРС"/>
    <s v="Казанское"/>
    <n v="1"/>
    <x v="0"/>
    <x v="1"/>
    <m/>
    <x v="1"/>
    <m/>
    <m/>
    <m/>
    <x v="2"/>
    <s v="Штатно"/>
    <x v="0"/>
    <x v="1"/>
    <x v="10"/>
    <s v="Оборудование"/>
    <x v="6"/>
    <m/>
    <s v="Демонтаж РП. Демонтаж ГКШ-1200, СУ-80, (вес перед посадкой ПШ: на ↑ 4,9тн, на ↓ 4,6тн). "/>
    <n v="0.83"/>
    <m/>
    <s v="Работы окончены"/>
    <x v="1"/>
    <m/>
    <m/>
    <m/>
    <m/>
    <m/>
    <m/>
    <n v="0"/>
    <d v="2026-05-05T23:10:12"/>
    <x v="14"/>
    <n v="0.03458333333333333"/>
    <n v="3.166666666666667"/>
    <x v="0"/>
    <n v="0.83"/>
    <n v="0"/>
    <n v="0"/>
    <n v="9"/>
    <n v="15.67"/>
    <x v="3"/>
    <d v="1899-12-30T23:10:12"/>
    <d v="2026-05-06T00:00:00"/>
    <d v="1899-12-30T00:00:00"/>
    <x v="1"/>
    <s v="6 бис ОК– КРС Демонтаж ГКШ "/>
    <x v="12"/>
    <n v="0.03458333333333333"/>
    <x v="11"/>
  </r>
  <r>
    <s v="ГДТ"/>
    <s v="КРС"/>
    <s v="Казанское"/>
    <n v="1"/>
    <x v="0"/>
    <x v="1"/>
    <m/>
    <x v="1"/>
    <m/>
    <m/>
    <m/>
    <x v="2"/>
    <s v="Штатно"/>
    <x v="0"/>
    <x v="6"/>
    <x v="11"/>
    <s v="Энергетика"/>
    <x v="7"/>
    <m/>
    <s v="Контрольный замер сопротивления изоляции совместно с представителем УРиЭ УЭЦН АО &quot;Газпром добыча Томск&quot; R=200МОм. Звезда есть. "/>
    <n v="0.5"/>
    <m/>
    <s v="Работы окончены"/>
    <x v="1"/>
    <m/>
    <m/>
    <m/>
    <m/>
    <m/>
    <m/>
    <n v="0"/>
    <d v="2026-05-06T00:00:00"/>
    <x v="15"/>
    <n v="0.02083333333333333"/>
    <n v="3.1875"/>
    <x v="0"/>
    <n v="0.5"/>
    <n v="0"/>
    <n v="0"/>
    <n v="9"/>
    <n v="15.67"/>
    <x v="4"/>
    <d v="1899-12-30T00:00:00"/>
    <d v="2026-05-06T00:00:00"/>
    <d v="1899-12-30T00:30:00"/>
    <x v="1"/>
    <s v="6 бис ОК– КРС Замер Электрооборудование "/>
    <x v="13"/>
    <n v="0.02083333333333333"/>
    <x v="12"/>
  </r>
  <r>
    <s v="ГДТ"/>
    <s v="КРС"/>
    <s v="Казанское"/>
    <n v="1"/>
    <x v="0"/>
    <x v="1"/>
    <m/>
    <x v="1"/>
    <m/>
    <m/>
    <m/>
    <x v="4"/>
    <s v="Штатно"/>
    <x v="0"/>
    <x v="1"/>
    <x v="12"/>
    <s v="Объекты_устье"/>
    <x v="8"/>
    <m/>
    <s v="Монтаж ФА с протаскиванием кабеля (≈44м) через кабельный ввод. Монтаж кабельного ввода.   Контрольный замер изоляции кабеля с представителем УР и Э УЭЦН  АО &quot;Газпром добыча Томск&quot; после посадки планшайбы. R=200МОм. Звезда есть. Монтаж обвязки скважины."/>
    <n v="2"/>
    <m/>
    <s v="Работы окончены"/>
    <x v="0"/>
    <m/>
    <m/>
    <m/>
    <m/>
    <m/>
    <m/>
    <n v="0"/>
    <d v="2026-05-06T00:30:00"/>
    <x v="16"/>
    <n v="0.08333333333333333"/>
    <n v="3.270833333333334"/>
    <x v="1"/>
    <n v="1.93"/>
    <n v="0.07000000000000006"/>
    <n v="0"/>
    <n v="9"/>
    <n v="15.74"/>
    <x v="4"/>
    <d v="1899-12-30T00:30:00"/>
    <d v="2026-05-06T00:00:00"/>
    <d v="1899-12-30T02:30:00"/>
    <x v="1"/>
    <s v="6 бис ОК– Заканчивание Перемонтаж Фонтанная арматура "/>
    <x v="14"/>
    <n v="0.08333333333333333"/>
    <x v="13"/>
  </r>
  <r>
    <s v="ГДТ"/>
    <s v="КРС"/>
    <s v="Казанское"/>
    <n v="1"/>
    <x v="0"/>
    <x v="1"/>
    <m/>
    <x v="1"/>
    <m/>
    <m/>
    <m/>
    <x v="4"/>
    <s v="Штатно"/>
    <x v="0"/>
    <x v="7"/>
    <x v="13"/>
    <s v="Технологический_инструмент"/>
    <x v="4"/>
    <m/>
    <s v="Замер сопротивления  изоляции  кабельной линии перед запуском установки – 100МОм, звезда есть. Запуск  30.1ЭЦНМИК6-1000-370 на НСК в 18:30ч. Iпуск =21,4А; Iраб=19,7А; Частота – 40Гц; Загрузка – 42%; Подача сразу. Дебит составил V = 1040м3 ЗР после запуска."/>
    <n v="1"/>
    <m/>
    <s v="Работы окончены"/>
    <x v="1"/>
    <m/>
    <m/>
    <m/>
    <m/>
    <m/>
    <m/>
    <n v="0"/>
    <d v="2026-05-06T02:30:00"/>
    <x v="17"/>
    <n v="0.04166666666666666"/>
    <n v="3.3125"/>
    <x v="0"/>
    <n v="1"/>
    <n v="0"/>
    <n v="0"/>
    <n v="9"/>
    <n v="15.74"/>
    <x v="4"/>
    <d v="1899-12-30T02:30:00"/>
    <d v="2026-05-06T00:00:00"/>
    <d v="1899-12-30T03:30:00"/>
    <x v="1"/>
    <s v="6 бис ОК– Заканчивание Запуск в работу УЭЦН "/>
    <x v="15"/>
    <n v="0.04166666666666666"/>
    <x v="14"/>
  </r>
  <r>
    <s v="ГДТ"/>
    <s v="КРС"/>
    <s v="Казанское"/>
    <n v="1"/>
    <x v="0"/>
    <x v="1"/>
    <m/>
    <x v="1"/>
    <m/>
    <m/>
    <m/>
    <x v="0"/>
    <s v="Штатно"/>
    <x v="0"/>
    <x v="1"/>
    <x v="10"/>
    <s v="Оборудование"/>
    <x v="0"/>
    <m/>
    <s v="Демонтаж ИВЭ-50, РП, А- 60/80, пригрузов, якорей, ПМ и трёх облегчённых стеллажей, линии долива. Демонтаж пригрузов, якорей.Демонтаж ПМ и трёх облегчённых стеллажей, линии долива. Демонтаж 1-го защитных колпаков. Демонтаж заземления. Отключение оборудования. Демонтаж подставок под кабель. Уборка прилегающей к скважине территории."/>
    <n v="13.5"/>
    <m/>
    <s v="Работы окончены"/>
    <x v="0"/>
    <m/>
    <m/>
    <m/>
    <m/>
    <m/>
    <m/>
    <n v="0"/>
    <d v="2026-05-06T03:30:00"/>
    <x v="18"/>
    <n v="0.5625"/>
    <n v="3.875"/>
    <x v="1"/>
    <n v="7.5"/>
    <n v="6"/>
    <n v="0"/>
    <n v="9"/>
    <n v="21.74"/>
    <x v="4"/>
    <d v="1899-12-30T03:30:00"/>
    <d v="2026-05-06T00:00:00"/>
    <d v="1899-12-30T17:00:00"/>
    <x v="1"/>
    <s v="6 бис ОК– ДПМ Демонтаж УПА "/>
    <x v="16"/>
    <n v="0.5625"/>
    <x v="15"/>
  </r>
  <r>
    <s v="ГДТ"/>
    <s v="КРС"/>
    <s v="Казанское"/>
    <n v="1"/>
    <x v="0"/>
    <x v="0"/>
    <m/>
    <x v="0"/>
    <m/>
    <m/>
    <m/>
    <x v="0"/>
    <s v="Штатно"/>
    <x v="0"/>
    <x v="1"/>
    <x v="10"/>
    <s v="Оборудование"/>
    <x v="0"/>
    <m/>
    <s v="Демонтаж БО"/>
    <n v="4.5"/>
    <m/>
    <s v="Работы окончены"/>
    <x v="0"/>
    <m/>
    <m/>
    <m/>
    <m/>
    <m/>
    <m/>
    <n v="0"/>
    <d v="2026-05-06T17:00:00"/>
    <x v="19"/>
    <n v="0.1875"/>
    <n v="4.0625"/>
    <x v="1"/>
    <n v="0"/>
    <n v="4.5"/>
    <n v="0"/>
    <n v="9"/>
    <n v="26.24"/>
    <x v="4"/>
    <d v="1899-12-30T17:00:00"/>
    <d v="2026-05-06T00:00:00"/>
    <d v="1899-12-30T21:30:00"/>
    <x v="0"/>
    <s v="6 бис ОК– ДПМ Демонтаж УПА "/>
    <x v="16"/>
    <n v="0.75"/>
    <x v="15"/>
  </r>
  <r>
    <s v="ГДТ"/>
    <s v="КРС"/>
    <s v="Казанское"/>
    <n v="1"/>
    <x v="1"/>
    <x v="0"/>
    <m/>
    <x v="0"/>
    <m/>
    <m/>
    <m/>
    <x v="0"/>
    <s v="Штатно"/>
    <x v="0"/>
    <x v="0"/>
    <x v="0"/>
    <s v="Оборудование"/>
    <x v="0"/>
    <m/>
    <s v="ПР к переезду на скв. 431 КП26 Казанского НГКМ."/>
    <n v="2.5"/>
    <m/>
    <s v="Работы окончены"/>
    <x v="0"/>
    <m/>
    <m/>
    <m/>
    <m/>
    <m/>
    <m/>
    <n v="0"/>
    <d v="2026-05-06T21:30:00"/>
    <x v="20"/>
    <n v="0.1041666666666667"/>
    <n v="4.166666666666667"/>
    <x v="0"/>
    <n v="2.5"/>
    <n v="0"/>
    <n v="0"/>
    <n v="0"/>
    <n v="0"/>
    <x v="4"/>
    <d v="1899-12-30T21:30:00"/>
    <d v="2026-05-07T00:00:00"/>
    <d v="1899-12-30T00:00:00"/>
    <x v="0"/>
    <s v="431 ОК– ДПМ Передвижка УПА "/>
    <x v="0"/>
    <n v="0.1041666666666667"/>
    <x v="0"/>
  </r>
  <r>
    <s v="ГДТ"/>
    <s v="КРС"/>
    <s v="Казанское"/>
    <n v="1"/>
    <x v="1"/>
    <x v="1"/>
    <m/>
    <x v="1"/>
    <m/>
    <m/>
    <m/>
    <x v="0"/>
    <s v="Штатно"/>
    <x v="0"/>
    <x v="0"/>
    <x v="0"/>
    <s v="Оборудование"/>
    <x v="0"/>
    <m/>
    <s v="ПР к переезду на скв. 431 КП26 Казанского НГКМ."/>
    <n v="7"/>
    <m/>
    <m/>
    <x v="1"/>
    <m/>
    <m/>
    <m/>
    <m/>
    <m/>
    <m/>
    <n v="0"/>
    <d v="2026-05-07T00:00:00"/>
    <x v="21"/>
    <n v="0.2916666666666667"/>
    <n v="4.458333333333334"/>
    <x v="0"/>
    <n v="7"/>
    <n v="0"/>
    <n v="0"/>
    <n v="0"/>
    <n v="0"/>
    <x v="5"/>
    <d v="1899-12-30T00:00:00"/>
    <d v="2026-05-07T00:00:00"/>
    <d v="1899-12-30T07:00:00"/>
    <x v="1"/>
    <s v="431 ОК– ДПМ Передвижка УПА "/>
    <x v="0"/>
    <n v="0.3958333333333334"/>
    <x v="0"/>
  </r>
  <r>
    <s v="ГДТ"/>
    <s v="КРС"/>
    <s v="Казанское"/>
    <n v="1"/>
    <x v="1"/>
    <x v="0"/>
    <m/>
    <x v="0"/>
    <m/>
    <m/>
    <m/>
    <x v="0"/>
    <s v="Штатно"/>
    <x v="0"/>
    <x v="0"/>
    <x v="0"/>
    <s v="Оборудование"/>
    <x v="0"/>
    <m/>
    <s v="ПР и переезд на скв. 431 КП26 Казанского НГКМ — 4 рейса/10. Подключение вагон-городка."/>
    <n v="5"/>
    <m/>
    <m/>
    <x v="1"/>
    <m/>
    <m/>
    <m/>
    <m/>
    <m/>
    <m/>
    <n v="0"/>
    <d v="2026-05-07T07:00:00"/>
    <x v="22"/>
    <n v="0.2083333333333333"/>
    <n v="4.666666666666667"/>
    <x v="0"/>
    <n v="5"/>
    <n v="0"/>
    <n v="0"/>
    <n v="0"/>
    <n v="0"/>
    <x v="5"/>
    <d v="1899-12-30T07:00:00"/>
    <d v="2026-05-07T00:00:00"/>
    <d v="1899-12-30T12:00:00"/>
    <x v="0"/>
    <s v="431 ОК– ДПМ Передвижка УПА "/>
    <x v="0"/>
    <n v="0.6041666666666667"/>
    <x v="0"/>
  </r>
  <r>
    <s v="ГДТ"/>
    <s v="КРС"/>
    <s v="Казанское"/>
    <n v="1"/>
    <x v="1"/>
    <x v="0"/>
    <m/>
    <x v="0"/>
    <m/>
    <m/>
    <m/>
    <x v="0"/>
    <s v="Штатно"/>
    <x v="0"/>
    <x v="0"/>
    <x v="0"/>
    <s v="Оборудование"/>
    <x v="0"/>
    <m/>
    <s v="ПР и переезд на скв. 431 КП26 Казанского НГКМ — 5 рейсов/10. Зачистка территории прилегающей к скв. 6 бис, КП 1 бис. Покраска ФА."/>
    <n v="4"/>
    <m/>
    <s v="Работы окончены"/>
    <x v="0"/>
    <m/>
    <m/>
    <m/>
    <m/>
    <m/>
    <m/>
    <n v="0"/>
    <d v="2026-05-07T12:00:00"/>
    <x v="23"/>
    <n v="0.1666666666666667"/>
    <n v="4.833333333333334"/>
    <x v="1"/>
    <n v="1.969999999999999"/>
    <n v="2.030000000000001"/>
    <n v="0"/>
    <n v="0"/>
    <n v="2.030000000000001"/>
    <x v="5"/>
    <d v="1899-12-30T12:00:00"/>
    <d v="2026-05-07T00:00:00"/>
    <d v="1899-12-30T16:00:00"/>
    <x v="0"/>
    <s v="431 ОК– ДПМ Передвижка УПА "/>
    <x v="1"/>
    <n v="0.7708333333333334"/>
    <x v="0"/>
  </r>
  <r>
    <s v="ГДТ"/>
    <s v="КРС"/>
    <s v="Казанское"/>
    <n v="1"/>
    <x v="1"/>
    <x v="0"/>
    <m/>
    <x v="0"/>
    <m/>
    <m/>
    <m/>
    <x v="0"/>
    <s v="Штатно"/>
    <x v="0"/>
    <x v="0"/>
    <x v="0"/>
    <s v="Оборудование"/>
    <x v="0"/>
    <m/>
    <s v="Переезд на скв. 431 КП26 Казанского НГКМ — 6 рейсов/10."/>
    <n v="4"/>
    <m/>
    <s v="Работы окончены"/>
    <x v="0"/>
    <m/>
    <m/>
    <m/>
    <m/>
    <m/>
    <m/>
    <n v="0"/>
    <d v="2026-05-07T16:00:00"/>
    <x v="24"/>
    <n v="0.1666666666666667"/>
    <n v="5.000000000000001"/>
    <x v="1"/>
    <n v="0"/>
    <n v="4"/>
    <n v="0"/>
    <n v="0"/>
    <n v="6.030000000000001"/>
    <x v="5"/>
    <d v="1899-12-30T16:00:00"/>
    <d v="2026-05-07T00:00:00"/>
    <d v="1899-12-30T20:00:00"/>
    <x v="0"/>
    <s v="431 ОК– ДПМ Передвижка УПА "/>
    <x v="1"/>
    <n v="0.9375"/>
    <x v="0"/>
  </r>
  <r>
    <s v="ГДТ"/>
    <s v="КРС"/>
    <s v="Казанское"/>
    <n v="1"/>
    <x v="1"/>
    <x v="0"/>
    <m/>
    <x v="0"/>
    <m/>
    <m/>
    <m/>
    <x v="0"/>
    <s v="Штатно"/>
    <x v="0"/>
    <x v="0"/>
    <x v="0"/>
    <s v="Оборудование"/>
    <x v="0"/>
    <m/>
    <s v="Переезд на скв. 431 КП26 Казанского НГКМ — 7 рейсов/10."/>
    <n v="4"/>
    <m/>
    <s v="Работы окончены"/>
    <x v="0"/>
    <m/>
    <m/>
    <m/>
    <m/>
    <m/>
    <m/>
    <n v="0"/>
    <d v="2026-05-07T20:00:00"/>
    <x v="25"/>
    <n v="0.1666666666666667"/>
    <n v="5.166666666666668"/>
    <x v="1"/>
    <n v="0"/>
    <n v="4"/>
    <n v="0"/>
    <n v="0"/>
    <n v="10.03"/>
    <x v="5"/>
    <d v="1899-12-30T20:00:00"/>
    <d v="2026-05-08T00:00:00"/>
    <d v="1899-12-30T00:00:00"/>
    <x v="0"/>
    <s v="431 ОК– ДПМ Передвижка УПА "/>
    <x v="1"/>
    <n v="1.104166666666667"/>
    <x v="0"/>
  </r>
  <r>
    <s v="ГДТ"/>
    <s v="КРС"/>
    <s v="Казанское"/>
    <n v="1"/>
    <x v="1"/>
    <x v="1"/>
    <m/>
    <x v="1"/>
    <m/>
    <m/>
    <m/>
    <x v="0"/>
    <s v="Штатно"/>
    <x v="0"/>
    <x v="0"/>
    <x v="0"/>
    <s v="Оборудование"/>
    <x v="0"/>
    <m/>
    <s v="Переезд на скв. 431 КП26 Казанского НГКМ — 7 рейсов/10 (вагон-дом, мостки, стеллажи, ПВО, пригрузы, автовымотка, емкость 25м³, УПРСБ-80)."/>
    <n v="7"/>
    <m/>
    <s v="Работы окончены"/>
    <x v="0"/>
    <m/>
    <m/>
    <m/>
    <m/>
    <m/>
    <m/>
    <n v="0"/>
    <d v="2026-05-08T00:00:00"/>
    <x v="26"/>
    <n v="0.2916666666666667"/>
    <n v="5.458333333333335"/>
    <x v="1"/>
    <n v="0"/>
    <n v="7"/>
    <n v="0"/>
    <n v="0"/>
    <n v="17.03"/>
    <x v="6"/>
    <d v="1899-12-30T00:00:00"/>
    <d v="2026-05-08T00:00:00"/>
    <d v="1899-12-30T07:00:00"/>
    <x v="1"/>
    <s v="431 ОК– ДПМ Передвижка УПА "/>
    <x v="1"/>
    <n v="1.395833333333333"/>
    <x v="0"/>
  </r>
  <r>
    <s v="ГДТ"/>
    <s v="КРС"/>
    <s v="Казанское"/>
    <n v="1"/>
    <x v="1"/>
    <x v="0"/>
    <m/>
    <x v="0"/>
    <m/>
    <m/>
    <m/>
    <x v="0"/>
    <s v="Штатно"/>
    <x v="0"/>
    <x v="0"/>
    <x v="0"/>
    <s v="Оборудование"/>
    <x v="0"/>
    <m/>
    <s v="Мобилизация 70%. Получение наряд-допуска на одновременные работы по скв. 431 КП26 Казанского НГКМ."/>
    <n v="5"/>
    <m/>
    <s v="Работы окончены"/>
    <x v="0"/>
    <m/>
    <m/>
    <m/>
    <m/>
    <m/>
    <m/>
    <n v="0"/>
    <d v="2026-05-08T07:00:00"/>
    <x v="27"/>
    <n v="0.2083333333333333"/>
    <n v="5.666666666666668"/>
    <x v="1"/>
    <n v="0"/>
    <n v="5"/>
    <n v="0"/>
    <n v="0"/>
    <n v="22.03"/>
    <x v="6"/>
    <d v="1899-12-30T07:00:00"/>
    <d v="2026-05-08T00:00:00"/>
    <d v="1899-12-30T12:00:00"/>
    <x v="0"/>
    <s v="431 ОК– ДПМ Передвижка УПА "/>
    <x v="1"/>
    <n v="1.604166666666667"/>
    <x v="0"/>
  </r>
  <r>
    <s v="ГДТ"/>
    <s v="КРС"/>
    <s v="Казанское"/>
    <n v="1"/>
    <x v="1"/>
    <x v="0"/>
    <m/>
    <x v="0"/>
    <m/>
    <m/>
    <m/>
    <x v="0"/>
    <s v="Штатно"/>
    <x v="0"/>
    <x v="0"/>
    <x v="0"/>
    <s v="Оборудование"/>
    <x v="0"/>
    <m/>
    <s v="Получение наряд-допуска. Планировка площадки. Мобилизация на скв. 431 КП26 — 1 рейс (емкость 40м³)."/>
    <n v="4"/>
    <m/>
    <s v="Работы окончены"/>
    <x v="0"/>
    <m/>
    <m/>
    <m/>
    <m/>
    <m/>
    <m/>
    <n v="0"/>
    <d v="2026-05-08T12:00:00"/>
    <x v="28"/>
    <n v="0.1666666666666667"/>
    <n v="5.833333333333335"/>
    <x v="1"/>
    <n v="0"/>
    <n v="4"/>
    <n v="0"/>
    <n v="0"/>
    <n v="26.03"/>
    <x v="6"/>
    <d v="1899-12-30T12:00:00"/>
    <d v="2026-05-08T00:00:00"/>
    <d v="1899-12-30T16:00:00"/>
    <x v="0"/>
    <s v="431 ОК– ДПМ Передвижка УПА "/>
    <x v="1"/>
    <n v="1.770833333333333"/>
    <x v="0"/>
  </r>
  <r>
    <s v="ГДТ"/>
    <s v="КРС"/>
    <s v="Казанское"/>
    <n v="1"/>
    <x v="1"/>
    <x v="0"/>
    <m/>
    <x v="0"/>
    <m/>
    <m/>
    <m/>
    <x v="0"/>
    <s v="Штатно"/>
    <x v="0"/>
    <x v="0"/>
    <x v="0"/>
    <s v="Оборудование"/>
    <x v="0"/>
    <m/>
    <s v="Мобилизация на скв. 431 КП26 — 2 рейса (вагон-дом, стеллажи, доп. стеллажи, автонаматыватель, подключение). Растаскивание кабеля СИП 150м."/>
    <n v="4"/>
    <m/>
    <s v="Работы окончены"/>
    <x v="0"/>
    <m/>
    <m/>
    <m/>
    <m/>
    <m/>
    <m/>
    <n v="0"/>
    <d v="2026-05-08T16:00:00"/>
    <x v="29"/>
    <n v="0.1666666666666667"/>
    <n v="6.000000000000002"/>
    <x v="1"/>
    <n v="0"/>
    <n v="4"/>
    <n v="0"/>
    <n v="0"/>
    <n v="30.03"/>
    <x v="6"/>
    <d v="1899-12-30T16:00:00"/>
    <d v="2026-05-08T00:00:00"/>
    <d v="1899-12-30T20:00:00"/>
    <x v="0"/>
    <s v="431 ОК– ДПМ Передвижка УПА "/>
    <x v="1"/>
    <n v="1.9375"/>
    <x v="0"/>
  </r>
  <r>
    <s v="ГДТ"/>
    <s v="КРС"/>
    <s v="Казанское"/>
    <n v="1"/>
    <x v="1"/>
    <x v="0"/>
    <m/>
    <x v="0"/>
    <m/>
    <m/>
    <m/>
    <x v="0"/>
    <s v="Штатно"/>
    <x v="0"/>
    <x v="0"/>
    <x v="0"/>
    <s v="Оборудование"/>
    <x v="0"/>
    <m/>
    <s v="Планировка площадки под УПРСБ-80 (уборка песка из под отсыпки под МБУ). Выставление трёх емкостей 25м³. Установка СУП."/>
    <n v="4"/>
    <m/>
    <s v="Работы окончены"/>
    <x v="0"/>
    <m/>
    <m/>
    <m/>
    <m/>
    <m/>
    <m/>
    <n v="0"/>
    <d v="2026-05-08T20:00:00"/>
    <x v="30"/>
    <n v="0.1666666666666667"/>
    <n v="6.166666666666669"/>
    <x v="1"/>
    <n v="0"/>
    <n v="4"/>
    <n v="0"/>
    <n v="0"/>
    <n v="34.03"/>
    <x v="6"/>
    <d v="1899-12-30T20:00:00"/>
    <d v="2026-05-09T00:00:00"/>
    <d v="1899-12-30T00:00:00"/>
    <x v="0"/>
    <s v="431 ОК– ДПМ Передвижка УПА "/>
    <x v="1"/>
    <n v="2.104166666666667"/>
    <x v="0"/>
  </r>
  <r>
    <s v="ГДТ"/>
    <s v="КРС"/>
    <s v="Казанское"/>
    <n v="1"/>
    <x v="1"/>
    <x v="1"/>
    <m/>
    <x v="1"/>
    <m/>
    <m/>
    <m/>
    <x v="0"/>
    <s v="Штатно"/>
    <x v="0"/>
    <x v="0"/>
    <x v="0"/>
    <s v="Оборудование"/>
    <x v="0"/>
    <m/>
    <s v="Установка инструментального вагона. Монтаж видеонаблюдения. Выставление емкостей на домкраты. Сборка линии для набора воды."/>
    <n v="7"/>
    <m/>
    <s v="Работы окончены"/>
    <x v="0"/>
    <m/>
    <m/>
    <m/>
    <m/>
    <m/>
    <m/>
    <n v="0"/>
    <d v="2026-05-09T00:00:00"/>
    <x v="31"/>
    <n v="0.2916666666666667"/>
    <n v="6.458333333333336"/>
    <x v="1"/>
    <n v="0"/>
    <n v="7"/>
    <n v="0"/>
    <n v="0"/>
    <n v="41.03"/>
    <x v="7"/>
    <d v="1899-12-30T00:00:00"/>
    <d v="2026-05-09T00:00:00"/>
    <d v="1899-12-30T07:00:00"/>
    <x v="1"/>
    <s v="431 ОК– ДПМ Передвижка УПА "/>
    <x v="1"/>
    <n v="2.395833333333333"/>
    <x v="0"/>
  </r>
  <r>
    <s v="ГДТ"/>
    <s v="КРС"/>
    <s v="Казанское"/>
    <n v="1"/>
    <x v="1"/>
    <x v="0"/>
    <m/>
    <x v="0"/>
    <m/>
    <m/>
    <m/>
    <x v="1"/>
    <s v="Штатно"/>
    <x v="0"/>
    <x v="2"/>
    <x v="14"/>
    <s v="Объекты_промывка_СО"/>
    <x v="9"/>
    <m/>
    <s v="Сборка линии для набора тех. жидкости глушения. С 08:30 обвязка линии со скважиной. Попытки набора тех. воды со скв. ППД 858 (отрицательно)."/>
    <n v="5"/>
    <m/>
    <m/>
    <x v="1"/>
    <m/>
    <m/>
    <m/>
    <m/>
    <m/>
    <m/>
    <n v="0"/>
    <d v="2026-05-09T07:00:00"/>
    <x v="32"/>
    <n v="0.2083333333333333"/>
    <n v="6.666666666666669"/>
    <x v="0"/>
    <n v="5"/>
    <n v="0"/>
    <n v="0"/>
    <n v="0"/>
    <n v="41.03"/>
    <x v="7"/>
    <d v="1899-12-30T07:00:00"/>
    <d v="2026-05-09T00:00:00"/>
    <d v="1899-12-30T12:00:00"/>
    <x v="0"/>
    <s v="431 ОК– ПР Завоз Тех. вода "/>
    <x v="17"/>
    <n v="0.2083333333333333"/>
    <x v="16"/>
  </r>
  <r>
    <s v="ГДТ"/>
    <s v="КРС"/>
    <s v="Казанское"/>
    <n v="1"/>
    <x v="1"/>
    <x v="0"/>
    <m/>
    <x v="0"/>
    <m/>
    <m/>
    <m/>
    <x v="1"/>
    <s v="Штатно"/>
    <x v="0"/>
    <x v="2"/>
    <x v="14"/>
    <s v="Объекты_промывка_СО"/>
    <x v="9"/>
    <m/>
    <s v="Попытки набора тех. воды со скв. ППД 858 (отрицательно)."/>
    <n v="4"/>
    <m/>
    <s v="Работы окончены"/>
    <x v="0"/>
    <m/>
    <m/>
    <m/>
    <m/>
    <m/>
    <m/>
    <n v="0"/>
    <d v="2026-05-09T12:00:00"/>
    <x v="33"/>
    <n v="0.1666666666666667"/>
    <n v="6.833333333333336"/>
    <x v="1"/>
    <n v="3.94"/>
    <n v="0.0600000000000005"/>
    <n v="0"/>
    <n v="0"/>
    <n v="41.09"/>
    <x v="7"/>
    <d v="1899-12-30T12:00:00"/>
    <d v="2026-05-09T00:00:00"/>
    <d v="1899-12-30T16:00:00"/>
    <x v="0"/>
    <s v="431 ОК– ПР Завоз Тех. вода "/>
    <x v="18"/>
    <n v="0.375"/>
    <x v="16"/>
  </r>
  <r>
    <s v="ГДТ"/>
    <s v="КРС"/>
    <s v="Казанское"/>
    <n v="1"/>
    <x v="1"/>
    <x v="0"/>
    <m/>
    <x v="0"/>
    <m/>
    <m/>
    <m/>
    <x v="1"/>
    <s v="Орг_простой"/>
    <x v="2"/>
    <x v="8"/>
    <x v="15"/>
    <s v="Объекты_устье"/>
    <x v="10"/>
    <m/>
    <s v="Попытки набора тех. воды. Замена задвижки (15:00–17:00). С 17:00 набор тех. жидкости 10,2 м³."/>
    <n v="4"/>
    <m/>
    <s v="Работы окончены"/>
    <x v="3"/>
    <m/>
    <m/>
    <m/>
    <m/>
    <m/>
    <m/>
    <n v="0"/>
    <d v="2026-05-09T16:00:00"/>
    <x v="34"/>
    <n v="0.1666666666666667"/>
    <n v="7.000000000000003"/>
    <x v="2"/>
    <n v="0"/>
    <n v="0"/>
    <n v="4"/>
    <n v="4"/>
    <n v="41.09"/>
    <x v="7"/>
    <d v="1899-12-30T16:00:00"/>
    <d v="2026-05-09T00:00:00"/>
    <d v="1899-12-30T20:00:00"/>
    <x v="0"/>
    <s v="431 ОК– ПР Орг_простой Внеплановый ремонт Замена Запорная арматура "/>
    <x v="19"/>
    <n v="0.1666666666666667"/>
    <x v="17"/>
  </r>
  <r>
    <s v="ГДТ"/>
    <s v="КРС"/>
    <s v="Казанское"/>
    <n v="1"/>
    <x v="1"/>
    <x v="0"/>
    <m/>
    <x v="0"/>
    <m/>
    <m/>
    <m/>
    <x v="1"/>
    <s v="Штатно"/>
    <x v="0"/>
    <x v="2"/>
    <x v="14"/>
    <s v="Объекты_промывка_СО"/>
    <x v="9"/>
    <m/>
    <s v="Набор тех. жидкости для глушения 15 м³ из 55 м³."/>
    <n v="4"/>
    <m/>
    <s v="Работы окончены"/>
    <x v="0"/>
    <m/>
    <m/>
    <m/>
    <m/>
    <m/>
    <m/>
    <n v="0"/>
    <d v="2026-05-09T20:00:00"/>
    <x v="35"/>
    <n v="0.1666666666666667"/>
    <n v="7.16666666666667"/>
    <x v="1"/>
    <n v="0"/>
    <n v="4"/>
    <n v="0"/>
    <n v="4"/>
    <n v="45.09"/>
    <x v="7"/>
    <d v="1899-12-30T20:00:00"/>
    <d v="2026-05-10T00:00:00"/>
    <d v="1899-12-30T00:00:00"/>
    <x v="0"/>
    <s v="431 ОК– ПР Завоз Тех. вода "/>
    <x v="18"/>
    <n v="0.5416666666666666"/>
    <x v="16"/>
  </r>
  <r>
    <s v="ГДТ"/>
    <s v="КРС"/>
    <s v="Казанское"/>
    <n v="1"/>
    <x v="1"/>
    <x v="1"/>
    <m/>
    <x v="1"/>
    <m/>
    <m/>
    <m/>
    <x v="1"/>
    <s v="Штатно"/>
    <x v="0"/>
    <x v="2"/>
    <x v="14"/>
    <s v="Объекты_промывка_СО"/>
    <x v="9"/>
    <m/>
    <s v="Набор тех. жидкости 25 м³ (общ. 40 м³ из 55 м³)."/>
    <n v="7"/>
    <m/>
    <s v="Работы окончены"/>
    <x v="0"/>
    <m/>
    <m/>
    <m/>
    <m/>
    <m/>
    <m/>
    <n v="0"/>
    <d v="2026-05-10T00:00:00"/>
    <x v="36"/>
    <n v="0.2916666666666667"/>
    <n v="7.458333333333337"/>
    <x v="1"/>
    <n v="0"/>
    <n v="7"/>
    <n v="0"/>
    <n v="4"/>
    <n v="52.09"/>
    <x v="8"/>
    <d v="1899-12-30T00:00:00"/>
    <d v="2026-05-10T00:00:00"/>
    <d v="1899-12-30T07:00:00"/>
    <x v="1"/>
    <s v="431 ОК– ПР Завоз Тех. вода "/>
    <x v="18"/>
    <n v="0.8333333333333333"/>
    <x v="16"/>
  </r>
  <r>
    <s v="ГДТ"/>
    <s v="КРС"/>
    <s v="Казанское"/>
    <n v="1"/>
    <x v="1"/>
    <x v="0"/>
    <m/>
    <x v="0"/>
    <m/>
    <m/>
    <m/>
    <x v="1"/>
    <s v="Штатно"/>
    <x v="0"/>
    <x v="2"/>
    <x v="14"/>
    <s v="Объекты_промывка_СО"/>
    <x v="9"/>
    <m/>
    <s v="Набор тех. жидкости 15 м³ (общ. 55 м³). Приготовление жидкости глушения ρ=1,01 г/см³."/>
    <n v="5"/>
    <m/>
    <s v="Работы окончены"/>
    <x v="0"/>
    <m/>
    <m/>
    <m/>
    <m/>
    <m/>
    <m/>
    <n v="0"/>
    <d v="2026-05-10T07:00:00"/>
    <x v="37"/>
    <n v="0.2083333333333333"/>
    <n v="7.66666666666667"/>
    <x v="1"/>
    <n v="-1.77635683940025e-15"/>
    <n v="5.000000000000002"/>
    <n v="0"/>
    <n v="4"/>
    <n v="57.09"/>
    <x v="8"/>
    <d v="1899-12-30T07:00:00"/>
    <d v="2026-05-10T00:00:00"/>
    <d v="1899-12-30T12:00:00"/>
    <x v="0"/>
    <s v="431 ОК– ПР Завоз Тех. вода "/>
    <x v="18"/>
    <n v="1.041666666666667"/>
    <x v="16"/>
  </r>
  <r>
    <s v="ГДТ"/>
    <s v="КРС"/>
    <s v="Казанское"/>
    <n v="1"/>
    <x v="1"/>
    <x v="0"/>
    <m/>
    <x v="0"/>
    <m/>
    <m/>
    <m/>
    <x v="1"/>
    <s v="Штатно"/>
    <x v="0"/>
    <x v="6"/>
    <x v="16"/>
    <s v="Объекты_устье"/>
    <x v="8"/>
    <m/>
    <s v="Опрессовка лифта НКТ на 6 МПа, обратного клапана ФА на 4 МПа (герметично)."/>
    <n v="4"/>
    <m/>
    <s v="Работы окончены"/>
    <x v="0"/>
    <m/>
    <m/>
    <m/>
    <m/>
    <m/>
    <m/>
    <n v="0"/>
    <d v="2026-05-10T12:00:00"/>
    <x v="38"/>
    <n v="0.1666666666666667"/>
    <n v="7.833333333333337"/>
    <x v="1"/>
    <n v="0.7056"/>
    <n v="3.2944"/>
    <n v="0"/>
    <n v="4"/>
    <n v="60.38440000000001"/>
    <x v="8"/>
    <d v="1899-12-30T12:00:00"/>
    <d v="2026-05-10T00:00:00"/>
    <d v="1899-12-30T16:00:00"/>
    <x v="0"/>
    <s v="431 ОК– ПР Опрессовка Фонтанная арматура "/>
    <x v="20"/>
    <n v="0.1666666666666667"/>
    <x v="18"/>
  </r>
  <r>
    <s v="ГДТ"/>
    <s v="КРС"/>
    <s v="Казанское"/>
    <n v="1"/>
    <x v="1"/>
    <x v="0"/>
    <m/>
    <x v="0"/>
    <m/>
    <m/>
    <m/>
    <x v="0"/>
    <s v="Штатно"/>
    <x v="0"/>
    <x v="1"/>
    <x v="1"/>
    <s v="Оборудование"/>
    <x v="1"/>
    <m/>
    <s v="Установка на точку станции управления превентором. Установка превентора, линии гидравлики."/>
    <n v="4"/>
    <m/>
    <s v="Работы окончены"/>
    <x v="1"/>
    <m/>
    <m/>
    <m/>
    <m/>
    <m/>
    <m/>
    <n v="0"/>
    <d v="2026-05-10T16:00:00"/>
    <x v="39"/>
    <n v="0.1666666666666667"/>
    <n v="8.000000000000004"/>
    <x v="0"/>
    <n v="4"/>
    <n v="0"/>
    <n v="0"/>
    <n v="4"/>
    <n v="60.38440000000001"/>
    <x v="8"/>
    <d v="1899-12-30T16:00:00"/>
    <d v="2026-05-10T00:00:00"/>
    <d v="1899-12-30T20:00:00"/>
    <x v="0"/>
    <s v="431 ОК– ДПМ Монтаж БО "/>
    <x v="21"/>
    <n v="0.1666666666666667"/>
    <x v="1"/>
  </r>
  <r>
    <s v="ГДТ"/>
    <s v="КРС"/>
    <s v="Казанское"/>
    <n v="1"/>
    <x v="1"/>
    <x v="0"/>
    <m/>
    <x v="0"/>
    <m/>
    <m/>
    <m/>
    <x v="0"/>
    <s v="Штатно"/>
    <x v="0"/>
    <x v="1"/>
    <x v="1"/>
    <s v="Оборудование"/>
    <x v="1"/>
    <m/>
    <s v="Обвязка станции управления, заправка маслом. Сборка запорной компоновки."/>
    <n v="4"/>
    <m/>
    <s v="Работы окончены"/>
    <x v="0"/>
    <m/>
    <m/>
    <m/>
    <m/>
    <m/>
    <m/>
    <n v="0"/>
    <d v="2026-05-10T20:00:00"/>
    <x v="40"/>
    <n v="0.1666666666666667"/>
    <n v="8.16666666666667"/>
    <x v="1"/>
    <n v="1.3364"/>
    <n v="2.6636"/>
    <n v="0"/>
    <n v="4"/>
    <n v="63.04800000000001"/>
    <x v="8"/>
    <d v="1899-12-30T20:00:00"/>
    <d v="2026-05-11T00:00:00"/>
    <d v="1899-12-30T00:00:00"/>
    <x v="0"/>
    <s v="431 ОК– ДПМ Монтаж БО "/>
    <x v="2"/>
    <n v="0.3333333333333333"/>
    <x v="1"/>
  </r>
  <r>
    <s v="ГДТ"/>
    <s v="КРС"/>
    <s v="Казанское"/>
    <n v="1"/>
    <x v="1"/>
    <x v="1"/>
    <m/>
    <x v="1"/>
    <m/>
    <m/>
    <m/>
    <x v="0"/>
    <s v="Штатно"/>
    <x v="0"/>
    <x v="1"/>
    <x v="1"/>
    <s v="Оборудование"/>
    <x v="1"/>
    <m/>
    <s v="ПР к стендовой опрессовке ПВО."/>
    <n v="7"/>
    <m/>
    <s v="Работы окончены"/>
    <x v="0"/>
    <m/>
    <m/>
    <m/>
    <m/>
    <m/>
    <m/>
    <n v="0"/>
    <d v="2026-05-11T00:00:00"/>
    <x v="41"/>
    <n v="0.2916666666666667"/>
    <n v="8.458333333333336"/>
    <x v="1"/>
    <n v="8.881784197001252e-16"/>
    <n v="6.999999999999999"/>
    <n v="0"/>
    <n v="4"/>
    <n v="70.048"/>
    <x v="9"/>
    <d v="1899-12-30T00:00:00"/>
    <d v="2026-05-11T00:00:00"/>
    <d v="1899-12-30T07:00:00"/>
    <x v="1"/>
    <s v="431 ОК– ДПМ Монтаж БО "/>
    <x v="2"/>
    <n v="0.625"/>
    <x v="1"/>
  </r>
  <r>
    <s v="ГДТ"/>
    <s v="КРС"/>
    <s v="Казанское"/>
    <n v="1"/>
    <x v="1"/>
    <x v="0"/>
    <m/>
    <x v="0"/>
    <m/>
    <m/>
    <m/>
    <x v="0"/>
    <s v="Штатно"/>
    <x v="0"/>
    <x v="1"/>
    <x v="1"/>
    <s v="Оборудование"/>
    <x v="1"/>
    <m/>
    <s v="Сборка стволовой ПВО (превентор, катушка, шланец, фланец, две гидрозадвижки). Выставление мостков, стеллажей, автовымотки, пригрузов."/>
    <n v="5"/>
    <m/>
    <s v="Работы окончены"/>
    <x v="1"/>
    <m/>
    <m/>
    <m/>
    <m/>
    <m/>
    <m/>
    <n v="0"/>
    <d v="2026-05-11T07:00:00"/>
    <x v="42"/>
    <n v="0.2083333333333333"/>
    <n v="8.66666666666667"/>
    <x v="1"/>
    <n v="0"/>
    <n v="5"/>
    <n v="0"/>
    <n v="4"/>
    <n v="75.048"/>
    <x v="9"/>
    <d v="1899-12-30T07:00:00"/>
    <d v="2026-05-11T00:00:00"/>
    <d v="1899-12-30T12:00:00"/>
    <x v="0"/>
    <s v="431 ОК– ДПМ Монтаж БО "/>
    <x v="2"/>
    <n v="0.8333333333333334"/>
    <x v="1"/>
  </r>
  <r>
    <s v="ГДТ"/>
    <s v="КРС"/>
    <s v="Казанское"/>
    <n v="1"/>
    <x v="1"/>
    <x v="0"/>
    <m/>
    <x v="0"/>
    <m/>
    <m/>
    <m/>
    <x v="0"/>
    <s v="Штатно"/>
    <x v="0"/>
    <x v="1"/>
    <x v="1"/>
    <s v="Оборудование"/>
    <x v="1"/>
    <m/>
    <s v="Выставление мостков, стеллажей, автовымотки, пригрузов оттяжек, доп. стеллажей."/>
    <n v="4"/>
    <m/>
    <s v="Работы окончены"/>
    <x v="1"/>
    <m/>
    <m/>
    <m/>
    <m/>
    <m/>
    <m/>
    <n v="0"/>
    <d v="2026-05-11T12:00:00"/>
    <x v="43"/>
    <n v="0.1666666666666667"/>
    <n v="8.833333333333336"/>
    <x v="1"/>
    <n v="0"/>
    <n v="4"/>
    <n v="0"/>
    <n v="4"/>
    <n v="79.048"/>
    <x v="9"/>
    <d v="1899-12-30T12:00:00"/>
    <d v="2026-05-11T00:00:00"/>
    <d v="1899-12-30T16:00:00"/>
    <x v="0"/>
    <s v="431 ОК– ДПМ Монтаж БО "/>
    <x v="2"/>
    <n v="1"/>
    <x v="1"/>
  </r>
  <r>
    <s v="ГДТ"/>
    <s v="КРС"/>
    <s v="Казанское"/>
    <n v="1"/>
    <x v="1"/>
    <x v="0"/>
    <m/>
    <x v="0"/>
    <m/>
    <m/>
    <m/>
    <x v="1"/>
    <s v="Штатно"/>
    <x v="0"/>
    <x v="1"/>
    <x v="17"/>
    <s v="Объекты_устье"/>
    <x v="11"/>
    <m/>
    <s v="Монтаж гидравлических линий обвязки СУП, превентора, вспом. пульта, новых гидрозадвижек."/>
    <n v="4"/>
    <m/>
    <s v="Работы окончены"/>
    <x v="0"/>
    <m/>
    <m/>
    <m/>
    <m/>
    <m/>
    <m/>
    <n v="0"/>
    <d v="2026-05-11T16:00:00"/>
    <x v="44"/>
    <n v="0.1666666666666667"/>
    <n v="9.000000000000002"/>
    <x v="1"/>
    <n v="0.4544000000000001"/>
    <n v="3.5456"/>
    <n v="0"/>
    <n v="4"/>
    <n v="82.5936"/>
    <x v="9"/>
    <d v="1899-12-30T16:00:00"/>
    <d v="2026-05-11T00:00:00"/>
    <d v="1899-12-30T20:00:00"/>
    <x v="0"/>
    <s v="431 ОК– ПР Монтаж линии Линия глушения "/>
    <x v="22"/>
    <n v="0.1666666666666667"/>
    <x v="19"/>
  </r>
  <r>
    <s v="ГДТ"/>
    <s v="КРС"/>
    <s v="Казанское"/>
    <n v="1"/>
    <x v="1"/>
    <x v="0"/>
    <m/>
    <x v="0"/>
    <m/>
    <m/>
    <m/>
    <x v="1"/>
    <s v="Штатно"/>
    <x v="0"/>
    <x v="1"/>
    <x v="17"/>
    <s v="Объекты_устье"/>
    <x v="11"/>
    <m/>
    <s v="ПЗР к опрессовке ПВО до установки на устье скважины."/>
    <n v="4"/>
    <m/>
    <s v="Работы окончены"/>
    <x v="1"/>
    <m/>
    <m/>
    <m/>
    <m/>
    <m/>
    <m/>
    <n v="0"/>
    <d v="2026-05-11T20:00:00"/>
    <x v="45"/>
    <n v="0.1666666666666667"/>
    <n v="9.166666666666668"/>
    <x v="1"/>
    <n v="0"/>
    <n v="4"/>
    <n v="0"/>
    <n v="4"/>
    <n v="86.5936"/>
    <x v="9"/>
    <d v="1899-12-30T20:00:00"/>
    <d v="2026-05-12T00:00:00"/>
    <d v="1899-12-30T00:00:00"/>
    <x v="0"/>
    <s v="431 ОК– ПР Монтаж линии Линия глушения "/>
    <x v="22"/>
    <n v="0.3333333333333333"/>
    <x v="19"/>
  </r>
  <r>
    <s v="ГДТ"/>
    <s v="КРС"/>
    <s v="Казанское"/>
    <n v="1"/>
    <x v="1"/>
    <x v="1"/>
    <m/>
    <x v="1"/>
    <m/>
    <m/>
    <m/>
    <x v="1"/>
    <s v="Штатно"/>
    <x v="0"/>
    <x v="6"/>
    <x v="16"/>
    <s v="Объекты_устье"/>
    <x v="12"/>
    <m/>
    <s v="ПР и поочередная опрессовка гидравлических задвижек на 35 МПа (герметично). Опрессовка корпуса превентора на 35 МПа — пропуски по лобовой дверце плашек."/>
    <n v="7"/>
    <m/>
    <s v="Работы окончены"/>
    <x v="0"/>
    <m/>
    <m/>
    <m/>
    <m/>
    <m/>
    <m/>
    <n v="0"/>
    <d v="2026-05-12T00:00:00"/>
    <x v="46"/>
    <n v="0.2916666666666667"/>
    <n v="9.458333333333334"/>
    <x v="1"/>
    <n v="0.5039999999999996"/>
    <n v="6.496"/>
    <n v="0"/>
    <n v="4"/>
    <n v="93.08959999999999"/>
    <x v="10"/>
    <d v="1899-12-30T00:00:00"/>
    <d v="2026-05-12T00:00:00"/>
    <d v="1899-12-30T07:00:00"/>
    <x v="1"/>
    <s v="431 ОК– ПР Опрессовка ПВО "/>
    <x v="23"/>
    <n v="0.2916666666666667"/>
    <x v="20"/>
  </r>
  <r>
    <s v="ГДТ"/>
    <s v="КРС"/>
    <s v="Казанское"/>
    <n v="1"/>
    <x v="1"/>
    <x v="0"/>
    <m/>
    <x v="0"/>
    <m/>
    <m/>
    <m/>
    <x v="1"/>
    <s v="Орг_простой"/>
    <x v="2"/>
    <x v="8"/>
    <x v="15"/>
    <s v="Объекты_устье"/>
    <x v="12"/>
    <m/>
    <s v="Замена уплотнений лобовой задвижки."/>
    <n v="5"/>
    <m/>
    <s v="Работы окончены"/>
    <x v="3"/>
    <m/>
    <m/>
    <m/>
    <m/>
    <m/>
    <m/>
    <n v="0"/>
    <d v="2026-05-12T07:00:00"/>
    <x v="47"/>
    <n v="0.2083333333333333"/>
    <n v="9.666666666666668"/>
    <x v="2"/>
    <n v="0"/>
    <n v="0"/>
    <n v="5"/>
    <n v="9"/>
    <n v="93.08959999999999"/>
    <x v="10"/>
    <d v="1899-12-30T07:00:00"/>
    <d v="2026-05-12T00:00:00"/>
    <d v="1899-12-30T12:00:00"/>
    <x v="0"/>
    <s v="431 ОК– ПР Орг_простой Внеплановый ремонт Замена ПВО "/>
    <x v="24"/>
    <n v="0.2083333333333333"/>
    <x v="21"/>
  </r>
  <r>
    <s v="ГДТ"/>
    <s v="КРС"/>
    <s v="Казанское"/>
    <n v="1"/>
    <x v="1"/>
    <x v="0"/>
    <m/>
    <x v="0"/>
    <m/>
    <m/>
    <m/>
    <x v="1"/>
    <s v="Штатно"/>
    <x v="0"/>
    <x v="6"/>
    <x v="16"/>
    <s v="Объекты_устье"/>
    <x v="12"/>
    <m/>
    <s v="ПР и опрессовка корпуса превентора на 35 МПа (герметично). ПР и опрессовка глухих плашек на 35 МПа (герметично)."/>
    <n v="4"/>
    <m/>
    <s v="Работы окончены"/>
    <x v="0"/>
    <m/>
    <m/>
    <m/>
    <m/>
    <m/>
    <m/>
    <n v="0"/>
    <d v="2026-05-12T12:00:00"/>
    <x v="48"/>
    <n v="0.1666666666666667"/>
    <n v="9.833333333333334"/>
    <x v="1"/>
    <n v="0"/>
    <n v="4"/>
    <n v="0"/>
    <n v="9"/>
    <n v="97.08959999999999"/>
    <x v="10"/>
    <d v="1899-12-30T12:00:00"/>
    <d v="2026-05-12T00:00:00"/>
    <d v="1899-12-30T16:00:00"/>
    <x v="0"/>
    <s v="431 ОК– ПР Опрессовка ПВО "/>
    <x v="23"/>
    <n v="0.4583333333333334"/>
    <x v="20"/>
  </r>
  <r>
    <s v="ГДТ"/>
    <s v="КРС"/>
    <s v="Казанское"/>
    <n v="1"/>
    <x v="1"/>
    <x v="0"/>
    <m/>
    <x v="0"/>
    <m/>
    <m/>
    <m/>
    <x v="1"/>
    <s v="Штатно"/>
    <x v="0"/>
    <x v="6"/>
    <x v="16"/>
    <s v="Объекты_устье"/>
    <x v="12"/>
    <m/>
    <s v="Проведение стендовых испытаний ПВО до установки на устье. Опрессовка превентора (корпус, глухие, трубные) на 35 МПа, опрессовка гидрозадвижек."/>
    <n v="4"/>
    <m/>
    <s v="Работы окончены"/>
    <x v="0"/>
    <m/>
    <m/>
    <m/>
    <m/>
    <m/>
    <m/>
    <n v="0"/>
    <d v="2026-05-12T16:00:00"/>
    <x v="49"/>
    <n v="0.1666666666666667"/>
    <n v="10"/>
    <x v="1"/>
    <n v="0"/>
    <n v="4"/>
    <n v="0"/>
    <n v="9"/>
    <n v="101.0896"/>
    <x v="10"/>
    <d v="1899-12-30T16:00:00"/>
    <d v="2026-05-12T00:00:00"/>
    <d v="1899-12-30T20:00:00"/>
    <x v="0"/>
    <s v="431 ОК– ПР Опрессовка ПВО "/>
    <x v="23"/>
    <n v="0.625"/>
    <x v="20"/>
  </r>
  <r>
    <s v="ГДТ"/>
    <s v="КРС"/>
    <s v="Казанское"/>
    <n v="1"/>
    <x v="1"/>
    <x v="0"/>
    <m/>
    <x v="0"/>
    <m/>
    <m/>
    <m/>
    <x v="1"/>
    <s v="Орг_простой"/>
    <x v="3"/>
    <x v="0"/>
    <x v="7"/>
    <s v="Скважина_ствол"/>
    <x v="13"/>
    <m/>
    <s v="ПР к глушению скважины."/>
    <n v="4"/>
    <m/>
    <s v="Работы окончены"/>
    <x v="2"/>
    <m/>
    <m/>
    <m/>
    <m/>
    <m/>
    <m/>
    <n v="0"/>
    <d v="2026-05-12T20:00:00"/>
    <x v="50"/>
    <n v="0.1666666666666667"/>
    <n v="10.16666666666667"/>
    <x v="2"/>
    <n v="0"/>
    <n v="0"/>
    <n v="4"/>
    <n v="13"/>
    <n v="101.0896"/>
    <x v="10"/>
    <d v="1899-12-30T20:00:00"/>
    <d v="2026-05-13T00:00:00"/>
    <d v="1899-12-30T00:00:00"/>
    <x v="0"/>
    <s v="431 ОК– ПР Орг_простой Орг. простой Подготовка Скважина "/>
    <x v="25"/>
    <n v="0.1666666666666667"/>
    <x v="22"/>
  </r>
  <r>
    <s v="ГДТ"/>
    <s v="КРС"/>
    <s v="Казанское"/>
    <n v="1"/>
    <x v="1"/>
    <x v="1"/>
    <m/>
    <x v="1"/>
    <m/>
    <m/>
    <m/>
    <x v="1"/>
    <s v="Орг_простой"/>
    <x v="3"/>
    <x v="0"/>
    <x v="7"/>
    <s v="Скважина_ствол"/>
    <x v="13"/>
    <m/>
    <s v="ПР к глушению скважины."/>
    <n v="7"/>
    <m/>
    <s v="Работы окончены"/>
    <x v="2"/>
    <m/>
    <m/>
    <m/>
    <m/>
    <m/>
    <m/>
    <n v="0"/>
    <d v="2026-05-13T00:00:00"/>
    <x v="51"/>
    <n v="0.2916666666666667"/>
    <n v="10.45833333333333"/>
    <x v="2"/>
    <n v="0"/>
    <n v="0"/>
    <n v="7"/>
    <n v="20"/>
    <n v="101.0896"/>
    <x v="11"/>
    <d v="1899-12-30T00:00:00"/>
    <d v="2026-05-13T00:00:00"/>
    <d v="1899-12-30T07:00:00"/>
    <x v="1"/>
    <s v="431 ОК– ПР Орг_простой Орг. простой Подготовка Скважина "/>
    <x v="25"/>
    <n v="0.4583333333333334"/>
    <x v="22"/>
  </r>
  <r>
    <s v="ГДТ"/>
    <s v="КРС"/>
    <s v="Казанское"/>
    <n v="1"/>
    <x v="1"/>
    <x v="0"/>
    <m/>
    <x v="0"/>
    <m/>
    <m/>
    <m/>
    <x v="1"/>
    <s v="Орг_простой"/>
    <x v="3"/>
    <x v="0"/>
    <x v="7"/>
    <s v="Скважина_ствол"/>
    <x v="13"/>
    <m/>
    <s v="ПР к глушению скважины."/>
    <n v="5"/>
    <m/>
    <s v="Работы окончены"/>
    <x v="2"/>
    <m/>
    <m/>
    <m/>
    <m/>
    <m/>
    <m/>
    <n v="0"/>
    <d v="2026-05-13T07:00:00"/>
    <x v="52"/>
    <n v="0.2083333333333333"/>
    <n v="10.66666666666667"/>
    <x v="2"/>
    <n v="0"/>
    <n v="0"/>
    <n v="5"/>
    <n v="25"/>
    <n v="101.0896"/>
    <x v="11"/>
    <d v="1899-12-30T07:00:00"/>
    <d v="2026-05-13T00:00:00"/>
    <d v="1899-12-30T12:00:00"/>
    <x v="0"/>
    <s v="431 ОК– ПР Орг_простой Орг. простой Подготовка Скважина "/>
    <x v="25"/>
    <n v="0.6666666666666667"/>
    <x v="22"/>
  </r>
  <r>
    <s v="ГДТ"/>
    <s v="КРС"/>
    <s v="Казанское"/>
    <n v="1"/>
    <x v="1"/>
    <x v="0"/>
    <m/>
    <x v="0"/>
    <m/>
    <m/>
    <m/>
    <x v="1"/>
    <s v="Штатно"/>
    <x v="0"/>
    <x v="9"/>
    <x v="18"/>
    <s v="Скважина_ствол"/>
    <x v="13"/>
    <n v="1"/>
    <s v="ПР к глушению. С 14:00 монтаж линий глушения, опрессовка. Сброс сбивного лома 30 мм, подача тех. жидкости, опрессовка лифта, глушение, сброс второго лома, набор давления 6 МПа (отрицательно)."/>
    <n v="4"/>
    <m/>
    <m/>
    <x v="1"/>
    <m/>
    <m/>
    <m/>
    <m/>
    <m/>
    <m/>
    <n v="0"/>
    <d v="2026-05-13T12:00:00"/>
    <x v="53"/>
    <n v="0.1666666666666667"/>
    <n v="10.83333333333333"/>
    <x v="0"/>
    <n v="4"/>
    <n v="0"/>
    <n v="0"/>
    <n v="25"/>
    <n v="101.0896"/>
    <x v="11"/>
    <d v="1899-12-30T12:00:00"/>
    <d v="2026-05-13T00:00:00"/>
    <d v="1899-12-30T16:00:00"/>
    <x v="0"/>
    <s v="431 ОК– ПР Глушение Скважина 1"/>
    <x v="26"/>
    <n v="0.1666666666666667"/>
    <x v="23"/>
  </r>
  <r>
    <s v="ГДТ"/>
    <s v="КРС"/>
    <s v="Казанское"/>
    <n v="1"/>
    <x v="1"/>
    <x v="0"/>
    <m/>
    <x v="0"/>
    <m/>
    <m/>
    <m/>
    <x v="1"/>
    <s v="Штатно"/>
    <x v="0"/>
    <x v="9"/>
    <x v="18"/>
    <s v="Скважина_ствол"/>
    <x v="13"/>
    <n v="1"/>
    <s v="По согласованию, демонтаж линий глушения с трубного, переустановка на затрубное. ПР и опрессовка линий. Глушение по затрубу: 4 м³."/>
    <n v="4"/>
    <m/>
    <m/>
    <x v="1"/>
    <m/>
    <m/>
    <m/>
    <m/>
    <m/>
    <m/>
    <n v="0"/>
    <d v="2026-05-13T16:00:00"/>
    <x v="54"/>
    <n v="0.1666666666666667"/>
    <n v="11"/>
    <x v="0"/>
    <n v="4"/>
    <n v="0"/>
    <n v="0"/>
    <n v="25"/>
    <n v="101.0896"/>
    <x v="11"/>
    <d v="1899-12-30T16:00:00"/>
    <d v="2026-05-13T00:00:00"/>
    <d v="1899-12-30T20:00:00"/>
    <x v="0"/>
    <s v="431 ОК– ПР Глушение Скважина 1"/>
    <x v="26"/>
    <n v="0.3333333333333333"/>
    <x v="23"/>
  </r>
  <r>
    <s v="ГДТ"/>
    <s v="КРС"/>
    <s v="Казанское"/>
    <n v="1"/>
    <x v="1"/>
    <x v="0"/>
    <m/>
    <x v="0"/>
    <m/>
    <m/>
    <m/>
    <x v="1"/>
    <s v="Штатно"/>
    <x v="0"/>
    <x v="9"/>
    <x v="18"/>
    <s v="Скважина_ствол"/>
    <x v="13"/>
    <n v="1"/>
    <s v="Глушение по затрубу: 30 м³. Ограничение 11 МПа."/>
    <n v="4"/>
    <m/>
    <m/>
    <x v="1"/>
    <m/>
    <m/>
    <m/>
    <m/>
    <m/>
    <m/>
    <n v="0"/>
    <d v="2026-05-13T20:00:00"/>
    <x v="55"/>
    <n v="0.1666666666666667"/>
    <n v="11.16666666666666"/>
    <x v="1"/>
    <n v="1.74"/>
    <n v="2.26"/>
    <n v="0"/>
    <n v="25"/>
    <n v="103.3496"/>
    <x v="11"/>
    <d v="1899-12-30T20:00:00"/>
    <d v="2026-05-14T00:00:00"/>
    <d v="1899-12-30T00:00:00"/>
    <x v="0"/>
    <s v="431 ОК– ПР Глушение Скважина 1"/>
    <x v="27"/>
    <n v="0.5"/>
    <x v="23"/>
  </r>
  <r>
    <s v="ГДТ"/>
    <s v="КРС"/>
    <s v="Казанское"/>
    <n v="1"/>
    <x v="1"/>
    <x v="1"/>
    <m/>
    <x v="1"/>
    <m/>
    <m/>
    <m/>
    <x v="5"/>
    <s v="Штатно"/>
    <x v="0"/>
    <x v="9"/>
    <x v="19"/>
    <s v="Скважина_ствол"/>
    <x v="13"/>
    <m/>
    <s v="Глушение обратной промывкой 48 м³, тех. отстой, разрядка по затрубу (+). ПР к разрядке трубного."/>
    <n v="7"/>
    <m/>
    <m/>
    <x v="1"/>
    <m/>
    <m/>
    <m/>
    <m/>
    <m/>
    <m/>
    <n v="0"/>
    <d v="2026-05-14T00:00:00"/>
    <x v="56"/>
    <n v="0.2916666666666667"/>
    <n v="11.45833333333333"/>
    <x v="0"/>
    <n v="7"/>
    <n v="0"/>
    <n v="0"/>
    <n v="25"/>
    <n v="103.3496"/>
    <x v="12"/>
    <d v="1899-12-30T00:00:00"/>
    <d v="2026-05-14T00:00:00"/>
    <d v="1899-12-30T07:00:00"/>
    <x v="1"/>
    <s v="431 ОК– Доп. работы Обратная промывка Скважина "/>
    <x v="28"/>
    <n v="0.2916666666666667"/>
    <x v="24"/>
  </r>
  <r>
    <s v="ГДТ"/>
    <s v="КРС"/>
    <s v="Казанское"/>
    <n v="1"/>
    <x v="1"/>
    <x v="0"/>
    <m/>
    <x v="0"/>
    <m/>
    <m/>
    <m/>
    <x v="5"/>
    <s v="Штатно"/>
    <x v="0"/>
    <x v="9"/>
    <x v="20"/>
    <s v="Скважина_ствол"/>
    <x v="13"/>
    <m/>
    <s v="Разрядка трубного пространства, долив затрубного, разрядка на газе. Параллельно монтаж мостков, автонаматывателя, пригрузов, стеллажей, рабочей площадки."/>
    <n v="5"/>
    <m/>
    <m/>
    <x v="1"/>
    <m/>
    <m/>
    <m/>
    <m/>
    <m/>
    <m/>
    <n v="0"/>
    <d v="2026-05-14T07:00:00"/>
    <x v="57"/>
    <n v="0.2083333333333333"/>
    <n v="11.66666666666666"/>
    <x v="0"/>
    <n v="5"/>
    <n v="0"/>
    <n v="0"/>
    <n v="25"/>
    <n v="103.3496"/>
    <x v="12"/>
    <d v="1899-12-30T07:00:00"/>
    <d v="2026-05-14T00:00:00"/>
    <d v="1899-12-30T12:00:00"/>
    <x v="0"/>
    <s v="431 ОК– Доп. работы Разрядка Скважина "/>
    <x v="29"/>
    <n v="0.2083333333333333"/>
    <x v="25"/>
  </r>
  <r>
    <s v="ГДТ"/>
    <s v="КРС"/>
    <s v="Казанское"/>
    <n v="1"/>
    <x v="1"/>
    <x v="0"/>
    <m/>
    <x v="0"/>
    <m/>
    <m/>
    <m/>
    <x v="1"/>
    <s v="Штатно"/>
    <x v="0"/>
    <x v="1"/>
    <x v="1"/>
    <s v="Оборудование"/>
    <x v="0"/>
    <m/>
    <s v="Разрядка затрубного, долив. Монтаж УПРБС-80, СПГ, ограждений, испытание блокировок. ПР к пусковой комиссии."/>
    <n v="4"/>
    <m/>
    <m/>
    <x v="1"/>
    <m/>
    <m/>
    <m/>
    <m/>
    <m/>
    <m/>
    <n v="0"/>
    <d v="2026-05-14T12:00:00"/>
    <x v="58"/>
    <n v="0.1666666666666667"/>
    <n v="11.83333333333333"/>
    <x v="0"/>
    <n v="4"/>
    <n v="0"/>
    <n v="0"/>
    <n v="25"/>
    <n v="103.3496"/>
    <x v="12"/>
    <d v="1899-12-30T12:00:00"/>
    <d v="2026-05-14T00:00:00"/>
    <d v="1899-12-30T16:00:00"/>
    <x v="0"/>
    <s v="431 ОК– ПР Монтаж УПА "/>
    <x v="30"/>
    <n v="0.1666666666666667"/>
    <x v="2"/>
  </r>
  <r>
    <s v="ГДТ"/>
    <s v="КРС"/>
    <s v="Казанское"/>
    <n v="1"/>
    <x v="1"/>
    <x v="0"/>
    <m/>
    <x v="0"/>
    <m/>
    <m/>
    <m/>
    <x v="1"/>
    <s v="Орг_простой"/>
    <x v="1"/>
    <x v="2"/>
    <x v="2"/>
    <s v="Орг_логист_объекты"/>
    <x v="2"/>
    <m/>
    <s v="Проведение пусковой комиссии. Устранение пунктов ПК."/>
    <n v="4"/>
    <m/>
    <s v="Работы окончены"/>
    <x v="2"/>
    <m/>
    <m/>
    <m/>
    <m/>
    <m/>
    <m/>
    <n v="0"/>
    <d v="2026-05-14T16:00:00"/>
    <x v="59"/>
    <n v="0.1666666666666667"/>
    <n v="12"/>
    <x v="2"/>
    <n v="0"/>
    <n v="0"/>
    <n v="4"/>
    <n v="29"/>
    <n v="103.3496"/>
    <x v="12"/>
    <d v="1899-12-30T16:00:00"/>
    <d v="2026-05-14T00:00:00"/>
    <d v="1899-12-30T20:00:00"/>
    <x v="0"/>
    <s v="431 ОК– ПР Орг_простой Ожидание разрешения Устранение Предписания "/>
    <x v="4"/>
    <n v="0.1666666666666667"/>
    <x v="3"/>
  </r>
  <r>
    <s v="ГДТ"/>
    <s v="КРС"/>
    <s v="Казанское"/>
    <n v="1"/>
    <x v="1"/>
    <x v="0"/>
    <m/>
    <x v="0"/>
    <m/>
    <m/>
    <m/>
    <x v="2"/>
    <s v="Штатно"/>
    <x v="0"/>
    <x v="4"/>
    <x v="3"/>
    <s v="Объекты_устье"/>
    <x v="3"/>
    <m/>
    <s v="Смена задвижки крестовины 2. Демонтаж линии на коллектор, долив скважины на поглощение, разрядка. Демонтаж ФА. ПР к срыву ПШ."/>
    <n v="4"/>
    <m/>
    <s v="Работы окончены"/>
    <x v="0"/>
    <m/>
    <m/>
    <m/>
    <m/>
    <m/>
    <m/>
    <n v="0"/>
    <d v="2026-05-14T20:00:00"/>
    <x v="60"/>
    <n v="0.1666666666666667"/>
    <n v="12.16666666666666"/>
    <x v="1"/>
    <n v="0.2999999999999998"/>
    <n v="3.7"/>
    <n v="0"/>
    <n v="29"/>
    <n v="107.0496"/>
    <x v="12"/>
    <d v="1899-12-30T20:00:00"/>
    <d v="2026-05-15T00:00:00"/>
    <d v="1899-12-31T00:00:00"/>
    <x v="0"/>
    <s v="431 ОК– КРС Срыв Планшайба "/>
    <x v="5"/>
    <n v="0.1666666666666667"/>
    <x v="4"/>
  </r>
  <r>
    <s v="ГДТ"/>
    <s v="КРС"/>
    <s v="Казанское"/>
    <n v="1"/>
    <x v="1"/>
    <x v="1"/>
    <m/>
    <x v="1"/>
    <m/>
    <m/>
    <m/>
    <x v="2"/>
    <s v="Штатно"/>
    <x v="0"/>
    <x v="4"/>
    <x v="3"/>
    <s v="Объекты_устье"/>
    <x v="3"/>
    <m/>
    <s v="Срыв ПШ (вес 24,7/23,6 тн). Монтаж ПВО, монтаж пакера для спуска и опрессовки ПВО на устье."/>
    <n v="7"/>
    <m/>
    <s v="Работы окончены"/>
    <x v="0"/>
    <m/>
    <m/>
    <m/>
    <m/>
    <m/>
    <m/>
    <n v="0"/>
    <d v="2026-05-15T00:00:00"/>
    <x v="61"/>
    <n v="0.2916666666666667"/>
    <n v="12.45833333333333"/>
    <x v="1"/>
    <n v="8.881784197001252e-16"/>
    <n v="6.999999999999999"/>
    <n v="0"/>
    <n v="29"/>
    <n v="114.0496"/>
    <x v="13"/>
    <d v="1899-12-31T00:00:00"/>
    <d v="2026-05-15T00:00:00"/>
    <d v="1899-12-30T07:00:00"/>
    <x v="1"/>
    <s v="431 ОК– КРС Срыв Планшайба "/>
    <x v="5"/>
    <n v="0.4583333333333334"/>
    <x v="4"/>
  </r>
  <r>
    <s v="ГДТ"/>
    <s v="КРС"/>
    <s v="Казанское"/>
    <n v="1"/>
    <x v="1"/>
    <x v="2"/>
    <m/>
    <x v="0"/>
    <m/>
    <m/>
    <m/>
    <x v="2"/>
    <s v="Штатно"/>
    <x v="0"/>
    <x v="3"/>
    <x v="9"/>
    <s v="Технологический_инструмент"/>
    <x v="14"/>
    <m/>
    <s v="Допуск УЭЦН на НКТ-73 + пакер ПРОЯМО 122 мм. Посадка пакера с разгрузкой 10 тн. Закрытие трубных плашек. Монтаж отбойных щитов. Пробная опрессовка трубных плашек на 23 МПа."/>
    <n v="5"/>
    <m/>
    <s v="Работы окончены"/>
    <x v="0"/>
    <m/>
    <m/>
    <m/>
    <m/>
    <m/>
    <m/>
    <n v="0"/>
    <d v="2026-05-15T07:00:00"/>
    <x v="62"/>
    <n v="0.2083333333333333"/>
    <n v="12.66666666666666"/>
    <x v="1"/>
    <n v="0.9744000000000002"/>
    <n v="4.0256"/>
    <n v="0"/>
    <n v="29"/>
    <n v="118.0752"/>
    <x v="13"/>
    <d v="1899-12-30T07:00:00"/>
    <d v="2026-05-15T00:00:00"/>
    <d v="1899-12-30T12:00:00"/>
    <x v="2"/>
    <s v="431 ОК– КРС Спуск Пакер "/>
    <x v="31"/>
    <n v="0.2083333333333333"/>
    <x v="26"/>
  </r>
  <r>
    <s v="ГДТ"/>
    <s v="КРС"/>
    <s v="Казанское"/>
    <n v="1"/>
    <x v="1"/>
    <x v="2"/>
    <m/>
    <x v="0"/>
    <m/>
    <m/>
    <m/>
    <x v="2"/>
    <s v="Орг_простой"/>
    <x v="1"/>
    <x v="2"/>
    <x v="2"/>
    <s v="Орг_логист_объекты"/>
    <x v="2"/>
    <m/>
    <s v="Устранение пунктов предписаний, выписанных пусковой комиссией."/>
    <n v="12"/>
    <m/>
    <s v="Работы окончены"/>
    <x v="2"/>
    <m/>
    <m/>
    <m/>
    <m/>
    <m/>
    <m/>
    <n v="0"/>
    <d v="2026-05-15T12:00:00"/>
    <x v="63"/>
    <n v="0.5"/>
    <n v="13.16666666666666"/>
    <x v="2"/>
    <n v="0"/>
    <n v="0"/>
    <n v="12"/>
    <n v="41"/>
    <n v="118.0752"/>
    <x v="13"/>
    <d v="1899-12-30T12:00:00"/>
    <d v="2026-05-16T00:00:00"/>
    <d v="1899-12-31T00:00:00"/>
    <x v="2"/>
    <s v="431 ОК– КРС Орг_простой Ожидание разрешения Устранение Предписания "/>
    <x v="4"/>
    <n v="0.5"/>
    <x v="3"/>
  </r>
  <r>
    <s v="ГДТ"/>
    <s v="КРС"/>
    <s v="Казанское"/>
    <n v="1"/>
    <x v="1"/>
    <x v="1"/>
    <m/>
    <x v="1"/>
    <m/>
    <m/>
    <m/>
    <x v="2"/>
    <s v="Орг_простой"/>
    <x v="1"/>
    <x v="2"/>
    <x v="2"/>
    <s v="Орг_логист_объекты"/>
    <x v="2"/>
    <m/>
    <s v="Устранение пунктов предписаний, выписанных пусковой комиссией."/>
    <n v="16"/>
    <m/>
    <s v="Работы окончены"/>
    <x v="2"/>
    <m/>
    <m/>
    <m/>
    <m/>
    <m/>
    <m/>
    <n v="0"/>
    <d v="2026-05-16T00:00:00"/>
    <x v="64"/>
    <n v="0.6666666666666666"/>
    <n v="13.83333333333333"/>
    <x v="2"/>
    <n v="0"/>
    <n v="0"/>
    <n v="16"/>
    <n v="57"/>
    <n v="118.0752"/>
    <x v="14"/>
    <d v="1899-12-31T00:00:00"/>
    <d v="2026-05-16T00:00:00"/>
    <d v="1899-12-30T16:00:00"/>
    <x v="1"/>
    <s v="431 ОК– КРС Орг_простой Ожидание разрешения Устранение Предписания "/>
    <x v="4"/>
    <n v="1.166666666666667"/>
    <x v="3"/>
  </r>
  <r>
    <s v="ГДТ"/>
    <s v="КРС"/>
    <s v="Казанское"/>
    <n v="1"/>
    <x v="1"/>
    <x v="2"/>
    <m/>
    <x v="0"/>
    <m/>
    <m/>
    <m/>
    <x v="2"/>
    <s v="Штатно"/>
    <x v="0"/>
    <x v="6"/>
    <x v="16"/>
    <s v="Объекты_устье"/>
    <x v="10"/>
    <m/>
    <s v="ПР к опрессовке трубных плашек. Опрессовка трубных плашек на 23 МПа (герметично), опрессовка затрубных задвижек №2,3,9,10 (герметично). Срыв пакера с 30 м (24 тн). Разрядка. ПР к промывке."/>
    <n v="4"/>
    <m/>
    <m/>
    <x v="1"/>
    <m/>
    <m/>
    <m/>
    <m/>
    <m/>
    <m/>
    <n v="0"/>
    <d v="2026-05-16T16:00:00"/>
    <x v="65"/>
    <n v="0.1666666666666667"/>
    <n v="13.99999999999999"/>
    <x v="1"/>
    <n v="0.8399999999999999"/>
    <n v="3.16"/>
    <n v="0"/>
    <n v="57"/>
    <n v="121.2352"/>
    <x v="14"/>
    <d v="1899-12-30T16:00:00"/>
    <d v="2026-05-16T00:00:00"/>
    <d v="1899-12-30T20:00:00"/>
    <x v="2"/>
    <s v="431 ОК– КРС Опрессовка Запорная арматура "/>
    <x v="32"/>
    <n v="0.1666666666666667"/>
    <x v="27"/>
  </r>
  <r>
    <s v="ГДТ"/>
    <s v="КРС"/>
    <s v="Казанское"/>
    <n v="1"/>
    <x v="1"/>
    <x v="2"/>
    <m/>
    <x v="0"/>
    <m/>
    <m/>
    <m/>
    <x v="5"/>
    <s v="Штатно"/>
    <x v="0"/>
    <x v="9"/>
    <x v="21"/>
    <s v="Скважина_ствол"/>
    <x v="13"/>
    <m/>
    <s v="Промывка по затрубу жидкостью глушения 15 м³. Циркуляция по трубному отсутствует. Промывка на поглощение."/>
    <n v="4"/>
    <m/>
    <m/>
    <x v="1"/>
    <m/>
    <m/>
    <m/>
    <m/>
    <m/>
    <m/>
    <n v="0"/>
    <d v="2026-05-16T20:00:00"/>
    <x v="66"/>
    <n v="0.1666666666666667"/>
    <n v="14.16666666666666"/>
    <x v="0"/>
    <n v="4"/>
    <n v="0"/>
    <n v="0"/>
    <n v="57"/>
    <n v="121.2352"/>
    <x v="14"/>
    <d v="1899-12-30T20:00:00"/>
    <d v="2026-05-17T00:00:00"/>
    <d v="1899-12-31T00:00:00"/>
    <x v="2"/>
    <s v="431 ОК– Доп. работы Промывка Скважина "/>
    <x v="33"/>
    <n v="0.1666666666666667"/>
    <x v="28"/>
  </r>
  <r>
    <s v="ГДТ"/>
    <s v="КРС"/>
    <s v="Казанское"/>
    <n v="1"/>
    <x v="1"/>
    <x v="1"/>
    <m/>
    <x v="1"/>
    <m/>
    <m/>
    <m/>
    <x v="2"/>
    <s v="Орг_простой"/>
    <x v="4"/>
    <x v="10"/>
    <x v="22"/>
    <s v="Орг_логист_объекты"/>
    <x v="15"/>
    <m/>
    <s v="Промывка по затрубу 30,5 м³, поглощение. Долив 2 м³. Контроль давления. Ожидание вахты."/>
    <n v="7"/>
    <m/>
    <s v="Работы окончены"/>
    <x v="2"/>
    <m/>
    <m/>
    <m/>
    <m/>
    <m/>
    <m/>
    <n v="0"/>
    <d v="2026-05-17T00:00:00"/>
    <x v="67"/>
    <n v="0.2916666666666667"/>
    <n v="14.45833333333333"/>
    <x v="2"/>
    <n v="0"/>
    <n v="0"/>
    <n v="7"/>
    <n v="64"/>
    <n v="121.2352"/>
    <x v="15"/>
    <d v="1899-12-31T00:00:00"/>
    <d v="2026-05-17T00:00:00"/>
    <d v="1899-12-30T07:00:00"/>
    <x v="1"/>
    <s v="431 ОК– КРС Орг_простой Ожидание персонала Ожидание Персонал "/>
    <x v="34"/>
    <n v="0.2916666666666667"/>
    <x v="29"/>
  </r>
  <r>
    <s v="ГДТ"/>
    <s v="КРС"/>
    <s v="Казанское"/>
    <n v="1"/>
    <x v="1"/>
    <x v="2"/>
    <m/>
    <x v="0"/>
    <m/>
    <m/>
    <m/>
    <x v="2"/>
    <s v="Орг_простой"/>
    <x v="4"/>
    <x v="10"/>
    <x v="22"/>
    <s v="Орг_логист_объекты"/>
    <x v="15"/>
    <m/>
    <s v="Ожидание полного состава вахты. Долив скважины (5,7 м³). Контроль давления."/>
    <n v="17"/>
    <m/>
    <s v="Работы окончены"/>
    <x v="2"/>
    <m/>
    <m/>
    <m/>
    <m/>
    <m/>
    <m/>
    <n v="0"/>
    <d v="2026-05-17T07:00:00"/>
    <x v="68"/>
    <n v="0.7083333333333334"/>
    <n v="15.16666666666666"/>
    <x v="2"/>
    <n v="0"/>
    <n v="0"/>
    <n v="17"/>
    <n v="81"/>
    <n v="121.2352"/>
    <x v="15"/>
    <d v="1899-12-30T07:00:00"/>
    <d v="2026-05-18T00:00:00"/>
    <d v="1899-12-31T00:00:00"/>
    <x v="2"/>
    <s v="431 ОК– КРС Орг_простой Ожидание персонала Ожидание Персонал "/>
    <x v="34"/>
    <n v="1"/>
    <x v="29"/>
  </r>
  <r>
    <s v="ГДТ"/>
    <s v="КРС"/>
    <s v="Казанское"/>
    <n v="1"/>
    <x v="1"/>
    <x v="1"/>
    <m/>
    <x v="1"/>
    <m/>
    <m/>
    <m/>
    <x v="2"/>
    <s v="Орг_простой"/>
    <x v="4"/>
    <x v="10"/>
    <x v="22"/>
    <s v="Орг_логист_объекты"/>
    <x v="15"/>
    <m/>
    <s v="Ожидание полного состава вахты. Долив скважины (10 м³). Контроль давления."/>
    <n v="12"/>
    <m/>
    <s v="Работы окончены"/>
    <x v="2"/>
    <m/>
    <m/>
    <m/>
    <m/>
    <m/>
    <m/>
    <n v="0"/>
    <d v="2026-05-18T00:00:00"/>
    <x v="69"/>
    <n v="0.5"/>
    <n v="15.66666666666666"/>
    <x v="2"/>
    <n v="0"/>
    <n v="0"/>
    <n v="12"/>
    <n v="93"/>
    <n v="121.2352"/>
    <x v="16"/>
    <d v="1899-12-31T00:00:00"/>
    <d v="2026-05-18T00:00:00"/>
    <d v="1899-12-30T12:00:00"/>
    <x v="1"/>
    <s v="431 ОК– КРС Орг_простой Ожидание персонала Ожидание Персонал "/>
    <x v="34"/>
    <n v="1.5"/>
    <x v="29"/>
  </r>
  <r>
    <s v="ГДТ"/>
    <s v="КРС"/>
    <s v="Казанское"/>
    <n v="1"/>
    <x v="1"/>
    <x v="2"/>
    <m/>
    <x v="0"/>
    <m/>
    <m/>
    <m/>
    <x v="2"/>
    <s v="Штатно"/>
    <x v="0"/>
    <x v="3"/>
    <x v="4"/>
    <s v="Технологический_инструмент"/>
    <x v="4"/>
    <n v="1"/>
    <s v="Подъём ЭЦН с 2284,37 м до 2100 м (19 шт.), долив 1,4 м³."/>
    <n v="4"/>
    <m/>
    <m/>
    <x v="1"/>
    <m/>
    <m/>
    <m/>
    <m/>
    <m/>
    <m/>
    <n v="0"/>
    <d v="2026-05-18T12:00:00"/>
    <x v="70"/>
    <n v="0.1666666666666667"/>
    <n v="15.83333333333333"/>
    <x v="0"/>
    <n v="4"/>
    <n v="0"/>
    <n v="0"/>
    <n v="93"/>
    <n v="121.2352"/>
    <x v="16"/>
    <d v="1899-12-30T12:00:00"/>
    <d v="2026-05-18T00:00:00"/>
    <d v="1899-12-30T16:00:00"/>
    <x v="2"/>
    <s v="431 ОК– КРС Подъем УЭЦН 1"/>
    <x v="35"/>
    <n v="0.1666666666666667"/>
    <x v="5"/>
  </r>
  <r>
    <s v="ГДТ"/>
    <s v="КРС"/>
    <s v="Казанское"/>
    <n v="1"/>
    <x v="1"/>
    <x v="2"/>
    <m/>
    <x v="0"/>
    <m/>
    <m/>
    <m/>
    <x v="2"/>
    <s v="Штатно"/>
    <x v="0"/>
    <x v="3"/>
    <x v="4"/>
    <s v="Технологический_инструмент"/>
    <x v="4"/>
    <n v="1"/>
    <s v="Подъём с 2100 м до 1960 м (35 шт.), долив 0,3 м³."/>
    <n v="4"/>
    <m/>
    <m/>
    <x v="1"/>
    <m/>
    <m/>
    <m/>
    <m/>
    <m/>
    <m/>
    <n v="0"/>
    <d v="2026-05-18T16:00:00"/>
    <x v="71"/>
    <n v="0.1666666666666667"/>
    <n v="15.99999999999999"/>
    <x v="0"/>
    <n v="4"/>
    <n v="0"/>
    <n v="0"/>
    <n v="93"/>
    <n v="121.2352"/>
    <x v="16"/>
    <d v="1899-12-30T16:00:00"/>
    <d v="2026-05-18T00:00:00"/>
    <d v="1899-12-30T20:00:00"/>
    <x v="2"/>
    <s v="431 ОК– КРС Подъем УЭЦН 1"/>
    <x v="35"/>
    <n v="0.3333333333333333"/>
    <x v="5"/>
  </r>
  <r>
    <s v="ГДТ"/>
    <s v="КРС"/>
    <s v="Казанское"/>
    <n v="1"/>
    <x v="1"/>
    <x v="2"/>
    <m/>
    <x v="0"/>
    <m/>
    <m/>
    <m/>
    <x v="2"/>
    <s v="Орг_простой"/>
    <x v="4"/>
    <x v="10"/>
    <x v="22"/>
    <s v="Орг_логист_объекты"/>
    <x v="15"/>
    <m/>
    <s v="Подъём с 1960 м до 1854 м (46 шт.), долив 0,11 м³. Остановка по отсутствию мастера КРС, резка кабеля, герметизация устья, долив 1,2 м³."/>
    <n v="2"/>
    <m/>
    <s v="Работы окончены"/>
    <x v="2"/>
    <m/>
    <m/>
    <m/>
    <m/>
    <m/>
    <m/>
    <n v="0"/>
    <d v="2026-05-18T20:00:00"/>
    <x v="72"/>
    <n v="0.08333333333333333"/>
    <n v="16.08333333333333"/>
    <x v="2"/>
    <n v="0"/>
    <n v="0"/>
    <n v="2"/>
    <n v="95"/>
    <n v="121.2352"/>
    <x v="16"/>
    <d v="1899-12-30T20:00:00"/>
    <d v="2026-05-18T00:00:00"/>
    <d v="1899-12-30T22:00:00"/>
    <x v="2"/>
    <s v="431 ОК– КРС Орг_простой Ожидание персонала Ожидание Персонал "/>
    <x v="34"/>
    <n v="1.583333333333333"/>
    <x v="29"/>
  </r>
  <r>
    <s v="ГДТ"/>
    <s v="КРС"/>
    <s v="Казанское"/>
    <n v="1"/>
    <x v="1"/>
    <x v="1"/>
    <m/>
    <x v="2"/>
    <m/>
    <m/>
    <m/>
    <x v="2"/>
    <s v="Орг_простой"/>
    <x v="4"/>
    <x v="10"/>
    <x v="22"/>
    <s v="Орг_логист_объекты"/>
    <x v="15"/>
    <m/>
    <s v="Контроль давления, долив скважины (7,1 м³)."/>
    <n v="2"/>
    <m/>
    <s v="Работы окончены"/>
    <x v="2"/>
    <m/>
    <m/>
    <m/>
    <m/>
    <m/>
    <m/>
    <n v="0"/>
    <d v="2026-05-18T22:00:00"/>
    <x v="73"/>
    <n v="0.08333333333333333"/>
    <n v="16.16666666666666"/>
    <x v="2"/>
    <n v="0"/>
    <n v="0"/>
    <n v="2"/>
    <n v="97"/>
    <n v="121.2352"/>
    <x v="16"/>
    <d v="1899-12-30T22:00:00"/>
    <d v="2026-05-19T00:00:00"/>
    <d v="1899-12-31T00:00:00"/>
    <x v="3"/>
    <s v="431 ОК– КРС Орг_простой Ожидание персонала Ожидание Персонал "/>
    <x v="34"/>
    <n v="1.666666666666667"/>
    <x v="29"/>
  </r>
  <r>
    <s v="ГДТ"/>
    <s v="КРС"/>
    <s v="Казанское"/>
    <n v="1"/>
    <x v="1"/>
    <x v="1"/>
    <m/>
    <x v="2"/>
    <m/>
    <m/>
    <m/>
    <x v="2"/>
    <s v="Орг_простой"/>
    <x v="4"/>
    <x v="10"/>
    <x v="22"/>
    <s v="Орг_логист_объекты"/>
    <x v="15"/>
    <m/>
    <s v="Контроль давления, долив скважины (7,1 м³)."/>
    <n v="22"/>
    <m/>
    <s v="Работы окончены"/>
    <x v="2"/>
    <m/>
    <m/>
    <m/>
    <m/>
    <m/>
    <m/>
    <n v="0"/>
    <d v="2026-05-19T00:00:00"/>
    <x v="74"/>
    <n v="0.9166666666666666"/>
    <n v="17.08333333333333"/>
    <x v="2"/>
    <n v="0"/>
    <n v="0"/>
    <n v="22"/>
    <n v="119"/>
    <n v="121.2352"/>
    <x v="17"/>
    <d v="1899-12-31T00:00:00"/>
    <d v="2026-05-19T00:00:00"/>
    <d v="1899-12-30T22:00:00"/>
    <x v="3"/>
    <s v="431 ОК– КРС Орг_простой Ожидание персонала Ожидание Персонал "/>
    <x v="34"/>
    <n v="2.583333333333333"/>
    <x v="29"/>
  </r>
  <r>
    <s v="ГДТ"/>
    <s v="КРС"/>
    <s v="Казанское"/>
    <n v="1"/>
    <x v="1"/>
    <x v="1"/>
    <m/>
    <x v="0"/>
    <m/>
    <m/>
    <m/>
    <x v="2"/>
    <s v="Орг_простой"/>
    <x v="4"/>
    <x v="10"/>
    <x v="22"/>
    <s v="Орг_логист_объекты"/>
    <x v="15"/>
    <m/>
    <s v="Контроль давления, долив 1,5 м³."/>
    <n v="2"/>
    <m/>
    <s v="Работы окончены"/>
    <x v="2"/>
    <m/>
    <m/>
    <m/>
    <m/>
    <m/>
    <m/>
    <n v="0"/>
    <d v="2026-05-19T22:00:00"/>
    <x v="75"/>
    <n v="0.08333333333333333"/>
    <n v="17.16666666666666"/>
    <x v="2"/>
    <n v="0"/>
    <n v="0"/>
    <n v="2"/>
    <n v="121"/>
    <n v="121.2352"/>
    <x v="17"/>
    <d v="1899-12-30T22:00:00"/>
    <d v="2026-05-20T00:00:00"/>
    <d v="1899-12-31T00:00:00"/>
    <x v="4"/>
    <s v="431 ОК– КРС Орг_простой Ожидание персонала Ожидание Персонал "/>
    <x v="34"/>
    <n v="2.666666666666667"/>
    <x v="29"/>
  </r>
  <r>
    <s v="ГДТ"/>
    <s v="КРС"/>
    <s v="Казанское"/>
    <n v="1"/>
    <x v="1"/>
    <x v="1"/>
    <m/>
    <x v="0"/>
    <m/>
    <m/>
    <m/>
    <x v="2"/>
    <s v="Орг_простой"/>
    <x v="4"/>
    <x v="10"/>
    <x v="22"/>
    <s v="Орг_логист_объекты"/>
    <x v="15"/>
    <m/>
    <s v="Контроль давления, долив 1,5 м³."/>
    <n v="5"/>
    <m/>
    <s v="Работы окончены"/>
    <x v="2"/>
    <m/>
    <m/>
    <m/>
    <m/>
    <m/>
    <m/>
    <n v="0"/>
    <d v="2026-05-20T00:00:00"/>
    <x v="76"/>
    <n v="0.2083333333333333"/>
    <n v="17.37499999999999"/>
    <x v="2"/>
    <n v="0"/>
    <n v="0"/>
    <n v="5"/>
    <n v="126"/>
    <n v="121.2352"/>
    <x v="18"/>
    <d v="1899-12-31T00:00:00"/>
    <d v="2026-05-20T00:00:00"/>
    <d v="1899-12-30T05:00:00"/>
    <x v="4"/>
    <s v="431 ОК– КРС Орг_простой Ожидание персонала Ожидание Персонал "/>
    <x v="34"/>
    <n v="2.875"/>
    <x v="29"/>
  </r>
  <r>
    <s v="ГДТ"/>
    <s v="КРС"/>
    <s v="Казанское"/>
    <n v="1"/>
    <x v="1"/>
    <x v="1"/>
    <m/>
    <x v="0"/>
    <m/>
    <m/>
    <m/>
    <x v="2"/>
    <s v="Штатно"/>
    <x v="0"/>
    <x v="3"/>
    <x v="4"/>
    <s v="Технологический_инструмент"/>
    <x v="4"/>
    <n v="1"/>
    <s v="Подъём с 1854 м до 1503 м (83 шт.), долив 1,1 м³."/>
    <n v="5"/>
    <m/>
    <m/>
    <x v="1"/>
    <m/>
    <m/>
    <m/>
    <m/>
    <m/>
    <m/>
    <n v="0"/>
    <d v="2026-05-20T05:00:00"/>
    <x v="77"/>
    <n v="0.2083333333333333"/>
    <n v="17.58333333333332"/>
    <x v="0"/>
    <n v="5"/>
    <n v="0"/>
    <n v="0"/>
    <n v="126"/>
    <n v="121.2352"/>
    <x v="18"/>
    <d v="1899-12-30T05:00:00"/>
    <d v="2026-05-20T00:00:00"/>
    <d v="1899-12-30T10:00:00"/>
    <x v="4"/>
    <s v="431 ОК– КРС Подъем УЭЦН 1"/>
    <x v="35"/>
    <n v="0.5416666666666666"/>
    <x v="5"/>
  </r>
  <r>
    <s v="ГДТ"/>
    <s v="КРС"/>
    <s v="Казанское"/>
    <n v="1"/>
    <x v="1"/>
    <x v="2"/>
    <m/>
    <x v="3"/>
    <m/>
    <m/>
    <m/>
    <x v="2"/>
    <s v="Штатно"/>
    <x v="0"/>
    <x v="3"/>
    <x v="4"/>
    <s v="Технологический_инструмент"/>
    <x v="4"/>
    <n v="1"/>
    <s v="Подъём с 1503 м до 1342 м (100 шт.), калибровка, долив 0,9 м³."/>
    <n v="4"/>
    <m/>
    <s v="Работы окончены"/>
    <x v="0"/>
    <m/>
    <m/>
    <m/>
    <m/>
    <m/>
    <m/>
    <n v="0"/>
    <d v="2026-05-20T10:00:00"/>
    <x v="78"/>
    <n v="0.1666666666666667"/>
    <n v="17.74999999999999"/>
    <x v="1"/>
    <n v="3.02"/>
    <n v="0.9800000000000004"/>
    <n v="0"/>
    <n v="126"/>
    <n v="122.2152"/>
    <x v="18"/>
    <d v="1899-12-30T10:00:00"/>
    <d v="2026-05-20T00:00:00"/>
    <d v="1899-12-30T14:00:00"/>
    <x v="5"/>
    <s v="431 ОК– КРС Подъем УЭЦН 1"/>
    <x v="6"/>
    <n v="0.7083333333333333"/>
    <x v="5"/>
  </r>
  <r>
    <s v="ГДТ"/>
    <s v="КРС"/>
    <s v="Казанское"/>
    <n v="1"/>
    <x v="1"/>
    <x v="2"/>
    <m/>
    <x v="3"/>
    <m/>
    <m/>
    <m/>
    <x v="2"/>
    <s v="Штатно"/>
    <x v="0"/>
    <x v="3"/>
    <x v="4"/>
    <s v="Технологический_инструмент"/>
    <x v="4"/>
    <n v="1"/>
    <s v="Подъём с 1342 м до 1076 м (128 шт.), долив 0,8 м³."/>
    <n v="4"/>
    <m/>
    <s v="Работы окончены"/>
    <x v="0"/>
    <m/>
    <m/>
    <m/>
    <m/>
    <m/>
    <m/>
    <n v="0"/>
    <d v="2026-05-20T14:00:00"/>
    <x v="79"/>
    <n v="0.1666666666666667"/>
    <n v="17.91666666666666"/>
    <x v="1"/>
    <n v="0"/>
    <n v="4"/>
    <n v="0"/>
    <n v="126"/>
    <n v="126.2152"/>
    <x v="18"/>
    <d v="1899-12-30T14:00:00"/>
    <d v="2026-05-20T00:00:00"/>
    <d v="1899-12-30T18:00:00"/>
    <x v="5"/>
    <s v="431 ОК– КРС Подъем УЭЦН 1"/>
    <x v="6"/>
    <n v="0.8749999999999999"/>
    <x v="5"/>
  </r>
  <r>
    <s v="ГДТ"/>
    <s v="КРС"/>
    <s v="Казанское"/>
    <n v="1"/>
    <x v="1"/>
    <x v="2"/>
    <m/>
    <x v="3"/>
    <m/>
    <m/>
    <m/>
    <x v="2"/>
    <s v="Штатно"/>
    <x v="0"/>
    <x v="3"/>
    <x v="4"/>
    <s v="Технологический_инструмент"/>
    <x v="4"/>
    <n v="1"/>
    <s v="Подъём с 1076 м до 810 м (156 шт.), долив 1,0 м³."/>
    <n v="4"/>
    <m/>
    <s v="Работы окончены"/>
    <x v="0"/>
    <m/>
    <m/>
    <m/>
    <m/>
    <m/>
    <m/>
    <n v="0"/>
    <d v="2026-05-20T18:00:00"/>
    <x v="80"/>
    <n v="0.1666666666666667"/>
    <n v="18.08333333333333"/>
    <x v="1"/>
    <n v="0"/>
    <n v="4"/>
    <n v="0"/>
    <n v="126"/>
    <n v="130.2152"/>
    <x v="18"/>
    <d v="1899-12-30T18:00:00"/>
    <d v="2026-05-20T00:00:00"/>
    <d v="1899-12-30T22:00:00"/>
    <x v="5"/>
    <s v="431 ОК– КРС Подъем УЭЦН 1"/>
    <x v="6"/>
    <n v="1.041666666666667"/>
    <x v="5"/>
  </r>
  <r>
    <s v="ГДТ"/>
    <s v="КРС"/>
    <s v="Казанское"/>
    <n v="1"/>
    <x v="1"/>
    <x v="3"/>
    <m/>
    <x v="0"/>
    <m/>
    <m/>
    <m/>
    <x v="2"/>
    <s v="Штатно"/>
    <x v="0"/>
    <x v="3"/>
    <x v="4"/>
    <s v="Технологический_инструмент"/>
    <x v="4"/>
    <n v="1"/>
    <s v="Подъём с 810 м до 250 м (215 шт.), долив 1,5 м³."/>
    <n v="2"/>
    <m/>
    <s v="Работы окончены"/>
    <x v="0"/>
    <m/>
    <m/>
    <m/>
    <m/>
    <m/>
    <m/>
    <n v="0"/>
    <d v="2026-05-20T22:00:00"/>
    <x v="81"/>
    <n v="0.08333333333333333"/>
    <n v="18.16666666666666"/>
    <x v="1"/>
    <n v="0"/>
    <n v="2"/>
    <n v="0"/>
    <n v="126"/>
    <n v="132.2152"/>
    <x v="18"/>
    <d v="1899-12-30T22:00:00"/>
    <d v="2026-05-21T00:00:00"/>
    <d v="1899-12-31T00:00:00"/>
    <x v="6"/>
    <s v="431 ОК– КРС Подъем УЭЦН 1"/>
    <x v="6"/>
    <n v="1.125"/>
    <x v="5"/>
  </r>
  <r>
    <s v="ГДТ"/>
    <s v="КРС"/>
    <s v="Казанское"/>
    <n v="1"/>
    <x v="1"/>
    <x v="3"/>
    <m/>
    <x v="0"/>
    <m/>
    <m/>
    <m/>
    <x v="2"/>
    <s v="Штатно"/>
    <x v="0"/>
    <x v="3"/>
    <x v="4"/>
    <s v="Технологический_инструмент"/>
    <x v="4"/>
    <n v="1"/>
    <m/>
    <n v="5"/>
    <m/>
    <s v="Работы окончены"/>
    <x v="0"/>
    <m/>
    <m/>
    <m/>
    <m/>
    <m/>
    <m/>
    <n v="0"/>
    <d v="2026-05-21T00:00:00"/>
    <x v="82"/>
    <n v="0.2083333333333333"/>
    <n v="18.37499999999999"/>
    <x v="1"/>
    <n v="0"/>
    <n v="5"/>
    <n v="0"/>
    <n v="126"/>
    <n v="137.2152"/>
    <x v="19"/>
    <d v="1899-12-31T00:00:00"/>
    <d v="2026-05-21T00:00:00"/>
    <d v="1899-12-30T05:00:00"/>
    <x v="6"/>
    <s v="431 ОК– КРС Подъем УЭЦН 1"/>
    <x v="6"/>
    <n v="1.333333333333333"/>
    <x v="5"/>
  </r>
  <r>
    <s v="ГДТ"/>
    <s v="КРС"/>
    <s v="Казанское"/>
    <n v="1"/>
    <x v="1"/>
    <x v="3"/>
    <m/>
    <x v="0"/>
    <m/>
    <m/>
    <m/>
    <x v="2"/>
    <s v="Штатно"/>
    <x v="0"/>
    <x v="3"/>
    <x v="4"/>
    <s v="Технологический_инструмент"/>
    <x v="4"/>
    <n v="1"/>
    <s v="Подъём с 250 м до 68 м (219 шт.), долив 1,0 м³. Комиссионный демонтаж ЭЦН."/>
    <n v="5"/>
    <m/>
    <s v="Работы окончены"/>
    <x v="0"/>
    <m/>
    <m/>
    <m/>
    <m/>
    <m/>
    <m/>
    <n v="0"/>
    <d v="2026-05-21T05:00:00"/>
    <x v="83"/>
    <n v="0.2083333333333333"/>
    <n v="18.58333333333332"/>
    <x v="1"/>
    <n v="0"/>
    <n v="5"/>
    <n v="0"/>
    <n v="126"/>
    <n v="142.2152"/>
    <x v="19"/>
    <d v="1899-12-30T05:00:00"/>
    <d v="2026-05-21T00:00:00"/>
    <d v="1899-12-30T10:00:00"/>
    <x v="6"/>
    <s v="431 ОК– КРС Подъем УЭЦН 1"/>
    <x v="6"/>
    <n v="1.541666666666666"/>
    <x v="5"/>
  </r>
  <r>
    <s v="ГДТ"/>
    <s v="КРС"/>
    <s v="Казанское"/>
    <n v="1"/>
    <x v="1"/>
    <x v="2"/>
    <m/>
    <x v="3"/>
    <m/>
    <m/>
    <m/>
    <x v="2"/>
    <s v="Штатно"/>
    <x v="0"/>
    <x v="2"/>
    <x v="7"/>
    <s v="Технологический_инструмент"/>
    <x v="4"/>
    <m/>
    <s v="Опрессовка подклапанных НКТП (4 шт.) на 25 МПа, разгрузка УЭЦН, сверка номеров, калибровка, замер НКТ. Монтаж Трилл-СВ 9 секций (частично)."/>
    <n v="4"/>
    <m/>
    <s v="Работы окончены"/>
    <x v="0"/>
    <m/>
    <m/>
    <m/>
    <m/>
    <m/>
    <m/>
    <n v="0"/>
    <d v="2026-05-21T10:00:00"/>
    <x v="84"/>
    <n v="0.1666666666666667"/>
    <n v="18.74999999999999"/>
    <x v="1"/>
    <n v="0.9980000000000002"/>
    <n v="3.002"/>
    <n v="0"/>
    <n v="126"/>
    <n v="145.2172"/>
    <x v="19"/>
    <d v="1899-12-30T10:00:00"/>
    <d v="2026-05-21T00:00:00"/>
    <d v="1899-12-30T14:00:00"/>
    <x v="5"/>
    <s v="431 ОК– КРС Подготовка УЭЦН "/>
    <x v="9"/>
    <n v="0.1666666666666667"/>
    <x v="8"/>
  </r>
  <r>
    <s v="ГДТ"/>
    <s v="КРС"/>
    <s v="Казанское"/>
    <n v="1"/>
    <x v="1"/>
    <x v="2"/>
    <m/>
    <x v="3"/>
    <m/>
    <m/>
    <m/>
    <x v="2"/>
    <s v="Штатно"/>
    <x v="0"/>
    <x v="4"/>
    <x v="8"/>
    <s v="Технологический_инструмент"/>
    <x v="4"/>
    <m/>
    <s v="Монтаж Трилл-СВ 9 секций + муфта + НКТ-73 2 шт + КГП + РЗП + ВНН5-80-2400 (ПЭД, гидрозащита). Долив 1,5 м³."/>
    <n v="4"/>
    <m/>
    <m/>
    <x v="1"/>
    <m/>
    <m/>
    <m/>
    <m/>
    <m/>
    <m/>
    <n v="0"/>
    <d v="2026-05-21T14:00:00"/>
    <x v="85"/>
    <n v="0.1666666666666667"/>
    <n v="18.91666666666666"/>
    <x v="0"/>
    <n v="4"/>
    <n v="0"/>
    <n v="0"/>
    <n v="126"/>
    <n v="145.2172"/>
    <x v="19"/>
    <d v="1899-12-30T14:00:00"/>
    <d v="2026-05-21T00:00:00"/>
    <d v="1899-12-30T18:00:00"/>
    <x v="5"/>
    <s v="431 ОК– КРС Сборка УЭЦН "/>
    <x v="36"/>
    <n v="0.1666666666666667"/>
    <x v="9"/>
  </r>
  <r>
    <s v="ГДТ"/>
    <s v="КРС"/>
    <s v="Казанское"/>
    <n v="1"/>
    <x v="1"/>
    <x v="2"/>
    <m/>
    <x v="3"/>
    <m/>
    <m/>
    <m/>
    <x v="2"/>
    <s v="Штатно"/>
    <x v="0"/>
    <x v="3"/>
    <x v="9"/>
    <s v="Технологический_инструмент"/>
    <x v="4"/>
    <n v="1"/>
    <s v="Монтаж ЭЦН 100%. Монтаж и опрессовка компоновки (ЭЦН + 3 НКТ + КОШ-73 + 1 НКТ + КОШ UCV + АШУ + 1 НКТ + СК-73 + 1 НКТ) на 20 МПа. Спуск 4 шт (41,89 м), долив 0,9 м³."/>
    <n v="4"/>
    <m/>
    <m/>
    <x v="1"/>
    <m/>
    <m/>
    <m/>
    <m/>
    <m/>
    <m/>
    <n v="0"/>
    <d v="2026-05-21T18:00:00"/>
    <x v="86"/>
    <n v="0.1666666666666667"/>
    <n v="19.08333333333333"/>
    <x v="0"/>
    <n v="4"/>
    <n v="0"/>
    <n v="0"/>
    <n v="126"/>
    <n v="145.2172"/>
    <x v="19"/>
    <d v="1899-12-30T18:00:00"/>
    <d v="2026-05-21T00:00:00"/>
    <d v="1899-12-30T22:00:00"/>
    <x v="5"/>
    <s v="431 ОК– КРС Спуск УЭЦН 1"/>
    <x v="37"/>
    <n v="0.1666666666666667"/>
    <x v="10"/>
  </r>
  <r>
    <s v="ГДТ"/>
    <s v="КРС"/>
    <s v="Казанское"/>
    <n v="1"/>
    <x v="1"/>
    <x v="3"/>
    <m/>
    <x v="0"/>
    <m/>
    <m/>
    <m/>
    <x v="2"/>
    <s v="Штатно"/>
    <x v="0"/>
    <x v="3"/>
    <x v="9"/>
    <s v="Технологический_инструмент"/>
    <x v="4"/>
    <n v="1"/>
    <s v="Спуск 61 шт (637 м), долив 0,7 м³."/>
    <n v="2"/>
    <m/>
    <m/>
    <x v="1"/>
    <m/>
    <m/>
    <m/>
    <m/>
    <m/>
    <m/>
    <n v="0"/>
    <d v="2026-05-21T22:00:00"/>
    <x v="87"/>
    <n v="0.08333333333333333"/>
    <n v="19.16666666666666"/>
    <x v="0"/>
    <n v="2"/>
    <n v="0"/>
    <n v="0"/>
    <n v="126"/>
    <n v="145.2172"/>
    <x v="19"/>
    <d v="1899-12-30T22:00:00"/>
    <d v="2026-05-22T00:00:00"/>
    <d v="1899-12-31T00:00:00"/>
    <x v="6"/>
    <s v="431 ОК– КРС Спуск УЭЦН 1"/>
    <x v="37"/>
    <n v="0.25"/>
    <x v="10"/>
  </r>
  <r>
    <s v="ГДТ"/>
    <s v="КРС"/>
    <s v="Казанское"/>
    <n v="1"/>
    <x v="1"/>
    <x v="3"/>
    <m/>
    <x v="0"/>
    <m/>
    <m/>
    <m/>
    <x v="2"/>
    <s v="Штатно"/>
    <x v="0"/>
    <x v="3"/>
    <x v="9"/>
    <s v="Технологический_инструмент"/>
    <x v="4"/>
    <n v="1"/>
    <m/>
    <n v="5"/>
    <m/>
    <m/>
    <x v="1"/>
    <m/>
    <m/>
    <m/>
    <m/>
    <m/>
    <m/>
    <n v="0"/>
    <d v="2026-05-22T00:00:00"/>
    <x v="88"/>
    <n v="0.2083333333333333"/>
    <n v="19.37499999999999"/>
    <x v="0"/>
    <n v="5"/>
    <n v="0"/>
    <n v="0"/>
    <n v="126"/>
    <n v="145.2172"/>
    <x v="20"/>
    <d v="1899-12-31T00:00:00"/>
    <d v="2026-05-22T00:00:00"/>
    <d v="1899-12-30T05:00:00"/>
    <x v="6"/>
    <s v="431 ОК– КРС Спуск УЭЦН 1"/>
    <x v="37"/>
    <n v="0.4583333333333334"/>
    <x v="10"/>
  </r>
  <r>
    <s v="ГДТ"/>
    <s v="КРС"/>
    <s v="Казанское"/>
    <n v="1"/>
    <x v="1"/>
    <x v="3"/>
    <m/>
    <x v="0"/>
    <m/>
    <m/>
    <m/>
    <x v="2"/>
    <s v="Штатно"/>
    <x v="0"/>
    <x v="3"/>
    <x v="9"/>
    <s v="Технологический_инструмент"/>
    <x v="4"/>
    <n v="1"/>
    <s v="Спуск 97 шт (1014 м), опрессовка НКТ на 600 м (6 МПа), долив 0,5 м³."/>
    <n v="5"/>
    <m/>
    <m/>
    <x v="1"/>
    <m/>
    <m/>
    <m/>
    <m/>
    <m/>
    <m/>
    <n v="0"/>
    <d v="2026-05-22T05:00:00"/>
    <x v="89"/>
    <n v="0.2083333333333333"/>
    <n v="19.58333333333332"/>
    <x v="0"/>
    <n v="5"/>
    <n v="0"/>
    <n v="0"/>
    <n v="126"/>
    <n v="145.2172"/>
    <x v="20"/>
    <d v="1899-12-30T05:00:00"/>
    <d v="2026-05-22T00:00:00"/>
    <d v="1899-12-30T10:00:00"/>
    <x v="6"/>
    <s v="431 ОК– КРС Спуск УЭЦН 1"/>
    <x v="37"/>
    <n v="0.6666666666666667"/>
    <x v="10"/>
  </r>
  <r>
    <s v="ГДТ"/>
    <s v="КРС"/>
    <s v="Казанское"/>
    <n v="1"/>
    <x v="1"/>
    <x v="2"/>
    <m/>
    <x v="3"/>
    <m/>
    <m/>
    <m/>
    <x v="2"/>
    <s v="Штатно"/>
    <x v="0"/>
    <x v="3"/>
    <x v="9"/>
    <s v="Технологический_инструмент"/>
    <x v="4"/>
    <n v="1"/>
    <s v="Спуск 26 шт (общ. 123 шт, гл.1286,53 м), опрессовка НКТ, долив 0,4 м³."/>
    <n v="4"/>
    <m/>
    <m/>
    <x v="1"/>
    <m/>
    <m/>
    <m/>
    <m/>
    <m/>
    <m/>
    <n v="0"/>
    <d v="2026-05-22T10:00:00"/>
    <x v="90"/>
    <n v="0.1666666666666667"/>
    <n v="19.74999999999999"/>
    <x v="0"/>
    <n v="4"/>
    <n v="0"/>
    <n v="0"/>
    <n v="126"/>
    <n v="145.2172"/>
    <x v="20"/>
    <d v="1899-12-30T10:00:00"/>
    <d v="2026-05-22T00:00:00"/>
    <d v="1899-12-30T14:00:00"/>
    <x v="5"/>
    <s v="431 ОК– КРС Спуск УЭЦН 1"/>
    <x v="37"/>
    <n v="0.8333333333333334"/>
    <x v="10"/>
  </r>
  <r>
    <s v="ГДТ"/>
    <s v="КРС"/>
    <s v="Казанское"/>
    <n v="1"/>
    <x v="1"/>
    <x v="2"/>
    <m/>
    <x v="3"/>
    <m/>
    <m/>
    <m/>
    <x v="2"/>
    <s v="Штатно"/>
    <x v="0"/>
    <x v="3"/>
    <x v="9"/>
    <s v="Технологический_инструмент"/>
    <x v="4"/>
    <n v="1"/>
    <s v="Спуск 38 шт (общ. 161 шт, гл.1684 м), долив 0,4 м³."/>
    <n v="4"/>
    <m/>
    <m/>
    <x v="0"/>
    <m/>
    <m/>
    <m/>
    <m/>
    <m/>
    <m/>
    <n v="0"/>
    <d v="2026-05-22T14:00:00"/>
    <x v="91"/>
    <n v="0.1666666666666667"/>
    <n v="19.91666666666666"/>
    <x v="1"/>
    <n v="1.593599999999999"/>
    <n v="2.406400000000001"/>
    <n v="0"/>
    <n v="126"/>
    <n v="147.6236"/>
    <x v="20"/>
    <d v="1899-12-30T14:00:00"/>
    <d v="2026-05-22T00:00:00"/>
    <d v="1899-12-30T18:00:00"/>
    <x v="5"/>
    <s v="431 ОК– КРС Спуск УЭЦН 1"/>
    <x v="11"/>
    <n v="1"/>
    <x v="10"/>
  </r>
  <r>
    <s v="ГДТ"/>
    <s v="КРС"/>
    <s v="Казанское"/>
    <n v="1"/>
    <x v="1"/>
    <x v="2"/>
    <m/>
    <x v="3"/>
    <m/>
    <m/>
    <m/>
    <x v="0"/>
    <s v="Штатно"/>
    <x v="0"/>
    <x v="1"/>
    <x v="10"/>
    <s v="Оборудование"/>
    <x v="0"/>
    <m/>
    <s v="НЕТ ДАННЫХ"/>
    <n v="6"/>
    <m/>
    <m/>
    <x v="1"/>
    <m/>
    <m/>
    <m/>
    <m/>
    <m/>
    <m/>
    <n v="0"/>
    <d v="2026-05-22T18:00:00"/>
    <x v="92"/>
    <n v="0.25"/>
    <n v="20.16666666666666"/>
    <x v="1"/>
    <n v="5.2752"/>
    <n v="0.7248000000000001"/>
    <n v="0"/>
    <n v="126"/>
    <n v="148.3484"/>
    <x v="20"/>
    <d v="1899-12-30T18:00:00"/>
    <d v="2026-05-23T00:00:00"/>
    <d v="1899-12-31T00:00:00"/>
    <x v="5"/>
    <s v="431 ОК– ДПМ Демонтаж УПА "/>
    <x v="16"/>
    <n v="1.4375"/>
    <x v="15"/>
  </r>
  <r>
    <s v="ГДТ"/>
    <s v="КРС"/>
    <s v="Казанское"/>
    <n v="1"/>
    <x v="1"/>
    <x v="3"/>
    <m/>
    <x v="0"/>
    <m/>
    <m/>
    <m/>
    <x v="0"/>
    <s v="Штатно"/>
    <x v="0"/>
    <x v="1"/>
    <x v="10"/>
    <s v="Оборудование"/>
    <x v="0"/>
    <m/>
    <s v="НЕТ ДАННЫХ"/>
    <n v="24"/>
    <m/>
    <m/>
    <x v="1"/>
    <m/>
    <m/>
    <m/>
    <m/>
    <m/>
    <m/>
    <n v="0"/>
    <d v="2026-05-23T00:00:00"/>
    <x v="93"/>
    <n v="1"/>
    <n v="21.16666666666666"/>
    <x v="1"/>
    <n v="0"/>
    <n v="24"/>
    <n v="0"/>
    <n v="126"/>
    <n v="172.3484"/>
    <x v="21"/>
    <d v="1899-12-31T00:00:00"/>
    <d v="2026-05-24T00:00:00"/>
    <d v="1899-12-31T00:00:00"/>
    <x v="6"/>
    <s v="431 ОК– ДПМ Демонтаж УПА "/>
    <x v="16"/>
    <n v="1.4375"/>
    <x v="15"/>
  </r>
  <r>
    <s v="ГДТ"/>
    <s v="КРС"/>
    <s v="Казанское"/>
    <n v="1"/>
    <x v="1"/>
    <x v="3"/>
    <m/>
    <x v="0"/>
    <m/>
    <m/>
    <m/>
    <x v="0"/>
    <s v="Штатно"/>
    <x v="0"/>
    <x v="1"/>
    <x v="10"/>
    <s v="Оборудование"/>
    <x v="0"/>
    <m/>
    <s v="НЕТ ДАННЫХ"/>
    <n v="4.5"/>
    <m/>
    <m/>
    <x v="1"/>
    <m/>
    <m/>
    <m/>
    <m/>
    <m/>
    <m/>
    <n v="0"/>
    <d v="2026-05-24T00:00:00"/>
    <x v="94"/>
    <n v="0.1875"/>
    <n v="21.35416666666666"/>
    <x v="1"/>
    <n v="0"/>
    <n v="4.5"/>
    <n v="0"/>
    <n v="126"/>
    <n v="176.8484"/>
    <x v="22"/>
    <d v="1899-12-31T00:00:00"/>
    <d v="2026-05-24T00:00:00"/>
    <d v="1899-12-30T04:30:00"/>
    <x v="6"/>
    <s v="431 ОК– ДПМ Демонтаж УПА "/>
    <x v="16"/>
    <n v="1.4375"/>
    <x v="15"/>
  </r>
  <r>
    <s v="ГДТ"/>
    <s v="КРС"/>
    <s v="Казанское"/>
    <n v="1"/>
    <x v="2"/>
    <x v="3"/>
    <m/>
    <x v="0"/>
    <m/>
    <m/>
    <m/>
    <x v="0"/>
    <s v="Штатно"/>
    <x v="0"/>
    <x v="0"/>
    <x v="0"/>
    <s v="Оборудование"/>
    <x v="0"/>
    <m/>
    <s v="Переезд бригады на скв. №851 (9 рейсов, L=0,015 км). Расстановка оборудования (9 шт.), установка заземлений (9 шт.), подключение (4 шт.), установка подставок под кабель (5 шт.), демонтаж 2‑х лубрикаторных площадок, монтаж 1 защитного колпака"/>
    <n v="3.5"/>
    <m/>
    <m/>
    <x v="1"/>
    <m/>
    <m/>
    <m/>
    <m/>
    <m/>
    <m/>
    <n v="0"/>
    <d v="2026-05-24T04:30:00"/>
    <x v="95"/>
    <n v="0.1458333333333333"/>
    <n v="21.49999999999999"/>
    <x v="1"/>
    <n v="0.8700000000000001"/>
    <n v="2.63"/>
    <n v="0"/>
    <n v="0"/>
    <n v="2.63"/>
    <x v="22"/>
    <d v="1899-12-30T04:30:00"/>
    <d v="2026-05-24T00:00:00"/>
    <d v="1899-12-30T08:00:00"/>
    <x v="6"/>
    <s v="851 ОК– ДПМ Передвижка УПА "/>
    <x v="1"/>
    <n v="0.1458333333333333"/>
    <x v="0"/>
  </r>
  <r>
    <s v="ГДТ"/>
    <s v="КРС"/>
    <s v="Казанское"/>
    <n v="1"/>
    <x v="2"/>
    <x v="2"/>
    <m/>
    <x v="3"/>
    <m/>
    <m/>
    <m/>
    <x v="1"/>
    <s v="Штатно"/>
    <x v="0"/>
    <x v="2"/>
    <x v="14"/>
    <s v="Объекты_промывка_СО"/>
    <x v="9"/>
    <m/>
    <s v="Монтаж линии набора воды, набор тех. воды 66,2 м³ (ρ=1,01), обработка ПАВ СНПХ-ПКД 0,03%, отбор пробы"/>
    <n v="10"/>
    <m/>
    <m/>
    <x v="1"/>
    <m/>
    <m/>
    <m/>
    <m/>
    <m/>
    <m/>
    <n v="0"/>
    <d v="2026-05-24T08:00:00"/>
    <x v="96"/>
    <n v="0.4166666666666667"/>
    <n v="21.91666666666666"/>
    <x v="0"/>
    <n v="10"/>
    <n v="0"/>
    <n v="0"/>
    <n v="0"/>
    <n v="2.63"/>
    <x v="22"/>
    <d v="1899-12-30T08:00:00"/>
    <d v="2026-05-24T00:00:00"/>
    <d v="1899-12-30T18:00:00"/>
    <x v="5"/>
    <s v="851 ОК– ПР Завоз Тех. вода "/>
    <x v="17"/>
    <n v="0.4166666666666667"/>
    <x v="16"/>
  </r>
  <r>
    <s v="ГДТ"/>
    <s v="КРС"/>
    <s v="Казанское"/>
    <n v="1"/>
    <x v="2"/>
    <x v="2"/>
    <m/>
    <x v="3"/>
    <m/>
    <m/>
    <m/>
    <x v="1"/>
    <s v="Штатно"/>
    <x v="0"/>
    <x v="6"/>
    <x v="16"/>
    <s v="Объекты_устье"/>
    <x v="8"/>
    <m/>
    <s v="Опрессовка лифта НКТП на 6 МПа (негерметично), опрессовка обратного клапана ФА на 4 МПа (негерметично). Демонтаж оборудования КИПа, метанольных линий"/>
    <n v="1"/>
    <m/>
    <m/>
    <x v="1"/>
    <m/>
    <m/>
    <m/>
    <m/>
    <m/>
    <m/>
    <n v="0"/>
    <d v="2026-05-24T18:00:00"/>
    <x v="97"/>
    <n v="0.04166666666666666"/>
    <n v="21.95833333333333"/>
    <x v="1"/>
    <n v="0.71"/>
    <n v="0.29"/>
    <n v="0"/>
    <n v="0"/>
    <n v="2.92"/>
    <x v="22"/>
    <d v="1899-12-30T18:00:00"/>
    <d v="2026-05-24T00:00:00"/>
    <d v="1899-12-30T19:00:00"/>
    <x v="5"/>
    <s v="851 ОК– ПР Опрессовка Фонтанная арматура "/>
    <x v="20"/>
    <n v="0.04166666666666666"/>
    <x v="18"/>
  </r>
  <r>
    <s v="ГДТ"/>
    <s v="КРС"/>
    <s v="Казанское"/>
    <n v="1"/>
    <x v="2"/>
    <x v="2"/>
    <m/>
    <x v="3"/>
    <m/>
    <m/>
    <m/>
    <x v="1"/>
    <s v="Штатно"/>
    <x v="0"/>
    <x v="9"/>
    <x v="19"/>
    <s v="Скважина_ствол"/>
    <x v="13"/>
    <m/>
    <s v="Глушение скважины обратной промывкой раствором 1,01 г/см³, V=21 м³ (продолжение)"/>
    <n v="5"/>
    <m/>
    <m/>
    <x v="1"/>
    <m/>
    <m/>
    <m/>
    <m/>
    <m/>
    <m/>
    <n v="0"/>
    <d v="2026-05-24T19:00:00"/>
    <x v="98"/>
    <n v="0.2083333333333333"/>
    <n v="22.16666666666666"/>
    <x v="1"/>
    <n v="5"/>
    <n v="0"/>
    <n v="0"/>
    <n v="0"/>
    <n v="2.92"/>
    <x v="22"/>
    <d v="1899-12-30T19:00:00"/>
    <d v="2026-05-25T00:00:00"/>
    <d v="1899-12-31T00:00:00"/>
    <x v="5"/>
    <s v="851 ОК– ПР Обратная промывка Скважина "/>
    <x v="38"/>
    <n v="0.5416666666666666"/>
    <x v="24"/>
  </r>
  <r>
    <s v="ГДТ"/>
    <s v="КРС"/>
    <s v="Казанское"/>
    <n v="1"/>
    <x v="2"/>
    <x v="3"/>
    <m/>
    <x v="0"/>
    <m/>
    <m/>
    <m/>
    <x v="1"/>
    <s v="Штатно"/>
    <x v="0"/>
    <x v="9"/>
    <x v="19"/>
    <s v="Скважина_ствол"/>
    <x v="13"/>
    <m/>
    <s v="Глушение скважины обратной промывкой раствором 1,01 г/см³, V=35 м³ (общ. 56,2 м³), рост давления до 10 МПа. Технологическая стоянка 3 ч, разрядка с 4 до 0 МПа, выход конденсата+газ"/>
    <n v="8"/>
    <m/>
    <m/>
    <x v="1"/>
    <m/>
    <m/>
    <m/>
    <m/>
    <m/>
    <m/>
    <n v="0"/>
    <d v="2026-05-25T00:00:00"/>
    <x v="99"/>
    <n v="0.3333333333333333"/>
    <n v="22.49999999999999"/>
    <x v="1"/>
    <n v="3.550000000000001"/>
    <n v="4.449999999999999"/>
    <n v="0"/>
    <n v="0"/>
    <n v="7.369999999999999"/>
    <x v="23"/>
    <d v="1899-12-31T00:00:00"/>
    <d v="2026-05-25T00:00:00"/>
    <d v="1899-12-30T08:00:00"/>
    <x v="6"/>
    <s v="851 ОК– ПР Обратная промывка Скважина "/>
    <x v="38"/>
    <n v="0.5416666666666666"/>
    <x v="24"/>
  </r>
  <r>
    <s v="ГДТ"/>
    <s v="КРС"/>
    <s v="Казанское"/>
    <n v="1"/>
    <x v="2"/>
    <x v="2"/>
    <m/>
    <x v="3"/>
    <m/>
    <m/>
    <m/>
    <x v="1"/>
    <s v="Штатно"/>
    <x v="0"/>
    <x v="1"/>
    <x v="1"/>
    <s v="Оборудование"/>
    <x v="0"/>
    <m/>
    <s v="Монтаж УПРС-80 (30%), подвоз грунта и отсыпка территории под приёмный мост и 3 стеллажа"/>
    <n v="6"/>
    <m/>
    <m/>
    <x v="1"/>
    <m/>
    <m/>
    <m/>
    <m/>
    <m/>
    <m/>
    <n v="0"/>
    <d v="2026-05-25T08:00:00"/>
    <x v="100"/>
    <n v="0.25"/>
    <n v="22.74999999999999"/>
    <x v="1"/>
    <n v="6"/>
    <n v="0"/>
    <n v="0"/>
    <n v="0"/>
    <n v="7.369999999999999"/>
    <x v="23"/>
    <d v="1899-12-30T08:00:00"/>
    <d v="2026-05-25T00:00:00"/>
    <d v="1899-12-30T14:00:00"/>
    <x v="5"/>
    <s v="851 ОК– ПР Монтаж УПА "/>
    <x v="3"/>
    <n v="0.4375"/>
    <x v="2"/>
  </r>
  <r>
    <s v="ГДТ"/>
    <s v="КРС"/>
    <s v="Казанское"/>
    <n v="1"/>
    <x v="2"/>
    <x v="2"/>
    <m/>
    <x v="3"/>
    <m/>
    <m/>
    <m/>
    <x v="1"/>
    <s v="Орг_простой"/>
    <x v="0"/>
    <x v="10"/>
    <x v="22"/>
    <s v="Орг_логист_объекты"/>
    <x v="15"/>
    <m/>
    <s v="Приостановка работ в связи с проведением ингибиторной обработки ПЗП на скв.188 кп 3 бис"/>
    <n v="5.5"/>
    <m/>
    <m/>
    <x v="1"/>
    <m/>
    <m/>
    <m/>
    <m/>
    <m/>
    <m/>
    <n v="0"/>
    <d v="2026-05-25T14:00:00"/>
    <x v="101"/>
    <n v="0.2291666666666667"/>
    <n v="22.97916666666666"/>
    <x v="2"/>
    <n v="0"/>
    <n v="0"/>
    <n v="5.5"/>
    <n v="5.5"/>
    <n v="7.369999999999999"/>
    <x v="23"/>
    <d v="1899-12-30T14:00:00"/>
    <d v="2026-05-25T00:00:00"/>
    <d v="1899-12-30T19:30:00"/>
    <x v="5"/>
    <s v="851 ОК– ПР Орг_простой  Ожидание Персонал "/>
    <x v="39"/>
    <n v="0.2291666666666667"/>
    <x v="29"/>
  </r>
  <r>
    <s v="ГДТ"/>
    <s v="КРС"/>
    <s v="Казанское"/>
    <n v="1"/>
    <x v="2"/>
    <x v="2"/>
    <m/>
    <x v="3"/>
    <m/>
    <m/>
    <m/>
    <x v="1"/>
    <s v="Штатно"/>
    <x v="0"/>
    <x v="1"/>
    <x v="1"/>
    <s v="Оборудование"/>
    <x v="0"/>
    <m/>
    <s v="Монтаж УПРС-80 (90%), долив скважины V=0,5 м³ (общий долив 3 м³)"/>
    <n v="4.5"/>
    <m/>
    <m/>
    <x v="1"/>
    <m/>
    <m/>
    <m/>
    <m/>
    <m/>
    <m/>
    <n v="0"/>
    <d v="2026-05-25T19:30:00"/>
    <x v="102"/>
    <n v="0.1875"/>
    <n v="23.16666666666666"/>
    <x v="1"/>
    <n v="2.109999999999999"/>
    <n v="2.390000000000001"/>
    <n v="0"/>
    <n v="5.5"/>
    <n v="9.76"/>
    <x v="23"/>
    <d v="1899-12-30T19:30:00"/>
    <d v="2026-05-26T00:00:00"/>
    <d v="1899-12-31T00:00:00"/>
    <x v="5"/>
    <s v="851 ОК– ПР Монтаж УПА "/>
    <x v="3"/>
    <n v="0.4375"/>
    <x v="2"/>
  </r>
  <r>
    <s v="ГДТ"/>
    <s v="КРС"/>
    <s v="Казанское"/>
    <n v="1"/>
    <x v="2"/>
    <x v="3"/>
    <m/>
    <x v="0"/>
    <m/>
    <m/>
    <m/>
    <x v="1"/>
    <s v="Штатно"/>
    <x v="0"/>
    <x v="0"/>
    <x v="23"/>
    <s v="Орг_логист_объекты"/>
    <x v="16"/>
    <m/>
    <s v="Устранение пунктов, выписанных пусковой комиссией"/>
    <n v="8"/>
    <m/>
    <m/>
    <x v="1"/>
    <m/>
    <m/>
    <m/>
    <m/>
    <m/>
    <m/>
    <n v="0"/>
    <d v="2026-05-26T00:00:00"/>
    <x v="103"/>
    <n v="0.3333333333333333"/>
    <n v="23.49999999999999"/>
    <x v="2"/>
    <n v="0"/>
    <n v="0"/>
    <n v="8"/>
    <n v="13.5"/>
    <n v="9.76"/>
    <x v="24"/>
    <d v="1899-12-31T00:00:00"/>
    <d v="2026-05-26T00:00:00"/>
    <d v="1899-12-30T08:00:00"/>
    <x v="6"/>
    <s v="851 ОК– ПР Рабочая комиссия Разрешительная документация "/>
    <x v="40"/>
    <n v="0.3333333333333333"/>
    <x v="30"/>
  </r>
  <r>
    <s v="ГДТ"/>
    <s v="КРС"/>
    <s v="Казанское"/>
    <n v="1"/>
    <x v="2"/>
    <x v="2"/>
    <m/>
    <x v="3"/>
    <m/>
    <m/>
    <m/>
    <x v="1"/>
    <s v="Орг_простой"/>
    <x v="0"/>
    <x v="10"/>
    <x v="22"/>
    <s v="Орг_логист_объекты"/>
    <x v="17"/>
    <m/>
    <s v="Запрет на рубку кабеля, ожидание завоза НКТ-73 (5 шт.), получение разрешения на демонтаж ФА и монтаж ПВО"/>
    <n v="10"/>
    <m/>
    <m/>
    <x v="1"/>
    <m/>
    <m/>
    <m/>
    <m/>
    <m/>
    <m/>
    <n v="0"/>
    <d v="2026-05-26T08:00:00"/>
    <x v="104"/>
    <n v="0.4166666666666667"/>
    <n v="23.91666666666666"/>
    <x v="2"/>
    <n v="0"/>
    <n v="0"/>
    <n v="10"/>
    <n v="23.5"/>
    <n v="9.76"/>
    <x v="24"/>
    <d v="1899-12-30T08:00:00"/>
    <d v="2026-05-26T00:00:00"/>
    <d v="1899-12-30T18:00:00"/>
    <x v="5"/>
    <s v="851 ОК– ПР Орг_простой  Ожидание МТР "/>
    <x v="41"/>
    <n v="0.4166666666666667"/>
    <x v="31"/>
  </r>
  <r>
    <s v="ГДТ"/>
    <s v="КРС"/>
    <s v="Казанское"/>
    <n v="1"/>
    <x v="2"/>
    <x v="2"/>
    <m/>
    <x v="3"/>
    <m/>
    <m/>
    <m/>
    <x v="2"/>
    <s v="Штатно"/>
    <x v="0"/>
    <x v="1"/>
    <x v="10"/>
    <s v="Объекты_устье"/>
    <x v="8"/>
    <m/>
    <s v="Получение разрешения на демонтаж ФА, монтаж ПВО. Подрыв ПШ (G=43 тн). Демонтаж КВ, протаскивание кабеля, демонтаж ФА"/>
    <n v="2.5"/>
    <m/>
    <m/>
    <x v="1"/>
    <m/>
    <m/>
    <m/>
    <m/>
    <m/>
    <m/>
    <n v="0"/>
    <d v="2026-05-26T18:00:00"/>
    <x v="105"/>
    <n v="0.1041666666666667"/>
    <n v="24.02083333333333"/>
    <x v="1"/>
    <n v="2.29"/>
    <n v="0.21"/>
    <n v="0"/>
    <n v="23.5"/>
    <n v="9.969999999999999"/>
    <x v="24"/>
    <d v="1899-12-30T18:00:00"/>
    <d v="2026-05-26T00:00:00"/>
    <d v="1899-12-30T20:30:00"/>
    <x v="5"/>
    <s v="851 ОК– КРС Демонтаж Фонтанная арматура "/>
    <x v="42"/>
    <n v="0.1041666666666667"/>
    <x v="32"/>
  </r>
  <r>
    <s v="ГДТ"/>
    <s v="КРС"/>
    <s v="Казанское"/>
    <n v="1"/>
    <x v="2"/>
    <x v="2"/>
    <m/>
    <x v="3"/>
    <m/>
    <m/>
    <m/>
    <x v="2"/>
    <s v="Штатно"/>
    <x v="0"/>
    <x v="1"/>
    <x v="1"/>
    <s v="Объекты_устье"/>
    <x v="12"/>
    <m/>
    <s v="Монтаж 2 отбойных щитов, штурвалов, подключение СУП, монтаж выносного пульта, монтаж ПВО (100%)"/>
    <n v="1.5"/>
    <m/>
    <m/>
    <x v="1"/>
    <m/>
    <m/>
    <m/>
    <m/>
    <m/>
    <m/>
    <n v="0"/>
    <d v="2026-05-26T20:30:00"/>
    <x v="106"/>
    <n v="0.0625"/>
    <n v="24.08333333333333"/>
    <x v="1"/>
    <n v="1.35"/>
    <n v="0.1499999999999999"/>
    <n v="0"/>
    <n v="23.5"/>
    <n v="10.12"/>
    <x v="24"/>
    <d v="1899-12-30T20:30:00"/>
    <d v="2026-05-26T00:00:00"/>
    <d v="1899-12-30T22:00:00"/>
    <x v="5"/>
    <s v="851 ОК– КРС Монтаж ПВО "/>
    <x v="43"/>
    <n v="0.0625"/>
    <x v="33"/>
  </r>
  <r>
    <s v="ГДТ"/>
    <s v="КРС"/>
    <s v="Казанское"/>
    <n v="1"/>
    <x v="2"/>
    <x v="3"/>
    <m/>
    <x v="0"/>
    <m/>
    <m/>
    <m/>
    <x v="2"/>
    <s v="Штатно"/>
    <x v="0"/>
    <x v="3"/>
    <x v="9"/>
    <s v="Технологический_инструмент"/>
    <x v="14"/>
    <m/>
    <s v="Спуск пакера на глубину 30 м. Подготовка к опрессовке ПВО"/>
    <n v="2"/>
    <m/>
    <m/>
    <x v="1"/>
    <m/>
    <m/>
    <m/>
    <m/>
    <m/>
    <m/>
    <n v="0"/>
    <d v="2026-05-26T22:00:00"/>
    <x v="107"/>
    <n v="0.08333333333333333"/>
    <n v="24.16666666666666"/>
    <x v="1"/>
    <n v="0.97"/>
    <n v="1.03"/>
    <n v="0"/>
    <n v="23.5"/>
    <n v="11.15"/>
    <x v="24"/>
    <d v="1899-12-30T22:00:00"/>
    <d v="2026-05-27T00:00:00"/>
    <d v="1899-12-31T00:00:00"/>
    <x v="6"/>
    <s v="851 ОК– КРС Спуск Пакер "/>
    <x v="31"/>
    <n v="0.08333333333333333"/>
    <x v="26"/>
  </r>
  <r>
    <s v="ГДТ"/>
    <s v="КРС"/>
    <s v="Казанское"/>
    <n v="1"/>
    <x v="2"/>
    <x v="3"/>
    <m/>
    <x v="0"/>
    <m/>
    <m/>
    <m/>
    <x v="2"/>
    <s v="Орг_простой"/>
    <x v="0"/>
    <x v="10"/>
    <x v="22"/>
    <s v="Орг_логист_объекты"/>
    <x v="18"/>
    <m/>
    <s v="Ожидание спецтехники (ЦА-320) для опрессовки"/>
    <n v="4"/>
    <m/>
    <m/>
    <x v="1"/>
    <m/>
    <m/>
    <m/>
    <m/>
    <m/>
    <m/>
    <n v="0"/>
    <d v="2026-05-27T00:00:00"/>
    <x v="108"/>
    <n v="0.1666666666666667"/>
    <n v="24.33333333333333"/>
    <x v="2"/>
    <n v="0"/>
    <n v="0"/>
    <n v="4"/>
    <n v="27.5"/>
    <n v="11.15"/>
    <x v="25"/>
    <d v="1899-12-31T00:00:00"/>
    <d v="2026-05-27T00:00:00"/>
    <d v="1899-12-30T04:00:00"/>
    <x v="6"/>
    <s v="851 ОК– КРС Орг_простой  Ожидание Техника "/>
    <x v="44"/>
    <n v="0.1666666666666667"/>
    <x v="34"/>
  </r>
  <r>
    <s v="ГДТ"/>
    <s v="КРС"/>
    <s v="Казанское"/>
    <n v="1"/>
    <x v="2"/>
    <x v="3"/>
    <m/>
    <x v="0"/>
    <m/>
    <m/>
    <m/>
    <x v="2"/>
    <s v="Штатно"/>
    <x v="0"/>
    <x v="8"/>
    <x v="24"/>
    <s v="Объекты_устье"/>
    <x v="12"/>
    <m/>
    <s v="Устранение негерметичности (замена уплотнений на трубных плашках 73 мм). Опрессовка трубных плашек на 23 МПа (+). Получение разрешения на дальнейшие работы"/>
    <n v="6"/>
    <m/>
    <m/>
    <x v="1"/>
    <m/>
    <m/>
    <m/>
    <m/>
    <m/>
    <m/>
    <n v="0"/>
    <d v="2026-05-27T04:00:00"/>
    <x v="109"/>
    <n v="0.25"/>
    <n v="24.58333333333333"/>
    <x v="2"/>
    <n v="0"/>
    <n v="0"/>
    <n v="6"/>
    <n v="33.5"/>
    <n v="11.15"/>
    <x v="25"/>
    <d v="1899-12-30T04:00:00"/>
    <d v="2026-05-27T00:00:00"/>
    <d v="1899-12-30T10:00:00"/>
    <x v="6"/>
    <s v="851 ОК– КРС Ремонт ПВО "/>
    <x v="45"/>
    <n v="0.25"/>
    <x v="35"/>
  </r>
  <r>
    <s v="ГДТ"/>
    <s v="КРС"/>
    <s v="Казанское"/>
    <n v="1"/>
    <x v="2"/>
    <x v="2"/>
    <m/>
    <x v="3"/>
    <m/>
    <m/>
    <m/>
    <x v="2"/>
    <s v="Штатно"/>
    <x v="0"/>
    <x v="8"/>
    <x v="15"/>
    <s v="Объекты_устье"/>
    <x v="10"/>
    <m/>
    <s v="Опрессовка ЗД №2,3,9,10 на 23 МПа (негерметичность №3,10). Замена ЗД №3, опрессовка фланцев (+). Срыв и подъём пакера с 30 м. Подготовка к промывке"/>
    <n v="6"/>
    <m/>
    <m/>
    <x v="1"/>
    <m/>
    <m/>
    <m/>
    <m/>
    <m/>
    <m/>
    <n v="0"/>
    <d v="2026-05-27T10:00:00"/>
    <x v="110"/>
    <n v="0.25"/>
    <n v="24.83333333333333"/>
    <x v="1"/>
    <n v="2.41"/>
    <n v="3.59"/>
    <n v="0"/>
    <n v="33.5"/>
    <n v="14.74"/>
    <x v="25"/>
    <d v="1899-12-30T10:00:00"/>
    <d v="2026-05-27T00:00:00"/>
    <d v="1899-12-30T16:00:00"/>
    <x v="5"/>
    <s v="851 ОК– КРС Замена Запорная арматура "/>
    <x v="46"/>
    <n v="0.25"/>
    <x v="17"/>
  </r>
  <r>
    <s v="ГДТ"/>
    <s v="КРС"/>
    <s v="Казанское"/>
    <n v="1"/>
    <x v="2"/>
    <x v="2"/>
    <m/>
    <x v="3"/>
    <m/>
    <m/>
    <m/>
    <x v="2"/>
    <s v="Штатно"/>
    <x v="0"/>
    <x v="9"/>
    <x v="19"/>
    <s v="Скважина_ствол"/>
    <x v="13"/>
    <m/>
    <s v="Подготовка к промывке. Обратная промывка скважины раствором 1,01 г/см³ V=37,5 м³, циркуляция (+). Разрядка (+). Подготовка к подъёму ЭЦН"/>
    <n v="4"/>
    <m/>
    <m/>
    <x v="1"/>
    <m/>
    <m/>
    <m/>
    <m/>
    <m/>
    <m/>
    <n v="0"/>
    <d v="2026-05-27T16:00:00"/>
    <x v="111"/>
    <n v="0.1666666666666667"/>
    <n v="24.99999999999999"/>
    <x v="1"/>
    <n v="1.78"/>
    <n v="2.22"/>
    <n v="0"/>
    <n v="33.5"/>
    <n v="16.96"/>
    <x v="25"/>
    <d v="1899-12-30T16:00:00"/>
    <d v="2026-05-27T00:00:00"/>
    <d v="1899-12-30T20:00:00"/>
    <x v="5"/>
    <s v="851 ОК– КРС Обратная промывка Скважина "/>
    <x v="38"/>
    <n v="0.1666666666666667"/>
    <x v="24"/>
  </r>
  <r>
    <s v="ГДТ"/>
    <s v="КРС"/>
    <s v="Казанское"/>
    <n v="1"/>
    <x v="2"/>
    <x v="2"/>
    <m/>
    <x v="3"/>
    <m/>
    <m/>
    <m/>
    <x v="2"/>
    <s v="Штатно"/>
    <x v="0"/>
    <x v="3"/>
    <x v="4"/>
    <s v="Технологический_инструмент"/>
    <x v="4"/>
    <m/>
    <s v="Подъём ЭЦН с 2859,88 м до 2600 м (20 шт НКТП-73 мм). Долив 3 м³"/>
    <n v="4"/>
    <m/>
    <m/>
    <x v="1"/>
    <m/>
    <m/>
    <m/>
    <m/>
    <m/>
    <m/>
    <n v="0"/>
    <d v="2026-05-27T20:00:00"/>
    <x v="112"/>
    <n v="0.1666666666666667"/>
    <n v="25.16666666666666"/>
    <x v="1"/>
    <n v="4"/>
    <n v="0"/>
    <n v="0"/>
    <n v="33.5"/>
    <n v="16.96"/>
    <x v="25"/>
    <d v="1899-12-30T20:00:00"/>
    <d v="2026-05-28T00:00:00"/>
    <d v="1899-12-31T00:00:00"/>
    <x v="5"/>
    <s v="851 ОК– КРС Подъем УЭЦН "/>
    <x v="6"/>
    <n v="1.625"/>
    <x v="5"/>
  </r>
  <r>
    <s v="ГДТ"/>
    <s v="КРС"/>
    <s v="Казанское"/>
    <n v="1"/>
    <x v="2"/>
    <x v="3"/>
    <m/>
    <x v="0"/>
    <m/>
    <m/>
    <m/>
    <x v="2"/>
    <s v="Штатно"/>
    <x v="0"/>
    <x v="3"/>
    <x v="4"/>
    <s v="Технологический_инструмент"/>
    <x v="4"/>
    <m/>
    <s v="Подъём ЭЦН с 2600 м до 1819 м (106 шт). Долив 2 м³"/>
    <n v="8"/>
    <m/>
    <m/>
    <x v="1"/>
    <m/>
    <m/>
    <m/>
    <m/>
    <m/>
    <m/>
    <n v="0"/>
    <d v="2026-05-28T00:00:00"/>
    <x v="113"/>
    <n v="0.3333333333333333"/>
    <n v="25.49999999999999"/>
    <x v="1"/>
    <n v="8"/>
    <n v="0"/>
    <n v="0"/>
    <n v="33.5"/>
    <n v="16.96"/>
    <x v="26"/>
    <d v="1899-12-31T00:00:00"/>
    <d v="2026-05-28T00:00:00"/>
    <d v="1899-12-30T08:00:00"/>
    <x v="6"/>
    <s v="851 ОК– КРС Подъем УЭЦН "/>
    <x v="6"/>
    <n v="1.625"/>
    <x v="5"/>
  </r>
  <r>
    <s v="ГДТ"/>
    <s v="КРС"/>
    <s v="Казанское"/>
    <n v="1"/>
    <x v="2"/>
    <x v="2"/>
    <m/>
    <x v="3"/>
    <m/>
    <m/>
    <m/>
    <x v="2"/>
    <s v="Орг_простой"/>
    <x v="0"/>
    <x v="10"/>
    <x v="22"/>
    <s v="Орг_логист_объекты"/>
    <x v="15"/>
    <m/>
    <s v="Остановка работ по неполному составу вахты"/>
    <n v="9"/>
    <m/>
    <m/>
    <x v="1"/>
    <m/>
    <m/>
    <m/>
    <m/>
    <m/>
    <m/>
    <n v="0"/>
    <d v="2026-05-28T08:00:00"/>
    <x v="114"/>
    <n v="0.375"/>
    <n v="25.87499999999999"/>
    <x v="2"/>
    <n v="0"/>
    <n v="0"/>
    <n v="9"/>
    <n v="42.5"/>
    <n v="16.96"/>
    <x v="26"/>
    <d v="1899-12-30T08:00:00"/>
    <d v="2026-05-28T00:00:00"/>
    <d v="1899-12-30T17:00:00"/>
    <x v="5"/>
    <s v="851 ОК– КРС Орг_простой  Ожидание Персонал "/>
    <x v="39"/>
    <n v="0.875"/>
    <x v="29"/>
  </r>
  <r>
    <s v="ГДТ"/>
    <s v="КРС"/>
    <s v="Казанское"/>
    <n v="1"/>
    <x v="2"/>
    <x v="2"/>
    <m/>
    <x v="3"/>
    <m/>
    <m/>
    <m/>
    <x v="2"/>
    <s v="Штатно"/>
    <x v="0"/>
    <x v="3"/>
    <x v="4"/>
    <s v="Технологический_инструмент"/>
    <x v="4"/>
    <m/>
    <s v="Подъём ЭЦН с 1819 м до 1365 м, ВИК первого ряда. Долив 30 м³"/>
    <n v="7"/>
    <m/>
    <m/>
    <x v="1"/>
    <m/>
    <m/>
    <m/>
    <m/>
    <m/>
    <m/>
    <n v="0"/>
    <d v="2026-05-28T17:00:00"/>
    <x v="115"/>
    <n v="0.2916666666666667"/>
    <n v="26.16666666666666"/>
    <x v="1"/>
    <n v="7"/>
    <n v="0"/>
    <n v="0"/>
    <n v="42.5"/>
    <n v="16.96"/>
    <x v="26"/>
    <d v="1899-12-30T17:00:00"/>
    <d v="2026-05-29T00:00:00"/>
    <d v="1899-12-31T00:00:00"/>
    <x v="5"/>
    <s v="851 ОК– КРС Подъем УЭЦН "/>
    <x v="6"/>
    <n v="1.625"/>
    <x v="5"/>
  </r>
  <r>
    <s v="ГДТ"/>
    <s v="КРС"/>
    <s v="Казанское"/>
    <n v="1"/>
    <x v="2"/>
    <x v="3"/>
    <m/>
    <x v="0"/>
    <m/>
    <m/>
    <m/>
    <x v="2"/>
    <s v="Штатно"/>
    <x v="0"/>
    <x v="3"/>
    <x v="4"/>
    <s v="Технологический_инструмент"/>
    <x v="4"/>
    <m/>
    <s v="Подъём ЭЦН с 1365 м до 672,31 м (устойчивый уровень – «зеркало»), ВИК, опрессовка лифта 6 МПа (+), замер изоляции (отсутствует), сброс спецштанги Ø25 мм L=1,2 м (+). Подъём до 0 м"/>
    <n v="20"/>
    <m/>
    <m/>
    <x v="1"/>
    <m/>
    <m/>
    <m/>
    <m/>
    <m/>
    <m/>
    <n v="0"/>
    <d v="2026-05-29T00:00:00"/>
    <x v="116"/>
    <n v="0.8333333333333334"/>
    <n v="26.99999999999999"/>
    <x v="1"/>
    <n v="4.449999999999999"/>
    <n v="15.55"/>
    <n v="0"/>
    <n v="42.5"/>
    <n v="32.51"/>
    <x v="27"/>
    <d v="1899-12-31T00:00:00"/>
    <d v="2026-05-29T00:00:00"/>
    <d v="1899-12-30T20:00:00"/>
    <x v="6"/>
    <s v="851 ОК– КРС Подъем УЭЦН "/>
    <x v="6"/>
    <n v="1.625"/>
    <x v="5"/>
  </r>
  <r>
    <s v="ГДТ"/>
    <s v="КРС"/>
    <s v="Казанское"/>
    <n v="1"/>
    <x v="2"/>
    <x v="2"/>
    <m/>
    <x v="3"/>
    <m/>
    <m/>
    <m/>
    <x v="2"/>
    <s v="Штатно"/>
    <x v="0"/>
    <x v="4"/>
    <x v="5"/>
    <s v="Технологический_инструмент"/>
    <x v="4"/>
    <m/>
    <s v="Комиссионный демонтаж ЭЦН"/>
    <n v="2.5"/>
    <m/>
    <m/>
    <x v="1"/>
    <m/>
    <m/>
    <m/>
    <m/>
    <m/>
    <m/>
    <n v="0"/>
    <d v="2026-05-29T20:00:00"/>
    <x v="117"/>
    <n v="0.1041666666666667"/>
    <n v="27.10416666666666"/>
    <x v="0"/>
    <n v="2.5"/>
    <n v="0"/>
    <n v="0"/>
    <n v="42.5"/>
    <n v="32.51"/>
    <x v="27"/>
    <d v="1899-12-30T20:00:00"/>
    <d v="2026-05-29T00:00:00"/>
    <d v="1899-12-30T22:30:00"/>
    <x v="5"/>
    <s v="851 ОК– КРС Разборка УЭЦН "/>
    <x v="7"/>
    <n v="0.1041666666666667"/>
    <x v="6"/>
  </r>
  <r>
    <s v="ГДТ"/>
    <s v="КРС"/>
    <s v="Казанское"/>
    <n v="1"/>
    <x v="2"/>
    <x v="3"/>
    <m/>
    <x v="0"/>
    <m/>
    <m/>
    <m/>
    <x v="2"/>
    <s v="Штатно"/>
    <x v="0"/>
    <x v="2"/>
    <x v="7"/>
    <s v="Технологический_инструмент"/>
    <x v="4"/>
    <m/>
    <s v="Центровка мачты, разгрузка оборудования ЭЦН, подготовка к опрессовке подклапанных НКТП-73 (6 шт.)"/>
    <n v="1.5"/>
    <m/>
    <m/>
    <x v="1"/>
    <m/>
    <m/>
    <m/>
    <m/>
    <m/>
    <m/>
    <n v="0"/>
    <d v="2026-05-29T22:30:00"/>
    <x v="118"/>
    <n v="0.0625"/>
    <n v="27.16666666666666"/>
    <x v="1"/>
    <n v="0.98"/>
    <n v="0.52"/>
    <n v="0"/>
    <n v="42.5"/>
    <n v="33.03"/>
    <x v="27"/>
    <d v="1899-12-30T22:30:00"/>
    <d v="2026-05-30T00:00:00"/>
    <d v="1899-12-31T00:00:00"/>
    <x v="6"/>
    <s v="851 ОК– КРС Подготовка УЭЦН "/>
    <x v="9"/>
    <n v="0.0625"/>
    <x v="8"/>
  </r>
  <r>
    <s v="ГДТ"/>
    <s v="КРС"/>
    <s v="Казанское"/>
    <n v="1"/>
    <x v="2"/>
    <x v="3"/>
    <m/>
    <x v="0"/>
    <m/>
    <m/>
    <m/>
    <x v="2"/>
    <s v="Штатно"/>
    <x v="0"/>
    <x v="4"/>
    <x v="8"/>
    <s v="Технологический_инструмент"/>
    <x v="4"/>
    <m/>
    <s v="Опрессовка подклапанных НКТ-73 (6 шт.) на 25 МПа (+). Монтаж дополнительного оборудования + ЭЦН (ЭЦНМТ5-80/2260/8ЭДРТ-56-117)"/>
    <n v="6"/>
    <m/>
    <m/>
    <x v="1"/>
    <m/>
    <m/>
    <m/>
    <m/>
    <m/>
    <m/>
    <n v="0"/>
    <d v="2026-05-30T00:00:00"/>
    <x v="119"/>
    <n v="0.25"/>
    <n v="27.41666666666666"/>
    <x v="0"/>
    <n v="6"/>
    <n v="0"/>
    <n v="0"/>
    <n v="42.5"/>
    <n v="33.03"/>
    <x v="28"/>
    <d v="1899-12-31T00:00:00"/>
    <d v="2026-05-30T00:00:00"/>
    <d v="1899-12-30T06:00:00"/>
    <x v="6"/>
    <s v="851 ОК– КРС Сборка УЭЦН "/>
    <x v="36"/>
    <n v="0.25"/>
    <x v="9"/>
  </r>
  <r>
    <s v="ГДТ"/>
    <s v="КРС"/>
    <s v="Казанское"/>
    <n v="1"/>
    <x v="2"/>
    <x v="2"/>
    <m/>
    <x v="3"/>
    <m/>
    <m/>
    <m/>
    <x v="2"/>
    <s v="Орг_простой"/>
    <x v="0"/>
    <x v="10"/>
    <x v="22"/>
    <s v="Орг_логист_объекты"/>
    <x v="17"/>
    <m/>
    <s v="Ожидание завоза клямсевателя"/>
    <n v="3.5"/>
    <m/>
    <m/>
    <x v="1"/>
    <m/>
    <m/>
    <m/>
    <m/>
    <m/>
    <m/>
    <n v="0"/>
    <d v="2026-05-30T06:00:00"/>
    <x v="120"/>
    <n v="0.1458333333333333"/>
    <n v="27.56249999999999"/>
    <x v="2"/>
    <n v="0"/>
    <n v="0"/>
    <n v="3.5"/>
    <n v="46"/>
    <n v="33.03"/>
    <x v="28"/>
    <d v="1899-12-30T06:00:00"/>
    <d v="2026-05-30T00:00:00"/>
    <d v="1899-12-30T09:30:00"/>
    <x v="5"/>
    <s v="851 ОК– КРС Орг_простой  Ожидание МТР "/>
    <x v="41"/>
    <n v="0.1458333333333333"/>
    <x v="31"/>
  </r>
  <r>
    <s v="ГДТ"/>
    <s v="КРС"/>
    <s v="Казанское"/>
    <n v="1"/>
    <x v="2"/>
    <x v="2"/>
    <m/>
    <x v="3"/>
    <m/>
    <m/>
    <m/>
    <x v="2"/>
    <s v="Штатно"/>
    <x v="0"/>
    <x v="3"/>
    <x v="9"/>
    <s v="Технологический_инструмент"/>
    <x v="4"/>
    <m/>
    <s v="Спуск ЭЦН до глубины 877,66 м (92 шт НКТП-73 мм). Долив 38,3 м³"/>
    <n v="14.5"/>
    <m/>
    <m/>
    <x v="1"/>
    <m/>
    <m/>
    <m/>
    <m/>
    <m/>
    <m/>
    <n v="0"/>
    <d v="2026-05-30T09:30:00"/>
    <x v="121"/>
    <n v="0.6041666666666666"/>
    <n v="28.16666666666666"/>
    <x v="1"/>
    <n v="14.5"/>
    <n v="0"/>
    <n v="0"/>
    <n v="46"/>
    <n v="33.03"/>
    <x v="28"/>
    <d v="1899-12-30T09:30:00"/>
    <d v="2026-05-31T00:00:00"/>
    <d v="1899-12-31T00:00:00"/>
    <x v="5"/>
    <s v="851 ОК– КРС Спуск УЭЦН "/>
    <x v="11"/>
    <n v="1.458333333333333"/>
    <x v="10"/>
  </r>
  <r>
    <s v="ГДТ"/>
    <s v="КРС"/>
    <s v="Казанское"/>
    <n v="1"/>
    <x v="2"/>
    <x v="3"/>
    <m/>
    <x v="0"/>
    <m/>
    <m/>
    <m/>
    <x v="2"/>
    <s v="Штатно"/>
    <x v="0"/>
    <x v="3"/>
    <x v="9"/>
    <s v="Технологический_инструмент"/>
    <x v="4"/>
    <m/>
    <s v="Спуск ЭЦН до 1532,37 м (всего 160 шт). Опрессовка лифта через 600 м (6 МПа). Долив 40 м³"/>
    <n v="8"/>
    <m/>
    <m/>
    <x v="1"/>
    <m/>
    <m/>
    <m/>
    <m/>
    <m/>
    <m/>
    <n v="0"/>
    <d v="2026-05-31T00:00:00"/>
    <x v="122"/>
    <n v="0.3333333333333333"/>
    <n v="28.49999999999999"/>
    <x v="1"/>
    <n v="8"/>
    <n v="0"/>
    <n v="0"/>
    <n v="46"/>
    <n v="33.03"/>
    <x v="29"/>
    <d v="1899-12-31T00:00:00"/>
    <d v="2026-05-31T00:00:00"/>
    <d v="1899-12-30T08:00:00"/>
    <x v="6"/>
    <s v="851 ОК– КРС Спуск УЭЦН "/>
    <x v="11"/>
    <n v="1.458333333333333"/>
    <x v="10"/>
  </r>
  <r>
    <s v="ГДТ"/>
    <s v="КРС"/>
    <s v="Казанское"/>
    <n v="1"/>
    <x v="2"/>
    <x v="2"/>
    <m/>
    <x v="3"/>
    <m/>
    <m/>
    <m/>
    <x v="2"/>
    <s v="Орг_простой"/>
    <x v="0"/>
    <x v="10"/>
    <x v="22"/>
    <s v="Орг_логист_объекты"/>
    <x v="15"/>
    <m/>
    <s v="Перевахтовка, оформление и получение наряда-допуска. Долив 55 м³"/>
    <n v="12"/>
    <m/>
    <m/>
    <x v="1"/>
    <m/>
    <m/>
    <m/>
    <m/>
    <m/>
    <m/>
    <n v="0"/>
    <d v="2026-05-31T08:00:00"/>
    <x v="123"/>
    <n v="0.5"/>
    <n v="28.99999999999999"/>
    <x v="2"/>
    <n v="0"/>
    <n v="0"/>
    <n v="12"/>
    <n v="58"/>
    <n v="33.03"/>
    <x v="29"/>
    <d v="1899-12-30T08:00:00"/>
    <d v="2026-05-31T00:00:00"/>
    <d v="1899-12-30T20:00:00"/>
    <x v="5"/>
    <s v="851 ОК– КРС Орг_простой  Ожидание Персонал "/>
    <x v="39"/>
    <n v="0.875"/>
    <x v="29"/>
  </r>
  <r>
    <s v="ГДТ"/>
    <s v="КРС"/>
    <s v="Казанское"/>
    <n v="1"/>
    <x v="2"/>
    <x v="2"/>
    <m/>
    <x v="3"/>
    <m/>
    <m/>
    <m/>
    <x v="2"/>
    <s v="Штатно"/>
    <x v="0"/>
    <x v="3"/>
    <x v="9"/>
    <s v="Технологический_инструмент"/>
    <x v="4"/>
    <m/>
    <s v="Спуск ЭЦН до 1933,38 м (всего 202 шт). Долив 59 м³"/>
    <n v="4"/>
    <m/>
    <m/>
    <x v="1"/>
    <m/>
    <m/>
    <m/>
    <m/>
    <m/>
    <m/>
    <n v="0"/>
    <d v="2026-05-31T20:00:00"/>
    <x v="124"/>
    <n v="0.1666666666666667"/>
    <n v="29.16666666666666"/>
    <x v="1"/>
    <n v="4"/>
    <n v="0"/>
    <n v="0"/>
    <n v="58"/>
    <n v="33.03"/>
    <x v="29"/>
    <d v="1899-12-30T20:00:00"/>
    <d v="2026-06-01T00:00:00"/>
    <d v="1899-12-31T00:00:00"/>
    <x v="5"/>
    <s v="851 ОК– КРС Спуск УЭЦН "/>
    <x v="11"/>
    <n v="1.458333333333333"/>
    <x v="10"/>
  </r>
  <r>
    <s v="ГДТ"/>
    <s v="КРС"/>
    <s v="Казанское"/>
    <n v="1"/>
    <x v="2"/>
    <x v="3"/>
    <m/>
    <x v="0"/>
    <m/>
    <m/>
    <m/>
    <x v="2"/>
    <s v="Штатно"/>
    <x v="0"/>
    <x v="3"/>
    <x v="9"/>
    <s v="Технологический_инструмент"/>
    <x v="4"/>
    <m/>
    <s v="Спуск ЭЦН до 2226 м (всего 232 шт). Долив 62 м³"/>
    <n v="3"/>
    <m/>
    <m/>
    <x v="1"/>
    <m/>
    <m/>
    <m/>
    <m/>
    <m/>
    <m/>
    <n v="0"/>
    <d v="2026-06-01T00:00:00"/>
    <x v="125"/>
    <n v="0.125"/>
    <n v="29.29166666666666"/>
    <x v="1"/>
    <n v="0.6999999999999993"/>
    <n v="2.300000000000001"/>
    <n v="0"/>
    <n v="58"/>
    <n v="35.33"/>
    <x v="30"/>
    <d v="1899-12-31T00:00:00"/>
    <d v="2026-06-01T00:00:00"/>
    <d v="1899-12-30T03:00:00"/>
    <x v="6"/>
    <s v="851 ОК– КРС Спуск УЭЦН "/>
    <x v="11"/>
    <n v="1.458333333333333"/>
    <x v="10"/>
  </r>
  <r>
    <s v="ГДТ"/>
    <s v="КРС"/>
    <s v="Казанское"/>
    <n v="1"/>
    <x v="2"/>
    <x v="3"/>
    <m/>
    <x v="0"/>
    <m/>
    <m/>
    <m/>
    <x v="2"/>
    <s v="Штатно"/>
    <x v="0"/>
    <x v="8"/>
    <x v="24"/>
    <s v="Оборудование"/>
    <x v="0"/>
    <m/>
    <s v="Ремонт УБРСП-80 (замена ремня компрессора)"/>
    <n v="1.5"/>
    <m/>
    <m/>
    <x v="1"/>
    <m/>
    <m/>
    <m/>
    <m/>
    <m/>
    <m/>
    <n v="0"/>
    <d v="2026-06-01T03:00:00"/>
    <x v="126"/>
    <n v="0.0625"/>
    <n v="29.35416666666666"/>
    <x v="2"/>
    <n v="0"/>
    <n v="0"/>
    <n v="1.5"/>
    <n v="59.5"/>
    <n v="35.33"/>
    <x v="30"/>
    <d v="1899-12-30T03:00:00"/>
    <d v="2026-06-01T00:00:00"/>
    <d v="1899-12-30T04:30:00"/>
    <x v="6"/>
    <s v="851 ОК– КРС Ремонт УПА "/>
    <x v="47"/>
    <n v="0.0625"/>
    <x v="36"/>
  </r>
  <r>
    <s v="ГДТ"/>
    <s v="КРС"/>
    <s v="Казанское"/>
    <n v="1"/>
    <x v="2"/>
    <x v="3"/>
    <m/>
    <x v="0"/>
    <m/>
    <m/>
    <m/>
    <x v="2"/>
    <s v="Штатно"/>
    <x v="0"/>
    <x v="3"/>
    <x v="9"/>
    <s v="Технологический_инструмент"/>
    <x v="4"/>
    <m/>
    <s v="Спуск ЭЦН до 2859,73 м (всего 296 шт). Установка стоп-кольца Ø35 мм на 203-й трубе (гл. 799,3 м). Замер изоляции через 300 м (200 МОм), опрессовка лифта через 600 м (6 МПа). Долив 68 м³"/>
    <n v="5.5"/>
    <m/>
    <m/>
    <x v="1"/>
    <m/>
    <m/>
    <m/>
    <m/>
    <m/>
    <m/>
    <n v="0"/>
    <d v="2026-06-01T04:30:00"/>
    <x v="127"/>
    <n v="0.2291666666666667"/>
    <n v="29.58333333333333"/>
    <x v="1"/>
    <n v="0"/>
    <n v="5.5"/>
    <n v="0"/>
    <n v="59.5"/>
    <n v="40.83"/>
    <x v="30"/>
    <d v="1899-12-30T04:30:00"/>
    <d v="2026-06-01T00:00:00"/>
    <d v="1899-12-30T10:00:00"/>
    <x v="6"/>
    <s v="851 ОК– КРС Спуск УЭЦН "/>
    <x v="11"/>
    <n v="1.458333333333333"/>
    <x v="10"/>
  </r>
  <r>
    <s v="ГДТ"/>
    <s v="КРС"/>
    <s v="Казанское"/>
    <n v="1"/>
    <x v="2"/>
    <x v="4"/>
    <m/>
    <x v="2"/>
    <m/>
    <m/>
    <m/>
    <x v="4"/>
    <s v="Штатно"/>
    <x v="0"/>
    <x v="1"/>
    <x v="12"/>
    <s v="Объекты_устье"/>
    <x v="8"/>
    <m/>
    <s v="Демонтаж ГКШ-1500, СУ-80, отбойных щитов и штурвалов, линии долива, демонтаж ПВО с протаскиванием кабеля (≈35 м). Монтаж ФА и кабельного ввода, опрессовка КВ на 11 МПа (герметично). Монтаж обвязки ФА, укладка кабеля (≈35 м). Контрольный замер изоляции"/>
    <n v="6"/>
    <m/>
    <m/>
    <x v="1"/>
    <m/>
    <m/>
    <m/>
    <m/>
    <m/>
    <m/>
    <n v="0"/>
    <d v="2026-06-01T10:00:00"/>
    <x v="128"/>
    <n v="0.25"/>
    <n v="29.83333333333333"/>
    <x v="1"/>
    <n v="4.53"/>
    <n v="1.47"/>
    <n v="0"/>
    <n v="59.5"/>
    <n v="42.3"/>
    <x v="30"/>
    <d v="1899-12-30T10:00:00"/>
    <d v="2026-06-01T00:00:00"/>
    <d v="1899-12-30T16:00:00"/>
    <x v="7"/>
    <s v="851 ОК– Заканчивание Перемонтаж Фонтанная арматура "/>
    <x v="14"/>
    <n v="0.25"/>
    <x v="13"/>
  </r>
  <r>
    <s v="ГДТ"/>
    <s v="КРС"/>
    <s v="Казанское"/>
    <n v="1"/>
    <x v="2"/>
    <x v="4"/>
    <m/>
    <x v="2"/>
    <m/>
    <m/>
    <m/>
    <x v="0"/>
    <s v="Штатно"/>
    <x v="0"/>
    <x v="1"/>
    <x v="10"/>
    <s v="Оборудование"/>
    <x v="0"/>
    <m/>
    <s v="Демонтаж РП, ИВЭ-50"/>
    <n v="1.5"/>
    <m/>
    <m/>
    <x v="1"/>
    <m/>
    <m/>
    <m/>
    <m/>
    <m/>
    <m/>
    <n v="0"/>
    <d v="2026-06-01T16:00:00"/>
    <x v="129"/>
    <n v="0.0625"/>
    <n v="29.89583333333333"/>
    <x v="0"/>
    <n v="1.5"/>
    <n v="0"/>
    <n v="0"/>
    <n v="59.5"/>
    <n v="42.3"/>
    <x v="30"/>
    <d v="1899-12-30T16:00:00"/>
    <d v="2026-06-01T00:00:00"/>
    <d v="1899-12-30T17:30:00"/>
    <x v="7"/>
    <s v="851 ОК– ДПМ Демонтаж УПА "/>
    <x v="48"/>
    <n v="0.1875"/>
    <x v="15"/>
  </r>
  <r>
    <s v="ГДТ"/>
    <s v="КРС"/>
    <s v="Казанское"/>
    <n v="1"/>
    <x v="2"/>
    <x v="4"/>
    <m/>
    <x v="2"/>
    <m/>
    <m/>
    <m/>
    <x v="4"/>
    <s v="Штатно"/>
    <x v="0"/>
    <x v="6"/>
    <x v="16"/>
    <s v="Объекты_устье"/>
    <x v="8"/>
    <m/>
    <s v="Опрессовка ОК ФА и обвязки на 4 МПа (герметично), опрессовка лифта НКТП на 6 МПа (герметично)"/>
    <n v="1"/>
    <m/>
    <m/>
    <x v="1"/>
    <m/>
    <m/>
    <m/>
    <m/>
    <m/>
    <m/>
    <n v="0"/>
    <d v="2026-06-01T17:30:00"/>
    <x v="130"/>
    <n v="0.04166666666666666"/>
    <n v="29.9375"/>
    <x v="1"/>
    <n v="0.9"/>
    <n v="0.09999999999999998"/>
    <n v="0"/>
    <n v="59.5"/>
    <n v="42.4"/>
    <x v="30"/>
    <d v="1899-12-30T17:30:00"/>
    <d v="2026-06-01T00:00:00"/>
    <d v="1899-12-30T18:30:00"/>
    <x v="7"/>
    <s v="851 ОК– Заканчивание Опрессовка Фонтанная арматура "/>
    <x v="20"/>
    <n v="0.04166666666666666"/>
    <x v="18"/>
  </r>
  <r>
    <s v="ГДТ"/>
    <s v="КРС"/>
    <s v="Казанское"/>
    <n v="1"/>
    <x v="2"/>
    <x v="4"/>
    <m/>
    <x v="2"/>
    <m/>
    <m/>
    <m/>
    <x v="4"/>
    <s v="Штатно"/>
    <x v="0"/>
    <x v="7"/>
    <x v="13"/>
    <s v="Технологический_инструмент"/>
    <x v="4"/>
    <m/>
    <s v="Замер изоляции перед запуском (200 МОм). Запуск ЭЦНМТ5-80/2260/8ЭДРТ-56-117. Iпуск=19,8А, Iраб=18,2А, частота 40 Гц, загрузка 41%, Рпр=181 атм, Tпр=75°С, дебит 115 м³/сут"/>
    <n v="0.5"/>
    <m/>
    <m/>
    <x v="1"/>
    <m/>
    <m/>
    <m/>
    <m/>
    <m/>
    <m/>
    <n v="0"/>
    <d v="2026-06-01T18:30:00"/>
    <x v="131"/>
    <n v="0.02083333333333333"/>
    <n v="29.95833333333333"/>
    <x v="0"/>
    <n v="0.5"/>
    <n v="0"/>
    <n v="0"/>
    <n v="59.5"/>
    <n v="42.4"/>
    <x v="30"/>
    <d v="1899-12-30T18:30:00"/>
    <d v="2026-06-01T00:00:00"/>
    <d v="1899-12-30T19:00:00"/>
    <x v="7"/>
    <s v="851 ОК– Заканчивание Запуск в работу УЭЦН "/>
    <x v="15"/>
    <n v="0.02083333333333333"/>
    <x v="14"/>
  </r>
  <r>
    <s v="ГДТ"/>
    <s v="КРС"/>
    <s v="Казанское"/>
    <n v="1"/>
    <x v="2"/>
    <x v="4"/>
    <m/>
    <x v="2"/>
    <m/>
    <m/>
    <m/>
    <x v="0"/>
    <s v="Штатно"/>
    <x v="0"/>
    <x v="1"/>
    <x v="10"/>
    <s v="Оборудование"/>
    <x v="0"/>
    <m/>
    <s v="Демонтаж УБРСП-80, пригрузов, якорей, приёмного моста, 3 стеллажей. Монтаж дублирующей ЗД №2, опрессовка фланцевого соединения"/>
    <n v="3"/>
    <m/>
    <m/>
    <x v="1"/>
    <m/>
    <m/>
    <m/>
    <m/>
    <m/>
    <m/>
    <n v="0"/>
    <d v="2026-06-01T19:00:00"/>
    <x v="132"/>
    <n v="0.125"/>
    <n v="30.08333333333333"/>
    <x v="0"/>
    <n v="3"/>
    <n v="0"/>
    <n v="0"/>
    <n v="59.5"/>
    <n v="42.4"/>
    <x v="30"/>
    <d v="1899-12-30T19:00:00"/>
    <d v="2026-06-01T00:00:00"/>
    <d v="1899-12-30T22:00:00"/>
    <x v="7"/>
    <s v="851 ОК– ДПМ Демонтаж УПА "/>
    <x v="48"/>
    <n v="0.1875"/>
    <x v="15"/>
  </r>
  <r>
    <s v="ГДТ"/>
    <s v="КРС"/>
    <s v="Казанское"/>
    <n v="1"/>
    <x v="2"/>
    <x v="4"/>
    <m/>
    <x v="2"/>
    <m/>
    <m/>
    <m/>
    <x v="0"/>
    <s v="Штатно"/>
    <x v="0"/>
    <x v="1"/>
    <x v="10"/>
    <s v="Оборудование"/>
    <x v="1"/>
    <m/>
    <s v="Демонтаж 1 защитного колпака, монтаж 2 лубрикаторных площадок"/>
    <n v="2"/>
    <m/>
    <m/>
    <x v="1"/>
    <m/>
    <m/>
    <m/>
    <m/>
    <m/>
    <m/>
    <n v="0"/>
    <d v="2026-06-01T22:00:00"/>
    <x v="133"/>
    <n v="0.08333333333333333"/>
    <n v="30.16666666666666"/>
    <x v="1"/>
    <n v="2"/>
    <n v="0"/>
    <n v="0"/>
    <n v="59.5"/>
    <n v="42.4"/>
    <x v="30"/>
    <d v="1899-12-30T22:00:00"/>
    <d v="2026-06-02T00:00:00"/>
    <d v="1899-12-31T00:00:00"/>
    <x v="7"/>
    <s v="851 ОК– ДПМ Демонтаж БО "/>
    <x v="49"/>
    <n v="0.125"/>
    <x v="37"/>
  </r>
  <r>
    <s v="ГДТ"/>
    <s v="КРС"/>
    <s v="Казанское"/>
    <n v="1"/>
    <x v="2"/>
    <x v="4"/>
    <m/>
    <x v="2"/>
    <m/>
    <m/>
    <m/>
    <x v="0"/>
    <s v="Штатно"/>
    <x v="0"/>
    <x v="1"/>
    <x v="10"/>
    <s v="Оборудование"/>
    <x v="1"/>
    <m/>
    <s v="Демонтаж заземлений (9 шт.), отключение оборудования (4 шт.), демонтаж подставок под кабель (5 шт.), уборка территории"/>
    <n v="1"/>
    <m/>
    <m/>
    <x v="1"/>
    <m/>
    <m/>
    <m/>
    <m/>
    <m/>
    <m/>
    <n v="0"/>
    <d v="2026-06-02T00:00:00"/>
    <x v="134"/>
    <n v="0.04166666666666666"/>
    <n v="30.20833333333333"/>
    <x v="1"/>
    <n v="0.8399999999999999"/>
    <n v="0.1600000000000001"/>
    <n v="0"/>
    <n v="59.5"/>
    <n v="42.56"/>
    <x v="31"/>
    <d v="1899-12-31T00:00:00"/>
    <d v="2026-06-02T00:00:00"/>
    <d v="1899-12-30T01:00:00"/>
    <x v="7"/>
    <s v="851 ОК– ДПМ Демонтаж БО "/>
    <x v="49"/>
    <n v="0.125"/>
    <x v="37"/>
  </r>
  <r>
    <s v="ГДТ"/>
    <s v="КРС"/>
    <s v="Казанское"/>
    <n v="1"/>
    <x v="3"/>
    <x v="4"/>
    <m/>
    <x v="2"/>
    <m/>
    <m/>
    <m/>
    <x v="0"/>
    <s v="Орг_простой"/>
    <x v="5"/>
    <x v="2"/>
    <x v="22"/>
    <s v="Оборудование"/>
    <x v="19"/>
    <m/>
    <s v="Нет данных за период 02.06.2026 01:00–07:00. Заглушка для непрерывности хронологии."/>
    <n v="6"/>
    <n v="0"/>
    <s v="Работы окончены"/>
    <x v="1"/>
    <m/>
    <m/>
    <m/>
    <m/>
    <m/>
    <m/>
    <n v="0"/>
    <d v="2026-06-02T01:00:00"/>
    <x v="135"/>
    <n v="0.25"/>
    <n v="30.45833333333333"/>
    <x v="2"/>
    <n v="0"/>
    <n v="0"/>
    <n v="6"/>
    <n v="6"/>
    <n v="0"/>
    <x v="31"/>
    <d v="1899-12-30T01:00:00"/>
    <d v="2026-06-02T00:00:00"/>
    <d v="1899-12-30T07:00:00"/>
    <x v="7"/>
    <s v="600 ОК– ДПМ Орг_простой Нет данных Ожидание Буровая установка "/>
    <x v="50"/>
    <n v="0.25"/>
    <x v="38"/>
  </r>
  <r>
    <s v="ГДТ"/>
    <s v="ЗБС"/>
    <s v="Казанское НГКМ"/>
    <s v="6"/>
    <x v="4"/>
    <x v="4"/>
    <m/>
    <x v="4"/>
    <n v="9"/>
    <s v="9.2"/>
    <m/>
    <x v="0"/>
    <s v="Штатно"/>
    <x v="0"/>
    <x v="1"/>
    <x v="25"/>
    <s v="Оборудование"/>
    <x v="19"/>
    <m/>
    <s v="Переезд на скв. №600 кп №6 (со скв. №851 кп №26, 2 рейса, L=15,9 км)."/>
    <n v="5"/>
    <n v="2758.16"/>
    <s v="Работы окончены"/>
    <x v="1"/>
    <m/>
    <m/>
    <m/>
    <m/>
    <m/>
    <m/>
    <n v="2758.16"/>
    <d v="2026-06-02T07:00:00"/>
    <x v="136"/>
    <n v="0.2083333333333333"/>
    <n v="30.66666666666666"/>
    <x v="2"/>
    <n v="0"/>
    <n v="0"/>
    <n v="5"/>
    <n v="11"/>
    <n v="0"/>
    <x v="31"/>
    <d v="1899-12-30T07:00:00"/>
    <d v="2026-06-02T00:00:00"/>
    <d v="1899-12-30T12:00:00"/>
    <x v="8"/>
    <s v="600 ОК– ДПМ Переезд Буровая установка "/>
    <x v="51"/>
    <n v="0.2083333333333333"/>
    <x v="39"/>
  </r>
  <r>
    <s v="ГДТ"/>
    <s v="ЗБС"/>
    <s v="Казанское НГКМ"/>
    <s v="6"/>
    <x v="4"/>
    <x v="4"/>
    <m/>
    <x v="4"/>
    <n v="9"/>
    <s v="9.3"/>
    <m/>
    <x v="0"/>
    <s v="Штатно"/>
    <x v="0"/>
    <x v="1"/>
    <x v="25"/>
    <s v="Оборудование"/>
    <x v="19"/>
    <m/>
    <s v="Переезд на скв. №600 кп №6 (Ʃ5 рейсов, L=15,9 км)."/>
    <n v="4"/>
    <n v="2758.16"/>
    <s v="Работы окончены"/>
    <x v="1"/>
    <m/>
    <m/>
    <m/>
    <m/>
    <m/>
    <m/>
    <n v="0"/>
    <d v="2026-06-02T12:00:00"/>
    <x v="137"/>
    <n v="0.1666666666666667"/>
    <n v="30.83333333333333"/>
    <x v="2"/>
    <n v="0"/>
    <n v="0"/>
    <n v="4"/>
    <n v="15"/>
    <n v="0"/>
    <x v="31"/>
    <d v="1899-12-30T12:00:00"/>
    <d v="2026-06-02T00:00:00"/>
    <d v="1899-12-30T16:00:00"/>
    <x v="8"/>
    <s v="600 ОК– ДПМ Переезд Буровая установка "/>
    <x v="51"/>
    <n v="0.375"/>
    <x v="39"/>
  </r>
  <r>
    <s v="ГДТ"/>
    <s v="ЗБС"/>
    <s v="Казанское НГКМ"/>
    <s v="6"/>
    <x v="4"/>
    <x v="4"/>
    <m/>
    <x v="4"/>
    <n v="9"/>
    <s v="9.4"/>
    <m/>
    <x v="0"/>
    <s v="Штатно"/>
    <x v="0"/>
    <x v="1"/>
    <x v="25"/>
    <s v="Оборудование"/>
    <x v="19"/>
    <m/>
    <s v="Переезд на скв. №600 кп №6 (Ʃ8 рейсов, L=15,9 км)."/>
    <n v="4"/>
    <n v="2758.16"/>
    <s v="Работы окончены"/>
    <x v="1"/>
    <m/>
    <m/>
    <m/>
    <m/>
    <m/>
    <m/>
    <n v="0"/>
    <d v="2026-06-02T16:00:00"/>
    <x v="138"/>
    <n v="0.1666666666666667"/>
    <n v="31"/>
    <x v="2"/>
    <n v="0"/>
    <n v="0"/>
    <n v="4"/>
    <n v="19"/>
    <n v="0"/>
    <x v="31"/>
    <d v="1899-12-30T16:00:00"/>
    <d v="2026-06-02T00:00:00"/>
    <d v="1899-12-30T20:00:00"/>
    <x v="8"/>
    <s v="600 ОК– ДПМ Переезд Буровая установка "/>
    <x v="51"/>
    <n v="0.5416666666666666"/>
    <x v="39"/>
  </r>
  <r>
    <s v="ГДТ"/>
    <s v="ЗБС"/>
    <s v="Казанское НГКМ"/>
    <s v="6"/>
    <x v="4"/>
    <x v="4"/>
    <m/>
    <x v="4"/>
    <n v="9"/>
    <s v="9.5"/>
    <m/>
    <x v="0"/>
    <s v="Штатно"/>
    <x v="0"/>
    <x v="1"/>
    <x v="25"/>
    <s v="Оборудование"/>
    <x v="19"/>
    <m/>
    <s v="Переезд на скв. №600 кп №6 (Ʃ10 рейсов, L=15,9 км)."/>
    <n v="4"/>
    <n v="2758.16"/>
    <s v="Работы окончены"/>
    <x v="1"/>
    <m/>
    <m/>
    <m/>
    <m/>
    <m/>
    <m/>
    <n v="0"/>
    <d v="2026-06-02T20:00:00"/>
    <x v="139"/>
    <n v="0.1666666666666667"/>
    <n v="31.16666666666666"/>
    <x v="2"/>
    <n v="0"/>
    <n v="0"/>
    <n v="4"/>
    <n v="23"/>
    <n v="0"/>
    <x v="31"/>
    <d v="1899-12-30T20:00:00"/>
    <d v="2026-06-03T00:00:00"/>
    <d v="1899-12-31T00:00:00"/>
    <x v="8"/>
    <s v="600 ОК– ДПМ Переезд Буровая установка "/>
    <x v="51"/>
    <n v="0.7083333333333333"/>
    <x v="39"/>
  </r>
  <r>
    <s v="ГДТ"/>
    <s v="ЗБС"/>
    <s v="Казанское НГКМ"/>
    <s v="6"/>
    <x v="4"/>
    <x v="3"/>
    <m/>
    <x v="5"/>
    <n v="10"/>
    <s v="10.1"/>
    <m/>
    <x v="0"/>
    <s v="Штатно"/>
    <x v="0"/>
    <x v="1"/>
    <x v="25"/>
    <s v="Оборудование"/>
    <x v="19"/>
    <m/>
    <s v="Переезд на скв. №600 кп №6 (Ʃ14 рейсов, L=15,9 км). Расстановка и подключение оборудования, установка подставок под кабель."/>
    <n v="7"/>
    <n v="2758.16"/>
    <s v="Работы окончены"/>
    <x v="1"/>
    <m/>
    <m/>
    <m/>
    <m/>
    <m/>
    <m/>
    <n v="0"/>
    <d v="2026-06-03T00:00:00"/>
    <x v="140"/>
    <n v="0.2916666666666667"/>
    <n v="31.45833333333333"/>
    <x v="2"/>
    <n v="0"/>
    <n v="0"/>
    <n v="7"/>
    <n v="30"/>
    <n v="0"/>
    <x v="32"/>
    <d v="1899-12-31T00:00:00"/>
    <d v="2026-06-03T00:00:00"/>
    <d v="1899-12-30T07:00:00"/>
    <x v="9"/>
    <s v="600 ОК– ДПМ Переезд Буровая установка "/>
    <x v="51"/>
    <n v="1"/>
    <x v="39"/>
  </r>
  <r>
    <s v="ГДТ"/>
    <s v="ЗБС"/>
    <s v="Казанское НГКМ"/>
    <s v="6"/>
    <x v="4"/>
    <x v="3"/>
    <m/>
    <x v="4"/>
    <n v="10"/>
    <s v="10.2"/>
    <m/>
    <x v="0"/>
    <s v="Штатно"/>
    <x v="0"/>
    <x v="1"/>
    <x v="10"/>
    <s v="Объекты_устье"/>
    <x v="20"/>
    <m/>
    <s v="Монтаж заземлений 14шт. Демонтаж лубрикаторных площадок. Монтаж линии набора тех. воды. Набор и обработка тех. воды γ-1,01 г/см³ V=19м³."/>
    <n v="5"/>
    <n v="2758.16"/>
    <s v="Работы окончены"/>
    <x v="1"/>
    <m/>
    <m/>
    <m/>
    <m/>
    <m/>
    <m/>
    <n v="0"/>
    <d v="2026-06-03T07:00:00"/>
    <x v="141"/>
    <n v="0.2083333333333333"/>
    <n v="31.66666666666666"/>
    <x v="2"/>
    <n v="0"/>
    <n v="0"/>
    <n v="5"/>
    <n v="35"/>
    <n v="0"/>
    <x v="32"/>
    <d v="1899-12-30T07:00:00"/>
    <d v="2026-06-03T00:00:00"/>
    <d v="1899-12-30T12:00:00"/>
    <x v="10"/>
    <s v="600 ОК– ДПМ Демонтаж ФА "/>
    <x v="52"/>
    <n v="0.2083333333333333"/>
    <x v="40"/>
  </r>
  <r>
    <s v="ГДТ"/>
    <s v="ЗБС"/>
    <s v="Казанское НГКМ"/>
    <s v="6"/>
    <x v="4"/>
    <x v="3"/>
    <m/>
    <x v="4"/>
    <n v="10"/>
    <s v="10.3"/>
    <m/>
    <x v="2"/>
    <s v="Орг_простой"/>
    <x v="1"/>
    <x v="2"/>
    <x v="26"/>
    <s v="Оборудование"/>
    <x v="21"/>
    <m/>
    <s v="Набор и обработка тех. воды γ-1,01 г/см³ ƩV=43м³. Приостановление работ (ингибиторная обработка на скв. №342)."/>
    <n v="4"/>
    <n v="2758.16"/>
    <s v="Работы окончены"/>
    <x v="1"/>
    <m/>
    <m/>
    <m/>
    <m/>
    <m/>
    <m/>
    <n v="0"/>
    <d v="2026-06-03T12:00:00"/>
    <x v="142"/>
    <n v="0.1666666666666667"/>
    <n v="31.83333333333333"/>
    <x v="2"/>
    <n v="0"/>
    <n v="0"/>
    <n v="4"/>
    <n v="39"/>
    <n v="0"/>
    <x v="32"/>
    <d v="1899-12-30T12:00:00"/>
    <d v="2026-06-03T00:00:00"/>
    <d v="1899-12-30T16:00:00"/>
    <x v="10"/>
    <s v="600 ОК– КРС Орг_простой Ожидание разрешения Тех. дежурство Бригада КРС "/>
    <x v="53"/>
    <n v="0.1666666666666667"/>
    <x v="41"/>
  </r>
  <r>
    <s v="ГДТ"/>
    <s v="ЗБС"/>
    <s v="Казанское НГКМ"/>
    <s v="6"/>
    <x v="4"/>
    <x v="3"/>
    <m/>
    <x v="4"/>
    <n v="10"/>
    <s v="10.4"/>
    <m/>
    <x v="2"/>
    <s v="Орг_простой"/>
    <x v="1"/>
    <x v="2"/>
    <x v="26"/>
    <s v="Оборудование"/>
    <x v="21"/>
    <m/>
    <s v="Приостановление работ (ингибиторная обработка, 16:00–19:30ч). Набор тех. воды γ-1,01 г/см³ ƩV=46м³."/>
    <n v="4"/>
    <n v="2758.16"/>
    <s v="Работы окончены"/>
    <x v="1"/>
    <m/>
    <m/>
    <m/>
    <m/>
    <m/>
    <m/>
    <n v="0"/>
    <d v="2026-06-03T16:00:00"/>
    <x v="143"/>
    <n v="0.1666666666666667"/>
    <n v="32"/>
    <x v="2"/>
    <n v="0"/>
    <n v="0"/>
    <n v="4"/>
    <n v="43"/>
    <n v="0"/>
    <x v="32"/>
    <d v="1899-12-30T16:00:00"/>
    <d v="2026-06-03T00:00:00"/>
    <d v="1899-12-30T20:00:00"/>
    <x v="10"/>
    <s v="600 ОК– КРС Орг_простой Ожидание разрешения Тех. дежурство Бригада КРС "/>
    <x v="53"/>
    <n v="0.3333333333333333"/>
    <x v="41"/>
  </r>
  <r>
    <s v="ГДТ"/>
    <s v="ЗБС"/>
    <s v="Казанское НГКМ"/>
    <s v="6"/>
    <x v="4"/>
    <x v="3"/>
    <m/>
    <x v="4"/>
    <n v="10"/>
    <s v="10.5"/>
    <m/>
    <x v="2"/>
    <s v="Штатно"/>
    <x v="0"/>
    <x v="9"/>
    <x v="18"/>
    <s v="Объекты_промывка_СО"/>
    <x v="13"/>
    <m/>
    <s v="Набор и обработка тех. воды γ-1,01 г/см³ ƩV=59,4м³. Отбор пробы р-ра на анализ. Приготовление р-ра 1,15 г/см³ V=4м³."/>
    <n v="4"/>
    <n v="2758.16"/>
    <s v="Работы окончены"/>
    <x v="1"/>
    <m/>
    <m/>
    <m/>
    <m/>
    <m/>
    <m/>
    <n v="0"/>
    <d v="2026-06-03T20:00:00"/>
    <x v="144"/>
    <n v="0.1666666666666667"/>
    <n v="32.16666666666666"/>
    <x v="2"/>
    <n v="0"/>
    <n v="0"/>
    <n v="4"/>
    <n v="47"/>
    <n v="0"/>
    <x v="32"/>
    <d v="1899-12-30T20:00:00"/>
    <d v="2026-06-04T00:00:00"/>
    <d v="1899-12-31T00:00:00"/>
    <x v="10"/>
    <s v="600 ОК– КРС Глушение Скважина "/>
    <x v="54"/>
    <n v="0.1666666666666667"/>
    <x v="23"/>
  </r>
  <r>
    <s v="ГДТ"/>
    <s v="ЗБС"/>
    <s v="Казанское НГКМ"/>
    <s v="6"/>
    <x v="4"/>
    <x v="4"/>
    <m/>
    <x v="5"/>
    <n v="11"/>
    <s v="11.1"/>
    <m/>
    <x v="1"/>
    <s v="Штатно"/>
    <x v="0"/>
    <x v="9"/>
    <x v="27"/>
    <s v="Объекты_промывка_СО"/>
    <x v="22"/>
    <m/>
    <s v="Приготовление р-ра глушения 1,15 г/см³, ƩV=18м³."/>
    <n v="7"/>
    <n v="2758.16"/>
    <s v="Работы окончены"/>
    <x v="1"/>
    <m/>
    <m/>
    <m/>
    <m/>
    <m/>
    <m/>
    <n v="0"/>
    <d v="2026-06-04T00:00:00"/>
    <x v="145"/>
    <n v="0.2916666666666667"/>
    <n v="32.45833333333333"/>
    <x v="2"/>
    <n v="0"/>
    <n v="0"/>
    <n v="7"/>
    <n v="54"/>
    <n v="0"/>
    <x v="33"/>
    <d v="1899-12-31T00:00:00"/>
    <d v="2026-06-04T00:00:00"/>
    <d v="1899-12-30T07:00:00"/>
    <x v="11"/>
    <s v="600 ОК– ПР Приготовление раствора Раствор глушения "/>
    <x v="55"/>
    <n v="0.2916666666666667"/>
    <x v="42"/>
  </r>
  <r>
    <s v="ГДТ"/>
    <s v="ЗБС"/>
    <s v="Казанское НГКМ"/>
    <s v="6"/>
    <x v="4"/>
    <x v="4"/>
    <m/>
    <x v="4"/>
    <n v="11"/>
    <s v="11.2"/>
    <m/>
    <x v="1"/>
    <s v="Штатно"/>
    <x v="0"/>
    <x v="9"/>
    <x v="27"/>
    <s v="Объекты_промывка_СО"/>
    <x v="22"/>
    <m/>
    <s v="Приготовление р-ра глушения 1,15 г/см³, ƩV=28м³."/>
    <n v="5"/>
    <n v="2758.16"/>
    <s v="Работы окончены"/>
    <x v="1"/>
    <m/>
    <m/>
    <m/>
    <m/>
    <m/>
    <m/>
    <n v="0"/>
    <d v="2026-06-04T07:00:00"/>
    <x v="146"/>
    <n v="0.2083333333333333"/>
    <n v="32.66666666666666"/>
    <x v="2"/>
    <n v="0"/>
    <n v="0"/>
    <n v="5"/>
    <n v="59"/>
    <n v="0"/>
    <x v="33"/>
    <d v="1899-12-30T07:00:00"/>
    <d v="2026-06-04T00:00:00"/>
    <d v="1899-12-30T12:00:00"/>
    <x v="8"/>
    <s v="600 ОК– ПР Приготовление раствора Раствор глушения "/>
    <x v="55"/>
    <n v="0.5"/>
    <x v="42"/>
  </r>
  <r>
    <s v="ГДТ"/>
    <s v="ЗБС"/>
    <s v="Казанское НГКМ"/>
    <s v="6"/>
    <x v="4"/>
    <x v="4"/>
    <m/>
    <x v="4"/>
    <n v="11"/>
    <s v="11.3"/>
    <m/>
    <x v="1"/>
    <s v="Штатно"/>
    <x v="0"/>
    <x v="9"/>
    <x v="27"/>
    <s v="Объекты_промывка_СО"/>
    <x v="22"/>
    <m/>
    <s v="Приготовление р-ра глушения 1,15 г/см³, ƩV=36м³."/>
    <n v="4"/>
    <n v="2758.16"/>
    <s v="Работы окончены"/>
    <x v="1"/>
    <m/>
    <m/>
    <m/>
    <m/>
    <m/>
    <m/>
    <n v="0"/>
    <d v="2026-06-04T12:00:00"/>
    <x v="147"/>
    <n v="0.1666666666666667"/>
    <n v="32.83333333333333"/>
    <x v="2"/>
    <n v="0"/>
    <n v="0"/>
    <n v="4"/>
    <n v="63"/>
    <n v="0"/>
    <x v="33"/>
    <d v="1899-12-30T12:00:00"/>
    <d v="2026-06-04T00:00:00"/>
    <d v="1899-12-30T16:00:00"/>
    <x v="8"/>
    <s v="600 ОК– ПР Приготовление раствора Раствор глушения "/>
    <x v="55"/>
    <n v="0.6666666666666666"/>
    <x v="42"/>
  </r>
  <r>
    <s v="ГДТ"/>
    <s v="ЗБС"/>
    <s v="Казанское НГКМ"/>
    <s v="6"/>
    <x v="4"/>
    <x v="4"/>
    <m/>
    <x v="4"/>
    <n v="11"/>
    <s v="11.4"/>
    <m/>
    <x v="1"/>
    <s v="Штатно"/>
    <x v="0"/>
    <x v="9"/>
    <x v="27"/>
    <s v="Объекты_промывка_СО"/>
    <x v="22"/>
    <m/>
    <s v="Приготовление р-ра глушения 1,15 г/см³, ƩV=44м³."/>
    <n v="4"/>
    <n v="2758.16"/>
    <s v="Работы окончены"/>
    <x v="1"/>
    <m/>
    <m/>
    <m/>
    <m/>
    <m/>
    <m/>
    <n v="0"/>
    <d v="2026-06-04T16:00:00"/>
    <x v="148"/>
    <n v="0.1666666666666667"/>
    <n v="32.99999999999999"/>
    <x v="2"/>
    <n v="0"/>
    <n v="0"/>
    <n v="4"/>
    <n v="67"/>
    <n v="0"/>
    <x v="33"/>
    <d v="1899-12-30T16:00:00"/>
    <d v="2026-06-04T00:00:00"/>
    <d v="1899-12-30T20:00:00"/>
    <x v="8"/>
    <s v="600 ОК– ПР Приготовление раствора Раствор глушения "/>
    <x v="55"/>
    <n v="0.8333333333333333"/>
    <x v="42"/>
  </r>
  <r>
    <s v="ГДТ"/>
    <s v="ЗБС"/>
    <s v="Казанское НГКМ"/>
    <s v="6"/>
    <x v="4"/>
    <x v="4"/>
    <m/>
    <x v="4"/>
    <n v="11"/>
    <s v="11.5"/>
    <m/>
    <x v="1"/>
    <s v="Штатно"/>
    <x v="0"/>
    <x v="9"/>
    <x v="27"/>
    <s v="Объекты_промывка_СО"/>
    <x v="22"/>
    <m/>
    <s v="Приготовление р-ра глушения 1,15 г/см³, ƩV=52м³."/>
    <n v="4"/>
    <n v="2758.16"/>
    <s v="Работы окончены"/>
    <x v="1"/>
    <m/>
    <m/>
    <m/>
    <m/>
    <m/>
    <m/>
    <n v="0"/>
    <d v="2026-06-04T20:00:00"/>
    <x v="149"/>
    <n v="0.1666666666666667"/>
    <n v="33.16666666666666"/>
    <x v="2"/>
    <n v="0"/>
    <n v="0"/>
    <n v="4"/>
    <n v="71"/>
    <n v="0"/>
    <x v="33"/>
    <d v="1899-12-30T20:00:00"/>
    <d v="2026-06-05T00:00:00"/>
    <d v="1899-12-31T00:00:00"/>
    <x v="8"/>
    <s v="600 ОК– ПР Приготовление раствора Раствор глушения "/>
    <x v="55"/>
    <n v="0.9999999999999999"/>
    <x v="42"/>
  </r>
  <r>
    <s v="ГДТ"/>
    <s v="ЗБС"/>
    <s v="Казанское НГКМ"/>
    <s v="6"/>
    <x v="4"/>
    <x v="3"/>
    <m/>
    <x v="5"/>
    <n v="12"/>
    <s v="12.1"/>
    <m/>
    <x v="1"/>
    <s v="Штатно"/>
    <x v="0"/>
    <x v="9"/>
    <x v="27"/>
    <s v="Объекты_промывка_СО"/>
    <x v="22"/>
    <m/>
    <s v="Приготовление р-ра глушения 1,15 г/см³, ƩV=66м³."/>
    <n v="7"/>
    <n v="2758.16"/>
    <s v="Работы окончены"/>
    <x v="1"/>
    <m/>
    <m/>
    <m/>
    <m/>
    <m/>
    <m/>
    <n v="0"/>
    <d v="2026-06-05T00:00:00"/>
    <x v="150"/>
    <n v="0.2916666666666667"/>
    <n v="33.45833333333332"/>
    <x v="2"/>
    <n v="0"/>
    <n v="0"/>
    <n v="7"/>
    <n v="78"/>
    <n v="0"/>
    <x v="34"/>
    <d v="1899-12-31T00:00:00"/>
    <d v="2026-06-05T00:00:00"/>
    <d v="1899-12-30T07:00:00"/>
    <x v="9"/>
    <s v="600 ОК– ПР Приготовление раствора Раствор глушения "/>
    <x v="55"/>
    <n v="1.291666666666667"/>
    <x v="42"/>
  </r>
  <r>
    <s v="ГДТ"/>
    <s v="ЗБС"/>
    <s v="Казанское НГКМ"/>
    <s v="6"/>
    <x v="4"/>
    <x v="3"/>
    <m/>
    <x v="4"/>
    <n v="12"/>
    <s v="12.2"/>
    <m/>
    <x v="1"/>
    <s v="Штатно"/>
    <x v="0"/>
    <x v="9"/>
    <x v="27"/>
    <s v="Объекты_промывка_СО"/>
    <x v="22"/>
    <m/>
    <s v="Приготовление р-ра глушения 1,15 г/см³, ƩV=76м³."/>
    <n v="5"/>
    <n v="2758.16"/>
    <s v="Работы окончены"/>
    <x v="1"/>
    <m/>
    <m/>
    <m/>
    <m/>
    <m/>
    <m/>
    <n v="0"/>
    <d v="2026-06-05T07:00:00"/>
    <x v="151"/>
    <n v="0.2083333333333333"/>
    <n v="33.66666666666666"/>
    <x v="2"/>
    <n v="0"/>
    <n v="0"/>
    <n v="5"/>
    <n v="83"/>
    <n v="0"/>
    <x v="34"/>
    <d v="1899-12-30T07:00:00"/>
    <d v="2026-06-05T00:00:00"/>
    <d v="1899-12-30T12:00:00"/>
    <x v="10"/>
    <s v="600 ОК– ПР Приготовление раствора Раствор глушения "/>
    <x v="55"/>
    <n v="1.5"/>
    <x v="42"/>
  </r>
  <r>
    <s v="ГДТ"/>
    <s v="ЗБС"/>
    <s v="Казанское НГКМ"/>
    <s v="6"/>
    <x v="4"/>
    <x v="3"/>
    <m/>
    <x v="4"/>
    <n v="12"/>
    <s v="12.3"/>
    <m/>
    <x v="1"/>
    <s v="Штатно"/>
    <x v="0"/>
    <x v="9"/>
    <x v="27"/>
    <s v="Объекты_промывка_СО"/>
    <x v="22"/>
    <m/>
    <s v="Приготовление р-ра глушения 1,15 г/см³, ƩV=84м³."/>
    <n v="4"/>
    <n v="2758.16"/>
    <s v="Работы окончены"/>
    <x v="1"/>
    <m/>
    <m/>
    <m/>
    <m/>
    <m/>
    <m/>
    <n v="0"/>
    <d v="2026-06-05T12:00:00"/>
    <x v="152"/>
    <n v="0.1666666666666667"/>
    <n v="33.83333333333332"/>
    <x v="2"/>
    <n v="0"/>
    <n v="0"/>
    <n v="4"/>
    <n v="87"/>
    <n v="0"/>
    <x v="34"/>
    <d v="1899-12-30T12:00:00"/>
    <d v="2026-06-05T00:00:00"/>
    <d v="1899-12-30T16:00:00"/>
    <x v="10"/>
    <s v="600 ОК– ПР Приготовление раствора Раствор глушения "/>
    <x v="55"/>
    <n v="1.666666666666667"/>
    <x v="42"/>
  </r>
  <r>
    <s v="ГДТ"/>
    <s v="ЗБС"/>
    <s v="Казанское НГКМ"/>
    <s v="6"/>
    <x v="4"/>
    <x v="3"/>
    <m/>
    <x v="4"/>
    <n v="12"/>
    <s v="12.4"/>
    <m/>
    <x v="2"/>
    <s v="Орг_простой"/>
    <x v="1"/>
    <x v="2"/>
    <x v="26"/>
    <s v="Оборудование"/>
    <x v="21"/>
    <m/>
    <s v="Приготовление р-ра глушения 1,15 г/см³, ƩV=95,4м³. Монтаж и опрессовка нагнет. линий на 18МПа. Начало доукомплектации БД."/>
    <n v="4"/>
    <n v="2758.16"/>
    <s v="Работы окончены"/>
    <x v="1"/>
    <m/>
    <m/>
    <m/>
    <m/>
    <m/>
    <m/>
    <n v="0"/>
    <d v="2026-06-05T16:00:00"/>
    <x v="153"/>
    <n v="0.1666666666666667"/>
    <n v="33.99999999999999"/>
    <x v="2"/>
    <n v="0"/>
    <n v="0"/>
    <n v="4"/>
    <n v="91"/>
    <n v="0"/>
    <x v="34"/>
    <d v="1899-12-30T16:00:00"/>
    <d v="2026-06-05T00:00:00"/>
    <d v="1899-12-30T20:00:00"/>
    <x v="10"/>
    <s v="600 ОК– КРС Орг_простой Ожидание разрешения Тех. дежурство Бригада КРС "/>
    <x v="53"/>
    <n v="0.5"/>
    <x v="41"/>
  </r>
  <r>
    <s v="ГДТ"/>
    <s v="ЗБС"/>
    <s v="Казанское НГКМ"/>
    <s v="6"/>
    <x v="4"/>
    <x v="3"/>
    <m/>
    <x v="4"/>
    <n v="12"/>
    <s v="12.5"/>
    <m/>
    <x v="2"/>
    <s v="Орг_простой"/>
    <x v="1"/>
    <x v="2"/>
    <x v="26"/>
    <s v="Оборудование"/>
    <x v="21"/>
    <m/>
    <s v="Доукомплектация БД (ожидание оборудования)."/>
    <n v="4"/>
    <n v="2758.16"/>
    <s v="Работы окончены"/>
    <x v="1"/>
    <m/>
    <m/>
    <m/>
    <m/>
    <m/>
    <m/>
    <n v="0"/>
    <d v="2026-06-05T20:00:00"/>
    <x v="154"/>
    <n v="0.1666666666666667"/>
    <n v="34.16666666666665"/>
    <x v="2"/>
    <n v="0"/>
    <n v="0"/>
    <n v="4"/>
    <n v="95"/>
    <n v="0"/>
    <x v="34"/>
    <d v="1899-12-30T20:00:00"/>
    <d v="2026-06-06T00:00:00"/>
    <d v="1899-12-31T00:00:00"/>
    <x v="10"/>
    <s v="600 ОК– КРС Орг_простой Ожидание разрешения Тех. дежурство Бригада КРС "/>
    <x v="53"/>
    <n v="0.6666666666666666"/>
    <x v="41"/>
  </r>
  <r>
    <s v="ГДТ"/>
    <s v="ЗБС"/>
    <s v="Казанское НГКМ"/>
    <s v="6"/>
    <x v="4"/>
    <x v="4"/>
    <m/>
    <x v="5"/>
    <n v="13"/>
    <s v="13.1"/>
    <m/>
    <x v="2"/>
    <s v="Орг_простой"/>
    <x v="1"/>
    <x v="2"/>
    <x v="26"/>
    <s v="Оборудование"/>
    <x v="21"/>
    <m/>
    <s v="Доукомплектация БД (ожидание оборудования)."/>
    <n v="7"/>
    <n v="2758.16"/>
    <s v="Работы окончены"/>
    <x v="1"/>
    <m/>
    <m/>
    <m/>
    <m/>
    <m/>
    <m/>
    <n v="0"/>
    <d v="2026-06-06T00:00:00"/>
    <x v="155"/>
    <n v="0.2916666666666667"/>
    <n v="34.45833333333331"/>
    <x v="2"/>
    <n v="0"/>
    <n v="0"/>
    <n v="7"/>
    <n v="102"/>
    <n v="0"/>
    <x v="35"/>
    <d v="1899-12-31T00:00:00"/>
    <d v="2026-06-06T00:00:00"/>
    <d v="1899-12-30T07:00:00"/>
    <x v="11"/>
    <s v="600 ОК– КРС Орг_простой Ожидание разрешения Тех. дежурство Бригада КРС "/>
    <x v="53"/>
    <n v="0.9583333333333333"/>
    <x v="41"/>
  </r>
  <r>
    <s v="ГДТ"/>
    <s v="ЗБС"/>
    <s v="Казанское НГКМ"/>
    <s v="6"/>
    <x v="4"/>
    <x v="4"/>
    <m/>
    <x v="4"/>
    <n v="13"/>
    <s v="13.2"/>
    <m/>
    <x v="2"/>
    <s v="Орг_простой"/>
    <x v="1"/>
    <x v="2"/>
    <x v="26"/>
    <s v="Оборудование"/>
    <x v="21"/>
    <m/>
    <s v="Доукомплектация БД (продолжается)."/>
    <n v="5"/>
    <n v="2758.16"/>
    <s v="Работы окончены"/>
    <x v="1"/>
    <m/>
    <m/>
    <m/>
    <m/>
    <m/>
    <m/>
    <n v="0"/>
    <d v="2026-06-06T07:00:00"/>
    <x v="156"/>
    <n v="0.2083333333333333"/>
    <n v="34.66666666666665"/>
    <x v="2"/>
    <n v="0"/>
    <n v="0"/>
    <n v="5"/>
    <n v="107"/>
    <n v="0"/>
    <x v="35"/>
    <d v="1899-12-30T07:00:00"/>
    <d v="2026-06-06T00:00:00"/>
    <d v="1899-12-30T12:00:00"/>
    <x v="8"/>
    <s v="600 ОК– КРС Орг_простой Ожидание разрешения Тех. дежурство Бригада КРС "/>
    <x v="53"/>
    <n v="1.166666666666667"/>
    <x v="41"/>
  </r>
  <r>
    <s v="ГДТ"/>
    <s v="ЗБС"/>
    <s v="Казанское НГКМ"/>
    <s v="6"/>
    <x v="4"/>
    <x v="4"/>
    <m/>
    <x v="4"/>
    <n v="13"/>
    <s v="13.3"/>
    <m/>
    <x v="2"/>
    <s v="Орг_простой"/>
    <x v="1"/>
    <x v="2"/>
    <x v="26"/>
    <s v="Оборудование"/>
    <x v="21"/>
    <m/>
    <s v="Доукомплектация БД (продолжается)."/>
    <n v="4"/>
    <n v="2758.16"/>
    <s v="Работы окончены"/>
    <x v="1"/>
    <m/>
    <m/>
    <m/>
    <m/>
    <m/>
    <m/>
    <n v="0"/>
    <d v="2026-06-06T12:00:00"/>
    <x v="157"/>
    <n v="0.1666666666666667"/>
    <n v="34.83333333333331"/>
    <x v="2"/>
    <n v="0"/>
    <n v="0"/>
    <n v="4"/>
    <n v="111"/>
    <n v="0"/>
    <x v="35"/>
    <d v="1899-12-30T12:00:00"/>
    <d v="2026-06-06T00:00:00"/>
    <d v="1899-12-30T16:00:00"/>
    <x v="8"/>
    <s v="600 ОК– КРС Орг_простой Ожидание разрешения Тех. дежурство Бригада КРС "/>
    <x v="53"/>
    <n v="1.333333333333333"/>
    <x v="41"/>
  </r>
  <r>
    <s v="ГДТ"/>
    <s v="ЗБС"/>
    <s v="Казанское НГКМ"/>
    <s v="6"/>
    <x v="4"/>
    <x v="4"/>
    <m/>
    <x v="4"/>
    <n v="13"/>
    <s v="13.4"/>
    <m/>
    <x v="2"/>
    <s v="Орг_простой"/>
    <x v="1"/>
    <x v="2"/>
    <x v="26"/>
    <s v="Оборудование"/>
    <x v="21"/>
    <m/>
    <s v="Доукомплектация БД. С 19:30ч монтаж выкидной линии."/>
    <n v="4"/>
    <n v="2758.16"/>
    <s v="Работы окончены"/>
    <x v="1"/>
    <m/>
    <m/>
    <m/>
    <m/>
    <m/>
    <m/>
    <n v="0"/>
    <d v="2026-06-06T16:00:00"/>
    <x v="158"/>
    <n v="0.1666666666666667"/>
    <n v="34.99999999999998"/>
    <x v="2"/>
    <n v="0"/>
    <n v="0"/>
    <n v="4"/>
    <n v="115"/>
    <n v="0"/>
    <x v="35"/>
    <d v="1899-12-30T16:00:00"/>
    <d v="2026-06-06T00:00:00"/>
    <d v="1899-12-30T20:00:00"/>
    <x v="8"/>
    <s v="600 ОК– КРС Орг_простой Ожидание разрешения Тех. дежурство Бригада КРС "/>
    <x v="53"/>
    <n v="1.5"/>
    <x v="41"/>
  </r>
  <r>
    <s v="ГДТ"/>
    <s v="ЗБС"/>
    <s v="Казанское НГКМ"/>
    <s v="6"/>
    <x v="4"/>
    <x v="4"/>
    <m/>
    <x v="4"/>
    <n v="13"/>
    <s v="13.5"/>
    <m/>
    <x v="1"/>
    <s v="Штатно"/>
    <x v="0"/>
    <x v="1"/>
    <x v="1"/>
    <s v="Объекты_устье"/>
    <x v="23"/>
    <m/>
    <s v="Монтаж выкидной линии ƩL=30м."/>
    <n v="4"/>
    <n v="2758.16"/>
    <s v="Работы окончены"/>
    <x v="1"/>
    <m/>
    <m/>
    <m/>
    <m/>
    <m/>
    <m/>
    <n v="0"/>
    <d v="2026-06-06T20:00:00"/>
    <x v="159"/>
    <n v="0.1666666666666667"/>
    <n v="35.16666666666664"/>
    <x v="2"/>
    <n v="0"/>
    <n v="0"/>
    <n v="4"/>
    <n v="119"/>
    <n v="0"/>
    <x v="35"/>
    <d v="1899-12-30T20:00:00"/>
    <d v="2026-06-07T00:00:00"/>
    <d v="1899-12-31T00:00:00"/>
    <x v="8"/>
    <s v="600 ОК– ПР Монтаж Блок дросселирования "/>
    <x v="56"/>
    <n v="0.1666666666666667"/>
    <x v="43"/>
  </r>
  <r>
    <s v="ГДТ"/>
    <s v="ЗБС"/>
    <s v="Казанское НГКМ"/>
    <s v="6"/>
    <x v="4"/>
    <x v="3"/>
    <m/>
    <x v="5"/>
    <n v="14"/>
    <s v="14.1"/>
    <m/>
    <x v="1"/>
    <s v="Штатно"/>
    <x v="0"/>
    <x v="1"/>
    <x v="1"/>
    <s v="Объекты_устье"/>
    <x v="23"/>
    <m/>
    <s v="Монтаж выкидной линии ƩL=100м."/>
    <n v="7"/>
    <n v="2758.16"/>
    <s v="Работы окончены"/>
    <x v="1"/>
    <m/>
    <m/>
    <m/>
    <m/>
    <m/>
    <m/>
    <n v="0"/>
    <d v="2026-06-07T00:00:00"/>
    <x v="160"/>
    <n v="0.2916666666666667"/>
    <n v="35.45833333333331"/>
    <x v="2"/>
    <n v="0"/>
    <n v="0"/>
    <n v="7"/>
    <n v="126"/>
    <n v="0"/>
    <x v="36"/>
    <d v="1899-12-31T00:00:00"/>
    <d v="2026-06-07T00:00:00"/>
    <d v="1899-12-30T07:00:00"/>
    <x v="9"/>
    <s v="600 ОК– ПР Монтаж Блок дросселирования "/>
    <x v="56"/>
    <n v="0.4583333333333334"/>
    <x v="43"/>
  </r>
  <r>
    <s v="ГДТ"/>
    <s v="ЗБС"/>
    <s v="Казанское НГКМ"/>
    <s v="6"/>
    <x v="4"/>
    <x v="3"/>
    <m/>
    <x v="4"/>
    <n v="14"/>
    <s v="14.2"/>
    <m/>
    <x v="1"/>
    <s v="Штатно"/>
    <x v="0"/>
    <x v="1"/>
    <x v="1"/>
    <s v="Объекты_устье"/>
    <x v="23"/>
    <m/>
    <s v="Монтаж выкидной линии ƩL=170м."/>
    <n v="5"/>
    <n v="2758.16"/>
    <s v="Работы окончены"/>
    <x v="1"/>
    <m/>
    <m/>
    <m/>
    <m/>
    <m/>
    <m/>
    <n v="0"/>
    <d v="2026-06-07T07:00:00"/>
    <x v="161"/>
    <n v="0.2083333333333333"/>
    <n v="35.66666666666664"/>
    <x v="2"/>
    <n v="0"/>
    <n v="0"/>
    <n v="5"/>
    <n v="131"/>
    <n v="0"/>
    <x v="36"/>
    <d v="1899-12-30T07:00:00"/>
    <d v="2026-06-07T00:00:00"/>
    <d v="1899-12-30T12:00:00"/>
    <x v="10"/>
    <s v="600 ОК– ПР Монтаж Блок дросселирования "/>
    <x v="56"/>
    <n v="0.6666666666666667"/>
    <x v="43"/>
  </r>
  <r>
    <s v="ГДТ"/>
    <s v="ЗБС"/>
    <s v="Казанское НГКМ"/>
    <s v="6"/>
    <x v="4"/>
    <x v="3"/>
    <m/>
    <x v="4"/>
    <n v="14"/>
    <s v="14.3"/>
    <m/>
    <x v="1"/>
    <s v="Штатно"/>
    <x v="0"/>
    <x v="1"/>
    <x v="1"/>
    <s v="Объекты_устье"/>
    <x v="23"/>
    <m/>
    <s v="Монтаж выкидной линии ƩL=210м."/>
    <n v="4"/>
    <n v="2758.16"/>
    <s v="Работы окончены"/>
    <x v="1"/>
    <m/>
    <m/>
    <m/>
    <m/>
    <m/>
    <m/>
    <n v="0"/>
    <d v="2026-06-07T12:00:00"/>
    <x v="162"/>
    <n v="0.1666666666666667"/>
    <n v="35.83333333333331"/>
    <x v="2"/>
    <n v="0"/>
    <n v="0"/>
    <n v="4"/>
    <n v="135"/>
    <n v="0"/>
    <x v="36"/>
    <d v="1899-12-30T12:00:00"/>
    <d v="2026-06-07T00:00:00"/>
    <d v="1899-12-30T16:00:00"/>
    <x v="10"/>
    <s v="600 ОК– ПР Монтаж Блок дросселирования "/>
    <x v="56"/>
    <n v="0.8333333333333334"/>
    <x v="43"/>
  </r>
  <r>
    <s v="ГДТ"/>
    <s v="ЗБС"/>
    <s v="Казанское НГКМ"/>
    <s v="6"/>
    <x v="4"/>
    <x v="3"/>
    <m/>
    <x v="4"/>
    <n v="14"/>
    <s v="14.4"/>
    <m/>
    <x v="1"/>
    <s v="Штатно"/>
    <x v="0"/>
    <x v="1"/>
    <x v="1"/>
    <s v="Объекты_устье"/>
    <x v="23"/>
    <m/>
    <s v="Монтаж выкидной линии ƩL=235м."/>
    <n v="4"/>
    <n v="2758.16"/>
    <s v="Работы окончены"/>
    <x v="1"/>
    <m/>
    <m/>
    <m/>
    <m/>
    <m/>
    <m/>
    <n v="0"/>
    <d v="2026-06-07T16:00:00"/>
    <x v="163"/>
    <n v="0.1666666666666667"/>
    <n v="35.99999999999997"/>
    <x v="2"/>
    <n v="0"/>
    <n v="0"/>
    <n v="4"/>
    <n v="139"/>
    <n v="0"/>
    <x v="36"/>
    <d v="1899-12-30T16:00:00"/>
    <d v="2026-06-07T00:00:00"/>
    <d v="1899-12-30T20:00:00"/>
    <x v="10"/>
    <s v="600 ОК– ПР Монтаж Блок дросселирования "/>
    <x v="56"/>
    <n v="1"/>
    <x v="43"/>
  </r>
  <r>
    <s v="ГДТ"/>
    <s v="ЗБС"/>
    <s v="Казанское НГКМ"/>
    <s v="6"/>
    <x v="4"/>
    <x v="3"/>
    <m/>
    <x v="4"/>
    <n v="14"/>
    <s v="14.5"/>
    <m/>
    <x v="1"/>
    <s v="Штатно"/>
    <x v="0"/>
    <x v="1"/>
    <x v="1"/>
    <s v="Объекты_устье"/>
    <x v="23"/>
    <m/>
    <s v="Монтаж БД (продолжается)."/>
    <n v="4"/>
    <n v="2758.16"/>
    <s v="Работы окончены"/>
    <x v="1"/>
    <m/>
    <m/>
    <m/>
    <m/>
    <m/>
    <m/>
    <n v="0"/>
    <d v="2026-06-07T20:00:00"/>
    <x v="164"/>
    <n v="0.1666666666666667"/>
    <n v="36.16666666666664"/>
    <x v="2"/>
    <n v="0"/>
    <n v="0"/>
    <n v="4"/>
    <n v="143"/>
    <n v="0"/>
    <x v="36"/>
    <d v="1899-12-30T20:00:00"/>
    <d v="2026-06-08T00:00:00"/>
    <d v="1899-12-31T00:00:00"/>
    <x v="10"/>
    <s v="600 ОК– ПР Монтаж Блок дросселирования "/>
    <x v="56"/>
    <n v="1.166666666666667"/>
    <x v="43"/>
  </r>
  <r>
    <s v="ГДТ"/>
    <s v="ЗБС"/>
    <s v="Казанское НГКМ"/>
    <s v="6"/>
    <x v="4"/>
    <x v="4"/>
    <m/>
    <x v="5"/>
    <n v="15"/>
    <s v="15.1"/>
    <m/>
    <x v="1"/>
    <s v="Штатно"/>
    <x v="0"/>
    <x v="9"/>
    <x v="16"/>
    <s v="Объекты_устье"/>
    <x v="23"/>
    <m/>
    <s v="Опрессовка выкидной линии 5МПа — герметично. Монтаж БД (продолжается)."/>
    <n v="7"/>
    <n v="2758.16"/>
    <s v="Работы окончены"/>
    <x v="1"/>
    <m/>
    <m/>
    <m/>
    <m/>
    <m/>
    <m/>
    <n v="0"/>
    <d v="2026-06-08T00:00:00"/>
    <x v="165"/>
    <n v="0.2916666666666667"/>
    <n v="36.4583333333333"/>
    <x v="2"/>
    <n v="0"/>
    <n v="0"/>
    <n v="7"/>
    <n v="150"/>
    <n v="0"/>
    <x v="37"/>
    <d v="1899-12-31T00:00:00"/>
    <d v="2026-06-08T00:00:00"/>
    <d v="1899-12-30T07:00:00"/>
    <x v="11"/>
    <s v="600 ОК– ПР Опрессовка Блок дросселирования "/>
    <x v="57"/>
    <n v="0.2916666666666667"/>
    <x v="44"/>
  </r>
  <r>
    <s v="ГДТ"/>
    <s v="ЗБС"/>
    <s v="Казанское НГКМ"/>
    <s v="6"/>
    <x v="4"/>
    <x v="4"/>
    <m/>
    <x v="4"/>
    <n v="15"/>
    <s v="15.2"/>
    <m/>
    <x v="1"/>
    <s v="Штатно"/>
    <x v="0"/>
    <x v="1"/>
    <x v="1"/>
    <s v="Объекты_устье"/>
    <x v="23"/>
    <m/>
    <s v="Монтаж БД (продолжается)."/>
    <n v="5"/>
    <n v="2758.16"/>
    <s v="Работы окончены"/>
    <x v="1"/>
    <m/>
    <m/>
    <m/>
    <m/>
    <m/>
    <m/>
    <n v="0"/>
    <d v="2026-06-08T07:00:00"/>
    <x v="166"/>
    <n v="0.2083333333333333"/>
    <n v="36.66666666666664"/>
    <x v="2"/>
    <n v="0"/>
    <n v="0"/>
    <n v="5"/>
    <n v="155"/>
    <n v="0"/>
    <x v="37"/>
    <d v="1899-12-30T07:00:00"/>
    <d v="2026-06-08T00:00:00"/>
    <d v="1899-12-30T12:00:00"/>
    <x v="8"/>
    <s v="600 ОК– ПР Монтаж Блок дросселирования "/>
    <x v="56"/>
    <n v="1.375"/>
    <x v="43"/>
  </r>
  <r>
    <s v="ГДТ"/>
    <s v="ЗБС"/>
    <s v="Казанское НГКМ"/>
    <s v="6"/>
    <x v="4"/>
    <x v="4"/>
    <m/>
    <x v="4"/>
    <n v="15"/>
    <s v="15.3"/>
    <m/>
    <x v="1"/>
    <s v="Штатно"/>
    <x v="0"/>
    <x v="1"/>
    <x v="1"/>
    <s v="Объекты_устье"/>
    <x v="23"/>
    <m/>
    <s v="Монтаж БД (продолжается)."/>
    <n v="4"/>
    <n v="2758.16"/>
    <s v="Работы окончены"/>
    <x v="1"/>
    <m/>
    <m/>
    <m/>
    <m/>
    <m/>
    <m/>
    <n v="0"/>
    <d v="2026-06-08T12:00:00"/>
    <x v="167"/>
    <n v="0.1666666666666667"/>
    <n v="36.8333333333333"/>
    <x v="2"/>
    <n v="0"/>
    <n v="0"/>
    <n v="4"/>
    <n v="159"/>
    <n v="0"/>
    <x v="37"/>
    <d v="1899-12-30T12:00:00"/>
    <d v="2026-06-08T00:00:00"/>
    <d v="1899-12-30T16:00:00"/>
    <x v="8"/>
    <s v="600 ОК– ПР Монтаж Блок дросселирования "/>
    <x v="56"/>
    <n v="1.541666666666667"/>
    <x v="43"/>
  </r>
  <r>
    <s v="ГДТ"/>
    <s v="ЗБС"/>
    <s v="Казанское НГКМ"/>
    <s v="6"/>
    <x v="4"/>
    <x v="4"/>
    <m/>
    <x v="4"/>
    <n v="15"/>
    <s v="15.4"/>
    <m/>
    <x v="1"/>
    <s v="Штатно"/>
    <x v="0"/>
    <x v="1"/>
    <x v="1"/>
    <s v="Объекты_устье"/>
    <x v="23"/>
    <m/>
    <s v="Монтаж БД (продолжается)."/>
    <n v="4"/>
    <n v="2758.16"/>
    <s v="Работы окончены"/>
    <x v="1"/>
    <m/>
    <m/>
    <m/>
    <m/>
    <m/>
    <m/>
    <n v="0"/>
    <d v="2026-06-08T16:00:00"/>
    <x v="168"/>
    <n v="0.1666666666666667"/>
    <n v="36.99999999999996"/>
    <x v="2"/>
    <n v="0"/>
    <n v="0"/>
    <n v="4"/>
    <n v="163"/>
    <n v="0"/>
    <x v="37"/>
    <d v="1899-12-30T16:00:00"/>
    <d v="2026-06-08T00:00:00"/>
    <d v="1899-12-30T20:00:00"/>
    <x v="8"/>
    <s v="600 ОК– ПР Монтаж Блок дросселирования "/>
    <x v="56"/>
    <n v="1.708333333333333"/>
    <x v="43"/>
  </r>
  <r>
    <s v="ГДТ"/>
    <s v="ЗБС"/>
    <s v="Казанское НГКМ"/>
    <s v="6"/>
    <x v="4"/>
    <x v="4"/>
    <m/>
    <x v="4"/>
    <n v="15"/>
    <s v="15.5"/>
    <m/>
    <x v="1"/>
    <s v="Штатно"/>
    <x v="0"/>
    <x v="1"/>
    <x v="1"/>
    <s v="Объекты_устье"/>
    <x v="23"/>
    <m/>
    <s v="Монтаж БД (продолжается)."/>
    <n v="4"/>
    <n v="2758.16"/>
    <s v="Работы окончены"/>
    <x v="1"/>
    <m/>
    <m/>
    <m/>
    <m/>
    <m/>
    <m/>
    <n v="0"/>
    <d v="2026-06-08T20:00:00"/>
    <x v="169"/>
    <n v="0.1666666666666667"/>
    <n v="37.16666666666663"/>
    <x v="2"/>
    <n v="0"/>
    <n v="0"/>
    <n v="4"/>
    <n v="167"/>
    <n v="0"/>
    <x v="37"/>
    <d v="1899-12-30T20:00:00"/>
    <d v="2026-06-09T00:00:00"/>
    <d v="1899-12-31T00:00:00"/>
    <x v="8"/>
    <s v="600 ОК– ПР Монтаж Блок дросселирования "/>
    <x v="56"/>
    <n v="1.875"/>
    <x v="43"/>
  </r>
  <r>
    <s v="ГДТ"/>
    <s v="ЗБС"/>
    <s v="Казанское НГКМ"/>
    <s v="6"/>
    <x v="4"/>
    <x v="3"/>
    <m/>
    <x v="5"/>
    <n v="16"/>
    <s v="16.1"/>
    <m/>
    <x v="1"/>
    <s v="Штатно"/>
    <x v="0"/>
    <x v="1"/>
    <x v="1"/>
    <s v="Объекты_устье"/>
    <x v="23"/>
    <m/>
    <s v="Монтаж БД (продолжается)."/>
    <n v="7"/>
    <n v="2758.16"/>
    <s v="Работы окончены"/>
    <x v="1"/>
    <m/>
    <m/>
    <m/>
    <m/>
    <m/>
    <m/>
    <n v="0"/>
    <d v="2026-06-09T00:00:00"/>
    <x v="170"/>
    <n v="0.2916666666666667"/>
    <n v="37.45833333333329"/>
    <x v="2"/>
    <n v="0"/>
    <n v="0"/>
    <n v="7"/>
    <n v="174"/>
    <n v="0"/>
    <x v="38"/>
    <d v="1899-12-31T00:00:00"/>
    <d v="2026-06-09T00:00:00"/>
    <d v="1899-12-30T07:00:00"/>
    <x v="9"/>
    <s v="600 ОК– ПР Монтаж Блок дросселирования "/>
    <x v="56"/>
    <n v="2.166666666666667"/>
    <x v="43"/>
  </r>
  <r>
    <s v="ГДТ"/>
    <s v="ЗБС"/>
    <s v="Казанское НГКМ"/>
    <s v="6"/>
    <x v="4"/>
    <x v="3"/>
    <m/>
    <x v="4"/>
    <n v="16"/>
    <s v="16.2"/>
    <m/>
    <x v="1"/>
    <s v="Штатно"/>
    <x v="0"/>
    <x v="1"/>
    <x v="1"/>
    <s v="Объекты_устье"/>
    <x v="23"/>
    <m/>
    <s v="Монтаж БД (продолжается)."/>
    <n v="5"/>
    <n v="2758.16"/>
    <s v="Работы окончены"/>
    <x v="1"/>
    <m/>
    <m/>
    <m/>
    <m/>
    <m/>
    <m/>
    <n v="0"/>
    <d v="2026-06-09T07:00:00"/>
    <x v="171"/>
    <n v="0.2083333333333333"/>
    <n v="37.66666666666663"/>
    <x v="2"/>
    <n v="0"/>
    <n v="0"/>
    <n v="5"/>
    <n v="179"/>
    <n v="0"/>
    <x v="38"/>
    <d v="1899-12-30T07:00:00"/>
    <d v="2026-06-09T00:00:00"/>
    <d v="1899-12-30T12:00:00"/>
    <x v="10"/>
    <s v="600 ОК– ПР Монтаж Блок дросселирования "/>
    <x v="56"/>
    <n v="2.375"/>
    <x v="43"/>
  </r>
  <r>
    <s v="ГДТ"/>
    <s v="ЗБС"/>
    <s v="Казанское НГКМ"/>
    <s v="6"/>
    <x v="4"/>
    <x v="3"/>
    <m/>
    <x v="4"/>
    <n v="16"/>
    <s v="16.3"/>
    <m/>
    <x v="1"/>
    <s v="Штатно"/>
    <x v="0"/>
    <x v="1"/>
    <x v="1"/>
    <s v="Объекты_устье"/>
    <x v="23"/>
    <m/>
    <s v="Монтаж БД (продолжается)."/>
    <n v="4"/>
    <n v="2758.16"/>
    <s v="Работы окончены"/>
    <x v="1"/>
    <m/>
    <m/>
    <m/>
    <m/>
    <m/>
    <m/>
    <n v="0"/>
    <d v="2026-06-09T12:00:00"/>
    <x v="172"/>
    <n v="0.1666666666666667"/>
    <n v="37.83333333333329"/>
    <x v="2"/>
    <n v="0"/>
    <n v="0"/>
    <n v="4"/>
    <n v="183"/>
    <n v="0"/>
    <x v="38"/>
    <d v="1899-12-30T12:00:00"/>
    <d v="2026-06-09T00:00:00"/>
    <d v="1899-12-30T16:00:00"/>
    <x v="10"/>
    <s v="600 ОК– ПР Монтаж Блок дросселирования "/>
    <x v="56"/>
    <n v="2.541666666666667"/>
    <x v="43"/>
  </r>
  <r>
    <s v="ГДТ"/>
    <s v="ЗБС"/>
    <s v="Казанское НГКМ"/>
    <s v="6"/>
    <x v="4"/>
    <x v="3"/>
    <m/>
    <x v="4"/>
    <n v="16"/>
    <s v="16.4"/>
    <m/>
    <x v="1"/>
    <s v="Штатно"/>
    <x v="0"/>
    <x v="1"/>
    <x v="1"/>
    <s v="Объекты_устье"/>
    <x v="23"/>
    <m/>
    <s v="Монтаж БД (продолжается)."/>
    <n v="4"/>
    <n v="2758.16"/>
    <s v="Работы окончены"/>
    <x v="1"/>
    <m/>
    <m/>
    <m/>
    <m/>
    <m/>
    <m/>
    <n v="0"/>
    <d v="2026-06-09T16:00:00"/>
    <x v="173"/>
    <n v="0.1666666666666667"/>
    <n v="37.99999999999996"/>
    <x v="2"/>
    <n v="0"/>
    <n v="0"/>
    <n v="4"/>
    <n v="187"/>
    <n v="0"/>
    <x v="38"/>
    <d v="1899-12-30T16:00:00"/>
    <d v="2026-06-09T00:00:00"/>
    <d v="1899-12-30T20:00:00"/>
    <x v="10"/>
    <s v="600 ОК– ПР Монтаж Блок дросселирования "/>
    <x v="56"/>
    <n v="2.708333333333333"/>
    <x v="43"/>
  </r>
  <r>
    <s v="ГДТ"/>
    <s v="ЗБС"/>
    <s v="Казанское НГКМ"/>
    <s v="6"/>
    <x v="4"/>
    <x v="3"/>
    <m/>
    <x v="4"/>
    <n v="16"/>
    <s v="16.5"/>
    <m/>
    <x v="2"/>
    <s v="Штатно"/>
    <x v="0"/>
    <x v="9"/>
    <x v="18"/>
    <s v="Объекты_промывка_СО"/>
    <x v="13"/>
    <m/>
    <s v="Монтаж БД. Разрядка МКП (+), опрессовка МКП 4,4МПа — герметично, МПУ 21МПа — герметично. Начало глушения обратной промывкой γ-1,15 г/см³, покачали V=1,5м³, рост давления."/>
    <n v="4"/>
    <n v="2758.16"/>
    <s v="Работы окончены"/>
    <x v="1"/>
    <m/>
    <m/>
    <m/>
    <m/>
    <m/>
    <m/>
    <n v="0"/>
    <d v="2026-06-09T20:00:00"/>
    <x v="174"/>
    <n v="0.1666666666666667"/>
    <n v="38.16666666666662"/>
    <x v="2"/>
    <n v="0"/>
    <n v="0"/>
    <n v="4"/>
    <n v="191"/>
    <n v="0"/>
    <x v="38"/>
    <d v="1899-12-30T20:00:00"/>
    <d v="2026-06-10T00:00:00"/>
    <d v="1899-12-31T00:00:00"/>
    <x v="10"/>
    <s v="600 ОК– КРС Глушение Скважина "/>
    <x v="54"/>
    <n v="0.3333333333333333"/>
    <x v="23"/>
  </r>
  <r>
    <s v="ГДТ"/>
    <s v="ЗБС"/>
    <s v="Казанское НГКМ"/>
    <s v="6"/>
    <x v="4"/>
    <x v="4"/>
    <m/>
    <x v="5"/>
    <n v="17"/>
    <s v="17.1"/>
    <m/>
    <x v="2"/>
    <s v="Штатно"/>
    <x v="0"/>
    <x v="9"/>
    <x v="18"/>
    <s v="Объекты_промывка_СО"/>
    <x v="13"/>
    <m/>
    <s v="Глушение скважины обратной промывкой γ-1,15 г/см³, ƩV=17м³, Рраб.тр=10атм, Рзатр=130атм."/>
    <n v="7"/>
    <n v="2758.16"/>
    <s v="Работы окончены"/>
    <x v="1"/>
    <m/>
    <m/>
    <m/>
    <m/>
    <m/>
    <m/>
    <n v="0"/>
    <d v="2026-06-10T00:00:00"/>
    <x v="175"/>
    <n v="0.2916666666666667"/>
    <n v="38.45833333333329"/>
    <x v="2"/>
    <n v="0"/>
    <n v="0"/>
    <n v="7"/>
    <n v="198"/>
    <n v="0"/>
    <x v="39"/>
    <d v="1899-12-31T00:00:00"/>
    <d v="2026-06-10T00:00:00"/>
    <d v="1899-12-30T07:00:00"/>
    <x v="11"/>
    <s v="600 ОК– КРС Глушение Скважина "/>
    <x v="54"/>
    <n v="0.625"/>
    <x v="23"/>
  </r>
  <r>
    <s v="ГДТ"/>
    <s v="ЗБС"/>
    <s v="Казанское НГКМ"/>
    <s v="6"/>
    <x v="4"/>
    <x v="4"/>
    <m/>
    <x v="5"/>
    <n v="17"/>
    <s v="17.2"/>
    <m/>
    <x v="2"/>
    <s v="Штатно"/>
    <x v="0"/>
    <x v="9"/>
    <x v="18"/>
    <s v="Объекты_промывка_СО"/>
    <x v="13"/>
    <m/>
    <s v="Глушение скважины обратной промывкой γ-1,15 г/см³, ƩV=28м³, Рраб.тр=10атм, Рзатр=130атм."/>
    <n v="5"/>
    <n v="2758.16"/>
    <s v="Работы окончены"/>
    <x v="1"/>
    <m/>
    <m/>
    <m/>
    <m/>
    <m/>
    <m/>
    <n v="0"/>
    <d v="2026-06-10T07:00:00"/>
    <x v="176"/>
    <n v="0.2083333333333333"/>
    <n v="38.66666666666662"/>
    <x v="2"/>
    <n v="0"/>
    <n v="0"/>
    <n v="5"/>
    <n v="203"/>
    <n v="0"/>
    <x v="39"/>
    <d v="1899-12-30T07:00:00"/>
    <d v="2026-06-10T00:00:00"/>
    <d v="1899-12-30T12:00:00"/>
    <x v="11"/>
    <s v="600 ОК– КРС Глушение Скважина "/>
    <x v="54"/>
    <n v="0.8333333333333334"/>
    <x v="23"/>
  </r>
  <r>
    <s v="ГДТ"/>
    <s v="ЗБС"/>
    <s v="Казанское НГКМ"/>
    <s v="6"/>
    <x v="4"/>
    <x v="4"/>
    <m/>
    <x v="5"/>
    <n v="17"/>
    <s v="17.3"/>
    <m/>
    <x v="2"/>
    <s v="Штатно"/>
    <x v="0"/>
    <x v="9"/>
    <x v="18"/>
    <s v="Объекты_промывка_СО"/>
    <x v="13"/>
    <m/>
    <s v="Глушение скважины обратной промывкой γ-1,15 г/см³, ƩV=33м³, Рраб.тр=10атм, Рзатр=130атм."/>
    <n v="4"/>
    <n v="2758.16"/>
    <s v="Работы окончены"/>
    <x v="1"/>
    <m/>
    <m/>
    <m/>
    <m/>
    <m/>
    <m/>
    <n v="0"/>
    <d v="2026-06-10T12:00:00"/>
    <x v="177"/>
    <n v="0.1666666666666667"/>
    <n v="38.83333333333329"/>
    <x v="2"/>
    <n v="0"/>
    <n v="0"/>
    <n v="4"/>
    <n v="207"/>
    <n v="0"/>
    <x v="39"/>
    <d v="1899-12-30T12:00:00"/>
    <d v="2026-06-10T00:00:00"/>
    <d v="1899-12-30T16:00:00"/>
    <x v="11"/>
    <s v="600 ОК– КРС Глушение Скважина "/>
    <x v="54"/>
    <n v="1"/>
    <x v="23"/>
  </r>
  <r>
    <s v="ГДТ"/>
    <s v="ЗБС"/>
    <s v="Казанское НГКМ"/>
    <s v="6"/>
    <x v="4"/>
    <x v="4"/>
    <m/>
    <x v="5"/>
    <n v="17"/>
    <s v="17.4"/>
    <m/>
    <x v="2"/>
    <s v="Штатно"/>
    <x v="0"/>
    <x v="9"/>
    <x v="18"/>
    <s v="Объекты_промывка_СО"/>
    <x v="13"/>
    <m/>
    <s v="Глушение скважины обратной промывкой γ-1,15 г/см³, ƩV=39м³, Рраб.тр=10атм, Рзатр=130атм."/>
    <n v="4"/>
    <n v="2758.16"/>
    <s v="Работы окончены"/>
    <x v="1"/>
    <m/>
    <m/>
    <m/>
    <m/>
    <m/>
    <m/>
    <n v="0"/>
    <d v="2026-06-10T16:00:00"/>
    <x v="178"/>
    <n v="0.1666666666666667"/>
    <n v="38.99999999999995"/>
    <x v="2"/>
    <n v="0"/>
    <n v="0"/>
    <n v="4"/>
    <n v="211"/>
    <n v="0"/>
    <x v="39"/>
    <d v="1899-12-30T16:00:00"/>
    <d v="2026-06-10T00:00:00"/>
    <d v="1899-12-30T20:00:00"/>
    <x v="11"/>
    <s v="600 ОК– КРС Глушение Скважина "/>
    <x v="54"/>
    <n v="1.166666666666667"/>
    <x v="23"/>
  </r>
  <r>
    <s v="ГДТ"/>
    <s v="ЗБС"/>
    <s v="Казанское НГКМ"/>
    <s v="6"/>
    <x v="4"/>
    <x v="4"/>
    <m/>
    <x v="5"/>
    <n v="17"/>
    <s v="17.5"/>
    <m/>
    <x v="2"/>
    <s v="Штатно"/>
    <x v="0"/>
    <x v="9"/>
    <x v="18"/>
    <s v="Объекты_промывка_СО"/>
    <x v="13"/>
    <m/>
    <s v="Глушение скважины обратной промывкой γ-1,15 г/см³, ƩV=46м³, Рраб.тр=10атм, Рзатр=130атм."/>
    <n v="4"/>
    <n v="2758.16"/>
    <s v="Работы окончены"/>
    <x v="1"/>
    <m/>
    <m/>
    <m/>
    <m/>
    <m/>
    <m/>
    <n v="0"/>
    <d v="2026-06-10T20:00:00"/>
    <x v="179"/>
    <n v="0.1666666666666667"/>
    <n v="39.16666666666661"/>
    <x v="2"/>
    <n v="0"/>
    <n v="0"/>
    <n v="4"/>
    <n v="215"/>
    <n v="0"/>
    <x v="39"/>
    <d v="1899-12-30T20:00:00"/>
    <d v="2026-06-11T00:00:00"/>
    <d v="1899-12-31T00:00:00"/>
    <x v="11"/>
    <s v="600 ОК– КРС Глушение Скважина "/>
    <x v="54"/>
    <n v="1.333333333333333"/>
    <x v="23"/>
  </r>
  <r>
    <s v="ГДТ"/>
    <s v="ЗБС"/>
    <s v="Казанское НГКМ"/>
    <s v="6"/>
    <x v="4"/>
    <x v="3"/>
    <m/>
    <x v="4"/>
    <n v="18"/>
    <s v="18.1"/>
    <m/>
    <x v="2"/>
    <s v="Штатно"/>
    <x v="0"/>
    <x v="9"/>
    <x v="18"/>
    <s v="Объекты_промывка_СО"/>
    <x v="13"/>
    <m/>
    <s v="Глушение скважины обратной промывкой γ-1,15 г/см³, ƩV=59,4м³. На выходе газ, нефть, тех. вода. Тех. стоянка."/>
    <n v="7"/>
    <n v="2758.16"/>
    <s v="Работы окончены"/>
    <x v="1"/>
    <m/>
    <m/>
    <m/>
    <m/>
    <m/>
    <m/>
    <n v="0"/>
    <d v="2026-06-11T00:00:00"/>
    <x v="180"/>
    <n v="0.2916666666666667"/>
    <n v="39.45833333333328"/>
    <x v="2"/>
    <n v="0"/>
    <n v="0"/>
    <n v="7"/>
    <n v="222"/>
    <n v="0"/>
    <x v="40"/>
    <d v="1899-12-31T00:00:00"/>
    <d v="2026-06-11T00:00:00"/>
    <d v="1899-12-30T07:00:00"/>
    <x v="10"/>
    <s v="600 ОК– КРС Глушение Скважина "/>
    <x v="54"/>
    <n v="1.625"/>
    <x v="23"/>
  </r>
  <r>
    <s v="ГДТ"/>
    <s v="ЗБС"/>
    <s v="Казанское НГКМ"/>
    <s v="6"/>
    <x v="4"/>
    <x v="3"/>
    <m/>
    <x v="5"/>
    <n v="18"/>
    <s v="18.2"/>
    <m/>
    <x v="2"/>
    <s v="Штатно"/>
    <x v="0"/>
    <x v="9"/>
    <x v="18"/>
    <s v="Объекты_промывка_СО"/>
    <x v="13"/>
    <m/>
    <s v="Тех. стоянка 3ч. Разрядка скважины (+). Долив р-ром глушения 0,2м³. Опрессовка превентора 2FZ12-35 с запорной компоновкой 35МПа (продолжается)."/>
    <n v="5"/>
    <n v="2758.16"/>
    <s v="Работы окончены"/>
    <x v="1"/>
    <m/>
    <m/>
    <m/>
    <m/>
    <m/>
    <m/>
    <n v="0"/>
    <d v="2026-06-11T07:00:00"/>
    <x v="181"/>
    <n v="0.2083333333333333"/>
    <n v="39.66666666666661"/>
    <x v="2"/>
    <n v="0"/>
    <n v="0"/>
    <n v="5"/>
    <n v="227"/>
    <n v="0"/>
    <x v="40"/>
    <d v="1899-12-30T07:00:00"/>
    <d v="2026-06-11T00:00:00"/>
    <d v="1899-12-30T12:00:00"/>
    <x v="9"/>
    <s v="600 ОК– КРС Глушение Скважина "/>
    <x v="54"/>
    <n v="1.833333333333333"/>
    <x v="23"/>
  </r>
  <r>
    <s v="ГДТ"/>
    <s v="ЗБС"/>
    <s v="Казанское НГКМ"/>
    <s v="6"/>
    <x v="4"/>
    <x v="3"/>
    <m/>
    <x v="5"/>
    <n v="18"/>
    <s v="18.3"/>
    <m/>
    <x v="1"/>
    <s v="Штатно"/>
    <x v="0"/>
    <x v="9"/>
    <x v="16"/>
    <s v="Объекты_устье"/>
    <x v="12"/>
    <m/>
    <s v="Опрессовка превентора 35МПа — герметично. Опрессовка БД 35МПа — не герм., устранение, повторно — герметично. Монтаж УБРСП-80 (продолжается)."/>
    <n v="4"/>
    <n v="2758.16"/>
    <s v="Работы окончены"/>
    <x v="1"/>
    <m/>
    <m/>
    <m/>
    <m/>
    <m/>
    <m/>
    <n v="0"/>
    <d v="2026-06-11T12:00:00"/>
    <x v="182"/>
    <n v="0.1666666666666667"/>
    <n v="39.83333333333328"/>
    <x v="2"/>
    <n v="0"/>
    <n v="0"/>
    <n v="4"/>
    <n v="231"/>
    <n v="0"/>
    <x v="40"/>
    <d v="1899-12-30T12:00:00"/>
    <d v="2026-06-11T00:00:00"/>
    <d v="1899-12-30T16:00:00"/>
    <x v="9"/>
    <s v="600 ОК– ПР Опрессовка ПВО "/>
    <x v="58"/>
    <n v="0.1666666666666667"/>
    <x v="20"/>
  </r>
  <r>
    <s v="ГДТ"/>
    <s v="ЗБС"/>
    <s v="Казанское НГКМ"/>
    <s v="6"/>
    <x v="4"/>
    <x v="3"/>
    <m/>
    <x v="5"/>
    <n v="18"/>
    <s v="18.4"/>
    <m/>
    <x v="2"/>
    <s v="Штатно"/>
    <x v="0"/>
    <x v="9"/>
    <x v="18"/>
    <s v="Объекты_промывка_СО"/>
    <x v="13"/>
    <m/>
    <s v="Монтаж УБРСП-80 (100%). Якоря 2шт, пригрузы 2шт. Монтаж РП, СУ-80, ИВЭ-50, ГКШ-1500. Долив р-ром 1,15 г/см³ ƩV=1,5м³."/>
    <n v="4"/>
    <n v="2758.16"/>
    <s v="Работы окончены"/>
    <x v="1"/>
    <m/>
    <m/>
    <m/>
    <m/>
    <m/>
    <m/>
    <n v="0"/>
    <d v="2026-06-11T16:00:00"/>
    <x v="183"/>
    <n v="0.1666666666666667"/>
    <n v="39.99999999999994"/>
    <x v="2"/>
    <n v="0"/>
    <n v="0"/>
    <n v="4"/>
    <n v="235"/>
    <n v="0"/>
    <x v="40"/>
    <d v="1899-12-30T16:00:00"/>
    <d v="2026-06-11T00:00:00"/>
    <d v="1899-12-30T20:00:00"/>
    <x v="9"/>
    <s v="600 ОК– КРС Глушение Скважина "/>
    <x v="54"/>
    <n v="2"/>
    <x v="23"/>
  </r>
  <r>
    <s v="ГДТ"/>
    <s v="ЗБС"/>
    <s v="Казанское НГКМ"/>
    <s v="6"/>
    <x v="4"/>
    <x v="3"/>
    <m/>
    <x v="5"/>
    <n v="18"/>
    <s v="18.5"/>
    <m/>
    <x v="2"/>
    <s v="Штатно"/>
    <x v="0"/>
    <x v="9"/>
    <x v="18"/>
    <s v="Объекты_промывка_СО"/>
    <x v="13"/>
    <m/>
    <s v="Монтаж ПМ с 3 стеллажами. Проявление по затрубу Ризб=2атм. Приготовление р-ра 1,15 г/см³ V=4,5м³ для повторного глушения."/>
    <n v="4"/>
    <n v="2758.16"/>
    <s v="Работы окончены"/>
    <x v="1"/>
    <m/>
    <m/>
    <m/>
    <m/>
    <m/>
    <m/>
    <n v="0"/>
    <d v="2026-06-11T20:00:00"/>
    <x v="184"/>
    <n v="0.1666666666666667"/>
    <n v="40.16666666666661"/>
    <x v="2"/>
    <n v="0"/>
    <n v="0"/>
    <n v="4"/>
    <n v="239"/>
    <n v="0"/>
    <x v="40"/>
    <d v="1899-12-30T20:00:00"/>
    <d v="2026-06-12T00:00:00"/>
    <d v="1899-12-31T00:00:00"/>
    <x v="9"/>
    <s v="600 ОК– КРС Глушение Скважина "/>
    <x v="54"/>
    <n v="2.166666666666667"/>
    <x v="23"/>
  </r>
  <r>
    <s v="ГДТ"/>
    <s v="ЗБС"/>
    <s v="Казанское НГКМ"/>
    <s v="6"/>
    <x v="4"/>
    <x v="4"/>
    <m/>
    <x v="4"/>
    <n v="19"/>
    <s v="19.1"/>
    <m/>
    <x v="1"/>
    <s v="Штатно"/>
    <x v="0"/>
    <x v="9"/>
    <x v="27"/>
    <s v="Объекты_промывка_СО"/>
    <x v="22"/>
    <m/>
    <s v="Приготовление р-ра глушения 1,15 г/см³, ƩV=24м³."/>
    <n v="7"/>
    <n v="2758.16"/>
    <s v="Работы окончены"/>
    <x v="1"/>
    <m/>
    <m/>
    <m/>
    <m/>
    <m/>
    <m/>
    <n v="0"/>
    <d v="2026-06-12T00:00:00"/>
    <x v="185"/>
    <n v="0.2916666666666667"/>
    <n v="40.45833333333327"/>
    <x v="2"/>
    <n v="0"/>
    <n v="0"/>
    <n v="7"/>
    <n v="246"/>
    <n v="0"/>
    <x v="41"/>
    <d v="1899-12-31T00:00:00"/>
    <d v="2026-06-12T00:00:00"/>
    <d v="1899-12-30T07:00:00"/>
    <x v="8"/>
    <s v="600 ОК– ПР Приготовление раствора Раствор глушения "/>
    <x v="55"/>
    <n v="1.958333333333333"/>
    <x v="42"/>
  </r>
  <r>
    <s v="ГДТ"/>
    <s v="ЗБС"/>
    <s v="Казанское НГКМ"/>
    <s v="6"/>
    <x v="4"/>
    <x v="4"/>
    <m/>
    <x v="5"/>
    <n v="19"/>
    <s v="19.2"/>
    <m/>
    <x v="1"/>
    <s v="Штатно"/>
    <x v="0"/>
    <x v="9"/>
    <x v="27"/>
    <s v="Объекты_промывка_СО"/>
    <x v="22"/>
    <m/>
    <s v="Приготовление р-ра глушения 1,15 г/см³, ƩV=35м³."/>
    <n v="5"/>
    <n v="2758.16"/>
    <s v="Работы окончены"/>
    <x v="1"/>
    <m/>
    <m/>
    <m/>
    <m/>
    <m/>
    <m/>
    <n v="0"/>
    <d v="2026-06-12T07:00:00"/>
    <x v="186"/>
    <n v="0.2083333333333333"/>
    <n v="40.66666666666661"/>
    <x v="2"/>
    <n v="0"/>
    <n v="0"/>
    <n v="5"/>
    <n v="251"/>
    <n v="0"/>
    <x v="41"/>
    <d v="1899-12-30T07:00:00"/>
    <d v="2026-06-12T00:00:00"/>
    <d v="1899-12-30T12:00:00"/>
    <x v="11"/>
    <s v="600 ОК– ПР Приготовление раствора Раствор глушения "/>
    <x v="55"/>
    <n v="2.166666666666667"/>
    <x v="42"/>
  </r>
  <r>
    <s v="ГДТ"/>
    <s v="ЗБС"/>
    <s v="Казанское НГКМ"/>
    <s v="6"/>
    <x v="4"/>
    <x v="4"/>
    <m/>
    <x v="5"/>
    <n v="19"/>
    <s v="19.3"/>
    <m/>
    <x v="1"/>
    <s v="Штатно"/>
    <x v="0"/>
    <x v="9"/>
    <x v="27"/>
    <s v="Объекты_промывка_СО"/>
    <x v="22"/>
    <m/>
    <s v="Приготовление р-ра глушения 1,15 г/см³, ƩV=44м³."/>
    <n v="4"/>
    <n v="2758.16"/>
    <s v="Работы окончены"/>
    <x v="1"/>
    <m/>
    <m/>
    <m/>
    <m/>
    <m/>
    <m/>
    <n v="0"/>
    <d v="2026-06-12T12:00:00"/>
    <x v="187"/>
    <n v="0.1666666666666667"/>
    <n v="40.83333333333327"/>
    <x v="2"/>
    <n v="0"/>
    <n v="0"/>
    <n v="4"/>
    <n v="255"/>
    <n v="0"/>
    <x v="41"/>
    <d v="1899-12-30T12:00:00"/>
    <d v="2026-06-12T00:00:00"/>
    <d v="1899-12-30T16:00:00"/>
    <x v="11"/>
    <s v="600 ОК– ПР Приготовление раствора Раствор глушения "/>
    <x v="55"/>
    <n v="2.333333333333333"/>
    <x v="42"/>
  </r>
  <r>
    <s v="ГДТ"/>
    <s v="ЗБС"/>
    <s v="Казанское НГКМ"/>
    <s v="6"/>
    <x v="4"/>
    <x v="4"/>
    <m/>
    <x v="5"/>
    <n v="19"/>
    <s v="19.4"/>
    <m/>
    <x v="1"/>
    <s v="Штатно"/>
    <x v="0"/>
    <x v="9"/>
    <x v="27"/>
    <s v="Объекты_промывка_СО"/>
    <x v="22"/>
    <m/>
    <s v="Приготовление р-ра глушения 1,15 г/см³, ƩV=54м³."/>
    <n v="4"/>
    <n v="2758.16"/>
    <s v="Работы окончены"/>
    <x v="1"/>
    <m/>
    <m/>
    <m/>
    <m/>
    <m/>
    <m/>
    <n v="0"/>
    <d v="2026-06-12T16:00:00"/>
    <x v="188"/>
    <n v="0.1666666666666667"/>
    <n v="40.99999999999994"/>
    <x v="2"/>
    <n v="0"/>
    <n v="0"/>
    <n v="4"/>
    <n v="259"/>
    <n v="0"/>
    <x v="41"/>
    <d v="1899-12-30T16:00:00"/>
    <d v="2026-06-12T00:00:00"/>
    <d v="1899-12-30T20:00:00"/>
    <x v="11"/>
    <s v="600 ОК– ПР Приготовление раствора Раствор глушения "/>
    <x v="55"/>
    <n v="2.5"/>
    <x v="42"/>
  </r>
  <r>
    <s v="ГДТ"/>
    <s v="ЗБС"/>
    <s v="Казанское НГКМ"/>
    <s v="6"/>
    <x v="4"/>
    <x v="4"/>
    <m/>
    <x v="5"/>
    <n v="19"/>
    <s v="19.5"/>
    <m/>
    <x v="2"/>
    <s v="Штатно"/>
    <x v="0"/>
    <x v="9"/>
    <x v="18"/>
    <s v="Объекты_промывка_СО"/>
    <x v="13"/>
    <m/>
    <s v="Приготовление р-ра глушения 1,15 г/см³, ƩV=59,4м³. Начало глушения обратной промывкой, покачали V=0,5м³, рост давления."/>
    <n v="4"/>
    <n v="2758.16"/>
    <s v="Работы окончены"/>
    <x v="1"/>
    <m/>
    <m/>
    <m/>
    <m/>
    <m/>
    <m/>
    <n v="0"/>
    <d v="2026-06-12T20:00:00"/>
    <x v="189"/>
    <n v="0.1666666666666667"/>
    <n v="41.1666666666666"/>
    <x v="2"/>
    <n v="0"/>
    <n v="0"/>
    <n v="4"/>
    <n v="263"/>
    <n v="0"/>
    <x v="41"/>
    <d v="1899-12-30T20:00:00"/>
    <d v="2026-06-13T00:00:00"/>
    <d v="1899-12-31T00:00:00"/>
    <x v="11"/>
    <s v="600 ОК– КРС Глушение Скважина "/>
    <x v="54"/>
    <n v="2.333333333333333"/>
    <x v="23"/>
  </r>
  <r>
    <s v="ГДТ"/>
    <s v="ЗБС"/>
    <s v="Казанское НГКМ"/>
    <s v="6"/>
    <x v="4"/>
    <x v="3"/>
    <m/>
    <x v="4"/>
    <n v="20"/>
    <s v="20.1"/>
    <m/>
    <x v="2"/>
    <s v="Штатно"/>
    <x v="0"/>
    <x v="9"/>
    <x v="18"/>
    <s v="Объекты_промывка_СО"/>
    <x v="13"/>
    <m/>
    <s v="Глушение скважины обратной промывкой γ-1,15 г/см³, ƩV=19м³, Рраб.тр=12атм, Рзатр=130атм."/>
    <n v="7"/>
    <n v="2758.16"/>
    <s v="Работы окончены"/>
    <x v="1"/>
    <m/>
    <m/>
    <m/>
    <m/>
    <m/>
    <m/>
    <n v="0"/>
    <d v="2026-06-13T00:00:00"/>
    <x v="190"/>
    <n v="0.2916666666666667"/>
    <n v="41.45833333333326"/>
    <x v="2"/>
    <n v="0"/>
    <n v="0"/>
    <n v="7"/>
    <n v="270"/>
    <n v="0"/>
    <x v="42"/>
    <d v="1899-12-31T00:00:00"/>
    <d v="2026-06-13T00:00:00"/>
    <d v="1899-12-30T07:00:00"/>
    <x v="10"/>
    <s v="600 ОК– КРС Глушение Скважина "/>
    <x v="54"/>
    <n v="2.625"/>
    <x v="23"/>
  </r>
  <r>
    <s v="ГДТ"/>
    <s v="ЗБС"/>
    <s v="Казанское НГКМ"/>
    <s v="6"/>
    <x v="4"/>
    <x v="3"/>
    <m/>
    <x v="5"/>
    <n v="20"/>
    <s v="20.2"/>
    <m/>
    <x v="2"/>
    <s v="Штатно"/>
    <x v="0"/>
    <x v="9"/>
    <x v="18"/>
    <s v="Объекты_промывка_СО"/>
    <x v="13"/>
    <m/>
    <s v="Глушение скважины обратной промывкой γ-1,15 г/см³, ƩV=29м³, Рраб.тр=12атм, Рзатр=130атм."/>
    <n v="5"/>
    <n v="2758.16"/>
    <s v="Работы окончены"/>
    <x v="1"/>
    <m/>
    <m/>
    <m/>
    <m/>
    <m/>
    <m/>
    <n v="0"/>
    <d v="2026-06-13T07:00:00"/>
    <x v="191"/>
    <n v="0.2083333333333333"/>
    <n v="41.6666666666666"/>
    <x v="2"/>
    <n v="0"/>
    <n v="0"/>
    <n v="5"/>
    <n v="275"/>
    <n v="0"/>
    <x v="42"/>
    <d v="1899-12-30T07:00:00"/>
    <d v="2026-06-13T00:00:00"/>
    <d v="1899-12-30T12:00:00"/>
    <x v="9"/>
    <s v="600 ОК– КРС Глушение Скважина "/>
    <x v="54"/>
    <n v="2.833333333333333"/>
    <x v="23"/>
  </r>
  <r>
    <s v="ГДТ"/>
    <s v="ЗБС"/>
    <s v="Казанское НГКМ"/>
    <s v="6"/>
    <x v="4"/>
    <x v="3"/>
    <m/>
    <x v="5"/>
    <n v="20"/>
    <s v="20.3"/>
    <m/>
    <x v="2"/>
    <s v="Штатно"/>
    <x v="0"/>
    <x v="9"/>
    <x v="18"/>
    <s v="Объекты_промывка_СО"/>
    <x v="13"/>
    <m/>
    <s v="Глушение скважины обратной промывкой γ-1,15 г/см³, ƩV=34м³, Рраб.тр=13атм, Рзатр=130атм."/>
    <n v="4"/>
    <n v="2758.16"/>
    <s v="Работы окончены"/>
    <x v="1"/>
    <m/>
    <m/>
    <m/>
    <m/>
    <m/>
    <m/>
    <n v="0"/>
    <d v="2026-06-13T12:00:00"/>
    <x v="192"/>
    <n v="0.1666666666666667"/>
    <n v="41.83333333333326"/>
    <x v="2"/>
    <n v="0"/>
    <n v="0"/>
    <n v="4"/>
    <n v="279"/>
    <n v="0"/>
    <x v="42"/>
    <d v="1899-12-30T12:00:00"/>
    <d v="2026-06-13T00:00:00"/>
    <d v="1899-12-30T16:00:00"/>
    <x v="9"/>
    <s v="600 ОК– КРС Глушение Скважина "/>
    <x v="54"/>
    <n v="3"/>
    <x v="23"/>
  </r>
  <r>
    <s v="ГДТ"/>
    <s v="ЗБС"/>
    <s v="Казанское НГКМ"/>
    <s v="6"/>
    <x v="4"/>
    <x v="3"/>
    <m/>
    <x v="5"/>
    <n v="20"/>
    <s v="20.4"/>
    <m/>
    <x v="2"/>
    <s v="Штатно"/>
    <x v="0"/>
    <x v="9"/>
    <x v="18"/>
    <s v="Объекты_промывка_СО"/>
    <x v="13"/>
    <m/>
    <s v="Глушение скважины обратной промывкой γ-1,15 г/см³, ƩV=39м³, Рраб.тр=13атм, Рзатр=130атм."/>
    <n v="4"/>
    <n v="2758.16"/>
    <s v="Работы окончены"/>
    <x v="1"/>
    <m/>
    <m/>
    <m/>
    <m/>
    <m/>
    <m/>
    <n v="0"/>
    <d v="2026-06-13T16:00:00"/>
    <x v="193"/>
    <n v="0.1666666666666667"/>
    <n v="41.99999999999993"/>
    <x v="2"/>
    <n v="0"/>
    <n v="0"/>
    <n v="4"/>
    <n v="283"/>
    <n v="0"/>
    <x v="42"/>
    <d v="1899-12-30T16:00:00"/>
    <d v="2026-06-13T00:00:00"/>
    <d v="1899-12-30T20:00:00"/>
    <x v="9"/>
    <s v="600 ОК– КРС Глушение Скважина "/>
    <x v="54"/>
    <n v="3.166666666666666"/>
    <x v="23"/>
  </r>
  <r>
    <s v="ГДТ"/>
    <s v="ЗБС"/>
    <s v="Казанское НГКМ"/>
    <s v="6"/>
    <x v="4"/>
    <x v="3"/>
    <m/>
    <x v="5"/>
    <n v="20"/>
    <s v="20.5"/>
    <m/>
    <x v="2"/>
    <s v="Штатно"/>
    <x v="0"/>
    <x v="9"/>
    <x v="18"/>
    <s v="Объекты_промывка_СО"/>
    <x v="13"/>
    <m/>
    <s v="Глушение скважины обратной промывкой γ-1,15 г/см³, ƩV=40м³. На выходе газ. Тех. стоянка 3ч. Разрядка скважины."/>
    <n v="4"/>
    <n v="2758.16"/>
    <s v="Работы окончены"/>
    <x v="1"/>
    <m/>
    <m/>
    <m/>
    <m/>
    <m/>
    <m/>
    <n v="0"/>
    <d v="2026-06-13T20:00:00"/>
    <x v="194"/>
    <n v="0.1666666666666667"/>
    <n v="42.16666666666659"/>
    <x v="2"/>
    <n v="0"/>
    <n v="0"/>
    <n v="4"/>
    <n v="287"/>
    <n v="0"/>
    <x v="42"/>
    <d v="1899-12-30T20:00:00"/>
    <d v="2026-06-14T00:00:00"/>
    <d v="1899-12-31T00:00:00"/>
    <x v="9"/>
    <s v="600 ОК– КРС Глушение Скважина "/>
    <x v="54"/>
    <n v="3.333333333333333"/>
    <x v="23"/>
  </r>
  <r>
    <s v="ГДТ"/>
    <s v="ЗБС"/>
    <s v="Казанское НГКМ"/>
    <s v="6"/>
    <x v="4"/>
    <x v="4"/>
    <m/>
    <x v="4"/>
    <n v="21"/>
    <s v="21.1"/>
    <m/>
    <x v="2"/>
    <s v="Штатно"/>
    <x v="0"/>
    <x v="9"/>
    <x v="18"/>
    <s v="Объекты_промывка_СО"/>
    <x v="13"/>
    <m/>
    <s v="Разрядка скважины (-), Ризб.тр=1атм, излив V=0,3м³/ч. Глушение обратной промывкой γ-1,15 г/см³, ƩV=9м³."/>
    <n v="7"/>
    <n v="2758.16"/>
    <s v="Работы окончены"/>
    <x v="1"/>
    <m/>
    <m/>
    <m/>
    <m/>
    <m/>
    <m/>
    <n v="0"/>
    <d v="2026-06-14T00:00:00"/>
    <x v="195"/>
    <n v="0.2916666666666667"/>
    <n v="42.45833333333326"/>
    <x v="2"/>
    <n v="0"/>
    <n v="0"/>
    <n v="7"/>
    <n v="294"/>
    <n v="0"/>
    <x v="43"/>
    <d v="1899-12-31T00:00:00"/>
    <d v="2026-06-14T00:00:00"/>
    <d v="1899-12-30T07:00:00"/>
    <x v="8"/>
    <s v="600 ОК– КРС Глушение Скважина "/>
    <x v="54"/>
    <n v="3.624999999999999"/>
    <x v="23"/>
  </r>
  <r>
    <s v="ГДТ"/>
    <s v="ЗБС"/>
    <s v="Казанское НГКМ"/>
    <s v="6"/>
    <x v="4"/>
    <x v="4"/>
    <m/>
    <x v="5"/>
    <n v="21"/>
    <s v="21.2"/>
    <m/>
    <x v="2"/>
    <s v="Штатно"/>
    <x v="0"/>
    <x v="9"/>
    <x v="18"/>
    <s v="Объекты_промывка_СО"/>
    <x v="13"/>
    <m/>
    <s v="Глушение скважины обратной промывкой γ-1,15 г/см³, ƩV=16м³, Рраб.тр=10атм, Рзатр=130атм."/>
    <n v="5"/>
    <n v="2758.16"/>
    <s v="Работы окончены"/>
    <x v="1"/>
    <m/>
    <m/>
    <m/>
    <m/>
    <m/>
    <m/>
    <n v="0"/>
    <d v="2026-06-14T07:00:00"/>
    <x v="196"/>
    <n v="0.2083333333333333"/>
    <n v="42.66666666666659"/>
    <x v="2"/>
    <n v="0"/>
    <n v="0"/>
    <n v="5"/>
    <n v="299"/>
    <n v="0"/>
    <x v="43"/>
    <d v="1899-12-30T07:00:00"/>
    <d v="2026-06-14T00:00:00"/>
    <d v="1899-12-30T12:00:00"/>
    <x v="11"/>
    <s v="600 ОК– КРС Глушение Скважина "/>
    <x v="54"/>
    <n v="3.833333333333333"/>
    <x v="23"/>
  </r>
  <r>
    <s v="ГДТ"/>
    <s v="ЗБС"/>
    <s v="Казанское НГКМ"/>
    <s v="6"/>
    <x v="4"/>
    <x v="4"/>
    <m/>
    <x v="5"/>
    <n v="21"/>
    <s v="21.3"/>
    <m/>
    <x v="2"/>
    <s v="Штатно"/>
    <x v="0"/>
    <x v="9"/>
    <x v="18"/>
    <s v="Объекты_промывка_СО"/>
    <x v="13"/>
    <m/>
    <s v="Глушение скважины обратной промывкой γ-1,15 г/см³, ƩV=27м³, Рраб.тр=10атм, Рзатр=130атм."/>
    <n v="4"/>
    <n v="2758.16"/>
    <s v="Работы окончены"/>
    <x v="1"/>
    <m/>
    <m/>
    <m/>
    <m/>
    <m/>
    <m/>
    <n v="0"/>
    <d v="2026-06-14T12:00:00"/>
    <x v="197"/>
    <n v="0.1666666666666667"/>
    <n v="42.83333333333326"/>
    <x v="2"/>
    <n v="0"/>
    <n v="0"/>
    <n v="4"/>
    <n v="303"/>
    <n v="0"/>
    <x v="43"/>
    <d v="1899-12-30T12:00:00"/>
    <d v="2026-06-14T00:00:00"/>
    <d v="1899-12-30T16:00:00"/>
    <x v="11"/>
    <s v="600 ОК– КРС Глушение Скважина "/>
    <x v="54"/>
    <n v="3.999999999999999"/>
    <x v="23"/>
  </r>
  <r>
    <s v="ГДТ"/>
    <s v="ЗБС"/>
    <s v="Казанское НГКМ"/>
    <s v="6"/>
    <x v="4"/>
    <x v="4"/>
    <m/>
    <x v="5"/>
    <n v="21"/>
    <s v="21.4"/>
    <m/>
    <x v="2"/>
    <s v="Штатно"/>
    <x v="0"/>
    <x v="9"/>
    <x v="18"/>
    <s v="Объекты_промывка_СО"/>
    <x v="13"/>
    <m/>
    <s v="Глушение скважины обратной промывкой γ-1,15 г/см³, ƩV=29,7м³. На выходе газ, р-р. Тех. стоянка 3ч."/>
    <n v="4"/>
    <n v="2758.16"/>
    <s v="Работы окончены"/>
    <x v="1"/>
    <m/>
    <m/>
    <m/>
    <m/>
    <m/>
    <m/>
    <n v="0"/>
    <d v="2026-06-14T16:00:00"/>
    <x v="198"/>
    <n v="0.1666666666666667"/>
    <n v="42.99999999999992"/>
    <x v="2"/>
    <n v="0"/>
    <n v="0"/>
    <n v="4"/>
    <n v="307"/>
    <n v="0"/>
    <x v="43"/>
    <d v="1899-12-30T16:00:00"/>
    <d v="2026-06-14T00:00:00"/>
    <d v="1899-12-30T20:00:00"/>
    <x v="11"/>
    <s v="600 ОК– КРС Глушение Скважина "/>
    <x v="54"/>
    <n v="4.166666666666666"/>
    <x v="23"/>
  </r>
  <r>
    <s v="ГДТ"/>
    <s v="ЗБС"/>
    <s v="Казанское НГКМ"/>
    <s v="6"/>
    <x v="4"/>
    <x v="4"/>
    <m/>
    <x v="5"/>
    <n v="21"/>
    <s v="21.5"/>
    <m/>
    <x v="1"/>
    <s v="Штатно"/>
    <x v="0"/>
    <x v="2"/>
    <x v="28"/>
    <s v="Объекты_устье"/>
    <x v="13"/>
    <m/>
    <s v="Разрядка скважины (+). Запуск бригады КРС пусковой комиссией. Получение разрешений ТВО. Замер Rиз кабеля. Снятие кабеля с эстакады. Рубка КЛ."/>
    <n v="4"/>
    <n v="2758.16"/>
    <s v="Работы окончены"/>
    <x v="1"/>
    <m/>
    <m/>
    <m/>
    <m/>
    <m/>
    <m/>
    <n v="0"/>
    <d v="2026-06-14T20:00:00"/>
    <x v="199"/>
    <n v="0.1666666666666667"/>
    <n v="43.16666666666659"/>
    <x v="2"/>
    <n v="0"/>
    <n v="0"/>
    <n v="4"/>
    <n v="311"/>
    <n v="0"/>
    <x v="43"/>
    <d v="1899-12-30T20:00:00"/>
    <d v="2026-06-15T00:00:00"/>
    <d v="1899-12-31T00:00:00"/>
    <x v="11"/>
    <s v="600 ОК– ПР Работа комиссии Скважина "/>
    <x v="59"/>
    <n v="0.1666666666666667"/>
    <x v="45"/>
  </r>
  <r>
    <s v="ГДТ"/>
    <s v="ЗБС"/>
    <s v="Казанское НГКМ"/>
    <s v="6"/>
    <x v="4"/>
    <x v="3"/>
    <m/>
    <x v="4"/>
    <n v="22"/>
    <s v="22.1"/>
    <m/>
    <x v="2"/>
    <s v="Штатно"/>
    <x v="0"/>
    <x v="9"/>
    <x v="18"/>
    <s v="Объекты_промывка_СО"/>
    <x v="13"/>
    <m/>
    <s v="Подрыв П/Ш (35,8/29,5тн). Демонтаж КВ, ФА. Замер Rиз. Монтаж ПВО, СУП, 2 отбойных щитов. Долив 2м³. Допуск ЭЦНДИ5-45. Опрессовка ПВО пакером 30м — 21МПа герм. Срыв пакера. Обратная промывка (продолжается)."/>
    <n v="7"/>
    <n v="2758.16"/>
    <s v="Работы окончены"/>
    <x v="1"/>
    <m/>
    <m/>
    <m/>
    <m/>
    <m/>
    <m/>
    <n v="0"/>
    <d v="2026-06-15T00:00:00"/>
    <x v="200"/>
    <n v="0.2916666666666667"/>
    <n v="43.45833333333325"/>
    <x v="2"/>
    <n v="0"/>
    <n v="0"/>
    <n v="7"/>
    <n v="318"/>
    <n v="0"/>
    <x v="44"/>
    <d v="1899-12-31T00:00:00"/>
    <d v="2026-06-15T00:00:00"/>
    <d v="1899-12-30T07:00:00"/>
    <x v="10"/>
    <s v="600 ОК– КРС Глушение Скважина "/>
    <x v="54"/>
    <n v="4.458333333333333"/>
    <x v="23"/>
  </r>
  <r>
    <s v="ГДТ"/>
    <s v="ЗБС"/>
    <s v="Казанское НГКМ"/>
    <s v="6"/>
    <x v="4"/>
    <x v="3"/>
    <m/>
    <x v="5"/>
    <n v="22"/>
    <s v="22.2"/>
    <m/>
    <x v="2"/>
    <s v="Штатно"/>
    <x v="0"/>
    <x v="9"/>
    <x v="21"/>
    <s v="Объекты_промывка_СО"/>
    <x v="13"/>
    <m/>
    <s v="Обратная промывка на ёмкость р-ром 1,15 г/см³, V=32,9м³, на выходе газ. Поглощение 12м³. ПР и подъём ЭЦНДИ5-45 с гл.2477,78м 6шт Н=61,8м."/>
    <n v="5"/>
    <n v="2758.16"/>
    <s v="Работы окончены"/>
    <x v="1"/>
    <m/>
    <m/>
    <m/>
    <m/>
    <m/>
    <m/>
    <n v="0"/>
    <d v="2026-06-15T07:00:00"/>
    <x v="201"/>
    <n v="0.2083333333333333"/>
    <n v="43.66666666666659"/>
    <x v="2"/>
    <n v="0"/>
    <n v="0"/>
    <n v="5"/>
    <n v="323"/>
    <n v="0"/>
    <x v="44"/>
    <d v="1899-12-30T07:00:00"/>
    <d v="2026-06-15T00:00:00"/>
    <d v="1899-12-30T12:00:00"/>
    <x v="9"/>
    <s v="600 ОК– КРС Промывка Скважина "/>
    <x v="60"/>
    <n v="0.2083333333333333"/>
    <x v="28"/>
  </r>
  <r>
    <s v="ГДТ"/>
    <s v="ЗБС"/>
    <s v="Казанское НГКМ"/>
    <s v="6"/>
    <x v="4"/>
    <x v="3"/>
    <m/>
    <x v="5"/>
    <n v="22"/>
    <s v="22.3"/>
    <m/>
    <x v="2"/>
    <s v="Штатно"/>
    <x v="0"/>
    <x v="3"/>
    <x v="4"/>
    <s v="Технологический_инструмент"/>
    <x v="4"/>
    <m/>
    <s v="Подъём ЭЦНДИ5-45 на НКТП-73мм, Ʃ40шт, ƩН=412,18м."/>
    <n v="4"/>
    <n v="2758.16"/>
    <s v="Работы окончены"/>
    <x v="1"/>
    <m/>
    <m/>
    <m/>
    <m/>
    <m/>
    <m/>
    <n v="0"/>
    <d v="2026-06-15T12:00:00"/>
    <x v="202"/>
    <n v="0.1666666666666667"/>
    <n v="43.83333333333325"/>
    <x v="2"/>
    <n v="0"/>
    <n v="0"/>
    <n v="4"/>
    <n v="327"/>
    <n v="0"/>
    <x v="44"/>
    <d v="1899-12-30T12:00:00"/>
    <d v="2026-06-15T00:00:00"/>
    <d v="1899-12-30T16:00:00"/>
    <x v="9"/>
    <s v="600 ОК– КРС Подъем УЭЦН "/>
    <x v="61"/>
    <n v="0.1666666666666667"/>
    <x v="5"/>
  </r>
  <r>
    <s v="ГДТ"/>
    <s v="ЗБС"/>
    <s v="Казанское НГКМ"/>
    <s v="6"/>
    <x v="4"/>
    <x v="3"/>
    <m/>
    <x v="5"/>
    <n v="22"/>
    <s v="22.4"/>
    <m/>
    <x v="2"/>
    <s v="Штатно"/>
    <x v="0"/>
    <x v="9"/>
    <x v="18"/>
    <s v="Объекты_промывка_СО"/>
    <x v="13"/>
    <m/>
    <s v="Подъём ЭЦНДИ5-45 на НКТП-73мм, Ʃ86шт, ƩН=886,66м. Долив р-ром 1,15 г/см³ ƩV=3,5м³."/>
    <n v="4"/>
    <n v="2758.16"/>
    <s v="Работы окончены"/>
    <x v="1"/>
    <m/>
    <m/>
    <m/>
    <m/>
    <m/>
    <m/>
    <n v="0"/>
    <d v="2026-06-15T16:00:00"/>
    <x v="203"/>
    <n v="0.1666666666666667"/>
    <n v="43.99999999999991"/>
    <x v="2"/>
    <n v="0"/>
    <n v="0"/>
    <n v="4"/>
    <n v="331"/>
    <n v="0"/>
    <x v="44"/>
    <d v="1899-12-30T16:00:00"/>
    <d v="2026-06-15T00:00:00"/>
    <d v="1899-12-30T20:00:00"/>
    <x v="9"/>
    <s v="600 ОК– КРС Глушение Скважина "/>
    <x v="54"/>
    <n v="4.625"/>
    <x v="23"/>
  </r>
  <r>
    <s v="ГДТ"/>
    <s v="ЗБС"/>
    <s v="Казанское НГКМ"/>
    <s v="6"/>
    <x v="4"/>
    <x v="3"/>
    <m/>
    <x v="5"/>
    <n v="22"/>
    <s v="22.5"/>
    <m/>
    <x v="2"/>
    <s v="Штатно"/>
    <x v="0"/>
    <x v="9"/>
    <x v="18"/>
    <s v="Объекты_промывка_СО"/>
    <x v="13"/>
    <m/>
    <s v="ПР и подъём ЭЦНДИ5-45 на НКТП-73мм, Ʃ130шт, ƩН=1339м. ВИК 105шт НКТП-73 (отбраковано 105шт). Долив ƩV=4м³."/>
    <n v="4"/>
    <n v="2758.16"/>
    <s v="Работы окончены"/>
    <x v="1"/>
    <m/>
    <m/>
    <m/>
    <m/>
    <m/>
    <m/>
    <n v="0"/>
    <d v="2026-06-15T20:00:00"/>
    <x v="204"/>
    <n v="0.1666666666666667"/>
    <n v="44.16666666666658"/>
    <x v="2"/>
    <n v="0"/>
    <n v="0"/>
    <n v="4"/>
    <n v="335"/>
    <n v="0"/>
    <x v="44"/>
    <d v="1899-12-30T20:00:00"/>
    <d v="2026-06-16T00:00:00"/>
    <d v="1899-12-31T00:00:00"/>
    <x v="9"/>
    <s v="600 ОК– КРС Глушение Скважина "/>
    <x v="54"/>
    <n v="4.791666666666667"/>
    <x v="23"/>
  </r>
  <r>
    <s v="ГДТ"/>
    <s v="ЗБС"/>
    <s v="Казанское НГКМ"/>
    <s v="6"/>
    <x v="4"/>
    <x v="4"/>
    <m/>
    <x v="4"/>
    <n v="23"/>
    <s v="23.1"/>
    <m/>
    <x v="2"/>
    <s v="Штатно"/>
    <x v="0"/>
    <x v="9"/>
    <x v="18"/>
    <s v="Объекты_промывка_СО"/>
    <x v="13"/>
    <m/>
    <s v="Подъём ЭЦНДИ5-45 Ʃ187шт ƩН=1785,63м. Извлечение скребка. Рубка КЛ. Сброс спец. штанги d-30мм (+). Прямая промывка р-ром 1,15 г/см³ V=17,7м³."/>
    <n v="7"/>
    <n v="2758.16"/>
    <s v="Работы окончены"/>
    <x v="1"/>
    <m/>
    <m/>
    <m/>
    <m/>
    <m/>
    <m/>
    <n v="0"/>
    <d v="2026-06-16T00:00:00"/>
    <x v="205"/>
    <n v="0.2916666666666667"/>
    <n v="44.45833333333324"/>
    <x v="2"/>
    <n v="0"/>
    <n v="0"/>
    <n v="7"/>
    <n v="342"/>
    <n v="0"/>
    <x v="45"/>
    <d v="1899-12-31T00:00:00"/>
    <d v="2026-06-16T00:00:00"/>
    <d v="1899-12-30T07:00:00"/>
    <x v="8"/>
    <s v="600 ОК– КРС Глушение Скважина "/>
    <x v="54"/>
    <n v="5.083333333333334"/>
    <x v="23"/>
  </r>
  <r>
    <s v="ГДТ"/>
    <s v="ЗБС"/>
    <s v="Казанское НГКМ"/>
    <s v="6"/>
    <x v="4"/>
    <x v="4"/>
    <m/>
    <x v="5"/>
    <n v="23"/>
    <s v="23.2"/>
    <m/>
    <x v="2"/>
    <s v="Штатно"/>
    <x v="0"/>
    <x v="9"/>
    <x v="18"/>
    <s v="Объекты_промывка_СО"/>
    <x v="13"/>
    <m/>
    <s v="ВИК НКТП-73мм Ʃ187шт с калибровкой (отбраковано Ʃ187шт). Долив р-ром 1,01 г/см³ ƩV=8,5м³. Переукладка трубы."/>
    <n v="5"/>
    <n v="2758.16"/>
    <s v="Работы окончены"/>
    <x v="1"/>
    <m/>
    <m/>
    <m/>
    <m/>
    <m/>
    <m/>
    <n v="0"/>
    <d v="2026-06-16T07:00:00"/>
    <x v="206"/>
    <n v="0.2083333333333333"/>
    <n v="44.66666666666658"/>
    <x v="2"/>
    <n v="0"/>
    <n v="0"/>
    <n v="5"/>
    <n v="347"/>
    <n v="0"/>
    <x v="45"/>
    <d v="1899-12-30T07:00:00"/>
    <d v="2026-06-16T00:00:00"/>
    <d v="1899-12-30T12:00:00"/>
    <x v="11"/>
    <s v="600 ОК– КРС Глушение Скважина "/>
    <x v="54"/>
    <n v="5.291666666666667"/>
    <x v="23"/>
  </r>
  <r>
    <s v="ГДТ"/>
    <s v="ЗБС"/>
    <s v="Казанское НГКМ"/>
    <s v="6"/>
    <x v="4"/>
    <x v="4"/>
    <m/>
    <x v="5"/>
    <n v="23"/>
    <s v="23.3"/>
    <m/>
    <x v="2"/>
    <s v="Штатно"/>
    <x v="0"/>
    <x v="9"/>
    <x v="18"/>
    <s v="Объекты_промывка_СО"/>
    <x v="13"/>
    <m/>
    <s v="Доподъём ЭЦНДИ5-45 53шт Н=530,1м. ВИК НКТП-73мм 53шт (отбраковано Ʃ240шт). Долив р-ром 1,15 г/см³ ƩV=12м³."/>
    <n v="4"/>
    <n v="2758.16"/>
    <s v="Работы окончены"/>
    <x v="1"/>
    <m/>
    <m/>
    <m/>
    <m/>
    <m/>
    <m/>
    <n v="0"/>
    <d v="2026-06-16T12:00:00"/>
    <x v="207"/>
    <n v="0.1666666666666667"/>
    <n v="44.83333333333324"/>
    <x v="2"/>
    <n v="0"/>
    <n v="0"/>
    <n v="4"/>
    <n v="351"/>
    <n v="0"/>
    <x v="45"/>
    <d v="1899-12-30T12:00:00"/>
    <d v="2026-06-16T00:00:00"/>
    <d v="1899-12-30T16:00:00"/>
    <x v="11"/>
    <s v="600 ОК– КРС Глушение Скважина "/>
    <x v="54"/>
    <n v="5.458333333333334"/>
    <x v="23"/>
  </r>
  <r>
    <s v="ГДТ"/>
    <s v="ЗБС"/>
    <s v="Казанское НГКМ"/>
    <s v="6"/>
    <x v="4"/>
    <x v="4"/>
    <m/>
    <x v="5"/>
    <n v="23"/>
    <s v="23.4"/>
    <m/>
    <x v="2"/>
    <s v="Штатно"/>
    <x v="0"/>
    <x v="9"/>
    <x v="18"/>
    <s v="Объекты_промывка_СО"/>
    <x v="13"/>
    <m/>
    <s v="Демонтаж ЭЦНДИ5-45: КС-73 сбит, вращение в/с-с/с-н/с есть, вращение газосепаратора клин. Rиз ПЭД 200МОм, КЛ — 0МОм. Замятие брони, частичная коррозия. Долив ƩV=15м³."/>
    <n v="4"/>
    <n v="2758.16"/>
    <s v="Работы окончены"/>
    <x v="1"/>
    <m/>
    <m/>
    <m/>
    <m/>
    <m/>
    <m/>
    <n v="0"/>
    <d v="2026-06-16T16:00:00"/>
    <x v="208"/>
    <n v="0.1666666666666667"/>
    <n v="44.99999999999991"/>
    <x v="2"/>
    <n v="0"/>
    <n v="0"/>
    <n v="4"/>
    <n v="355"/>
    <n v="0"/>
    <x v="45"/>
    <d v="1899-12-30T16:00:00"/>
    <d v="2026-06-16T00:00:00"/>
    <d v="1899-12-30T20:00:00"/>
    <x v="11"/>
    <s v="600 ОК– КРС Глушение Скважина "/>
    <x v="54"/>
    <n v="5.625000000000001"/>
    <x v="23"/>
  </r>
  <r>
    <s v="ГДТ"/>
    <s v="ЗБС"/>
    <s v="Казанское НГКМ"/>
    <s v="6"/>
    <x v="4"/>
    <x v="4"/>
    <m/>
    <x v="5"/>
    <n v="23"/>
    <s v="23.5"/>
    <m/>
    <x v="3"/>
    <s v="Штатно"/>
    <x v="0"/>
    <x v="5"/>
    <x v="6"/>
    <s v="Объекты_ГИС"/>
    <x v="24"/>
    <m/>
    <s v="ГФР запись ИННК (продолжается)."/>
    <n v="4"/>
    <n v="2758.16"/>
    <s v="Работы окончены"/>
    <x v="1"/>
    <m/>
    <m/>
    <m/>
    <m/>
    <m/>
    <m/>
    <n v="0"/>
    <d v="2026-06-16T20:00:00"/>
    <x v="209"/>
    <n v="0.1666666666666667"/>
    <n v="45.16666666666657"/>
    <x v="2"/>
    <n v="0"/>
    <n v="0"/>
    <n v="4"/>
    <n v="359"/>
    <n v="0"/>
    <x v="45"/>
    <d v="1899-12-30T20:00:00"/>
    <d v="2026-06-17T00:00:00"/>
    <d v="1899-12-31T00:00:00"/>
    <x v="11"/>
    <s v="600 ОК– ГИС ГИС Геофизический прибор "/>
    <x v="62"/>
    <n v="0.1666666666666667"/>
    <x v="46"/>
  </r>
  <r>
    <s v="ГДТ"/>
    <s v="ЗБС"/>
    <s v="Казанское НГКМ"/>
    <s v="6"/>
    <x v="4"/>
    <x v="3"/>
    <m/>
    <x v="4"/>
    <n v="24"/>
    <s v="24.1"/>
    <m/>
    <x v="3"/>
    <s v="Штатно"/>
    <x v="0"/>
    <x v="5"/>
    <x v="6"/>
    <s v="Объекты_ГИС"/>
    <x v="24"/>
    <m/>
    <s v="ГФР запись ИННК."/>
    <n v="7"/>
    <n v="2758.16"/>
    <s v="Работы окончены"/>
    <x v="1"/>
    <m/>
    <m/>
    <m/>
    <m/>
    <m/>
    <m/>
    <n v="0"/>
    <d v="2026-06-17T00:00:00"/>
    <x v="210"/>
    <n v="0.2916666666666667"/>
    <n v="45.45833333333324"/>
    <x v="2"/>
    <n v="0"/>
    <n v="0"/>
    <n v="7"/>
    <n v="366"/>
    <n v="0"/>
    <x v="46"/>
    <d v="1899-12-31T00:00:00"/>
    <d v="2026-06-17T00:00:00"/>
    <d v="1899-12-30T07:00:00"/>
    <x v="10"/>
    <s v="600 ОК– ГИС ГИС Геофизический прибор "/>
    <x v="62"/>
    <n v="0.4583333333333334"/>
    <x v="46"/>
  </r>
  <r>
    <s v="ГДТ"/>
    <s v="ЗБС"/>
    <s v="Казанское НГКМ"/>
    <s v="6"/>
    <x v="4"/>
    <x v="3"/>
    <m/>
    <x v="5"/>
    <n v="24"/>
    <s v="24.2"/>
    <m/>
    <x v="2"/>
    <s v="Орг_простой"/>
    <x v="1"/>
    <x v="2"/>
    <x v="26"/>
    <s v="Оборудование"/>
    <x v="21"/>
    <m/>
    <s v="Перевахтовка (смена персонала)."/>
    <n v="5"/>
    <n v="2758.16"/>
    <s v="Работы окончены"/>
    <x v="1"/>
    <m/>
    <m/>
    <m/>
    <m/>
    <m/>
    <m/>
    <n v="0"/>
    <d v="2026-06-17T07:00:00"/>
    <x v="211"/>
    <n v="0.2083333333333333"/>
    <n v="45.66666666666657"/>
    <x v="2"/>
    <n v="0"/>
    <n v="0"/>
    <n v="5"/>
    <n v="371"/>
    <n v="0"/>
    <x v="46"/>
    <d v="1899-12-30T07:00:00"/>
    <d v="2026-06-17T00:00:00"/>
    <d v="1899-12-30T12:00:00"/>
    <x v="9"/>
    <s v="600 ОК– КРС Орг_простой Ожидание разрешения Тех. дежурство Бригада КРС "/>
    <x v="53"/>
    <n v="1.708333333333333"/>
    <x v="41"/>
  </r>
  <r>
    <s v="ГДТ"/>
    <s v="ЗБС"/>
    <s v="Казанское НГКМ"/>
    <s v="6"/>
    <x v="4"/>
    <x v="3"/>
    <m/>
    <x v="5"/>
    <n v="24"/>
    <s v="24.3"/>
    <m/>
    <x v="2"/>
    <s v="Орг_простой"/>
    <x v="1"/>
    <x v="2"/>
    <x v="26"/>
    <s v="Оборудование"/>
    <x v="21"/>
    <m/>
    <s v="Перевахтовка. Спуск «воронки» на НКТ-73 28шт L=295м. Долив р-ром 1,15 г/см³ ƩV=20м³."/>
    <n v="4"/>
    <n v="2758.16"/>
    <s v="Работы окончены"/>
    <x v="1"/>
    <m/>
    <m/>
    <m/>
    <m/>
    <m/>
    <m/>
    <n v="0"/>
    <d v="2026-06-17T12:00:00"/>
    <x v="212"/>
    <n v="0.1666666666666667"/>
    <n v="45.83333333333324"/>
    <x v="2"/>
    <n v="0"/>
    <n v="0"/>
    <n v="4"/>
    <n v="375"/>
    <n v="0"/>
    <x v="46"/>
    <d v="1899-12-30T12:00:00"/>
    <d v="2026-06-17T00:00:00"/>
    <d v="1899-12-30T16:00:00"/>
    <x v="9"/>
    <s v="600 ОК– КРС Орг_простой Ожидание разрешения Тех. дежурство Бригада КРС "/>
    <x v="53"/>
    <n v="1.875"/>
    <x v="41"/>
  </r>
  <r>
    <s v="ГДТ"/>
    <s v="ЗБС"/>
    <s v="Казанское НГКМ"/>
    <s v="6"/>
    <x v="4"/>
    <x v="3"/>
    <m/>
    <x v="5"/>
    <n v="24"/>
    <s v="24.4"/>
    <m/>
    <x v="2"/>
    <s v="Орг_простой"/>
    <x v="1"/>
    <x v="2"/>
    <x v="26"/>
    <s v="Оборудование"/>
    <x v="21"/>
    <m/>
    <s v="Спуск «воронки» на НКТ-73 Ʃ38шт ƩL=401м. С 17:00ч герметизация устья. Наблюдение за устьем. Простой — отсутствие мастера."/>
    <n v="4"/>
    <n v="2758.16"/>
    <s v="Работы окончены"/>
    <x v="1"/>
    <m/>
    <m/>
    <m/>
    <m/>
    <m/>
    <m/>
    <n v="0"/>
    <d v="2026-06-17T16:00:00"/>
    <x v="213"/>
    <n v="0.1666666666666667"/>
    <n v="45.9999999999999"/>
    <x v="2"/>
    <n v="0"/>
    <n v="0"/>
    <n v="4"/>
    <n v="379"/>
    <n v="0"/>
    <x v="46"/>
    <d v="1899-12-30T16:00:00"/>
    <d v="2026-06-17T00:00:00"/>
    <d v="1899-12-30T20:00:00"/>
    <x v="9"/>
    <s v="600 ОК– КРС Орг_простой Ожидание разрешения Тех. дежурство Бригада КРС "/>
    <x v="53"/>
    <n v="2.041666666666667"/>
    <x v="41"/>
  </r>
  <r>
    <s v="ГДТ"/>
    <s v="ЗБС"/>
    <s v="Казанское НГКМ"/>
    <s v="6"/>
    <x v="4"/>
    <x v="3"/>
    <m/>
    <x v="5"/>
    <n v="24"/>
    <s v="24.5"/>
    <m/>
    <x v="2"/>
    <s v="Орг_простой"/>
    <x v="1"/>
    <x v="2"/>
    <x v="26"/>
    <s v="Оборудование"/>
    <x v="21"/>
    <m/>
    <s v="Наблюдение за устьем. Долив р-ром 1,15 г/см³ ƩV=22м³. Простой — отсутствие мастера."/>
    <n v="4"/>
    <n v="2758.16"/>
    <s v="Работы окончены"/>
    <x v="1"/>
    <m/>
    <m/>
    <m/>
    <m/>
    <m/>
    <m/>
    <n v="0"/>
    <d v="2026-06-17T20:00:00"/>
    <x v="214"/>
    <n v="0.1666666666666667"/>
    <n v="46.16666666666656"/>
    <x v="2"/>
    <n v="0"/>
    <n v="0"/>
    <n v="4"/>
    <n v="383"/>
    <n v="0"/>
    <x v="46"/>
    <d v="1899-12-30T20:00:00"/>
    <d v="2026-06-18T00:00:00"/>
    <d v="1899-12-31T00:00:00"/>
    <x v="9"/>
    <s v="600 ОК– КРС Орг_простой Ожидание разрешения Тех. дежурство Бригада КРС "/>
    <x v="53"/>
    <n v="2.208333333333333"/>
    <x v="41"/>
  </r>
  <r>
    <s v="ГДТ"/>
    <s v="ЗБС"/>
    <s v="Казанское НГКМ"/>
    <s v="6"/>
    <x v="4"/>
    <x v="4"/>
    <m/>
    <x v="4"/>
    <n v="25"/>
    <s v="25.1"/>
    <m/>
    <x v="2"/>
    <s v="Орг_простой"/>
    <x v="1"/>
    <x v="2"/>
    <x v="26"/>
    <s v="Оборудование"/>
    <x v="21"/>
    <m/>
    <s v="Простой — отсутствие мастера. Наблюдение за устьем. Долив р-ром 1,15 г/см³ ƩV=23,5м³."/>
    <n v="7"/>
    <n v="2758.16"/>
    <s v="Работы окончены"/>
    <x v="1"/>
    <m/>
    <m/>
    <m/>
    <m/>
    <m/>
    <m/>
    <n v="0"/>
    <d v="2026-06-18T00:00:00"/>
    <x v="215"/>
    <n v="0.2916666666666667"/>
    <n v="46.45833333333323"/>
    <x v="2"/>
    <n v="0"/>
    <n v="0"/>
    <n v="7"/>
    <n v="390"/>
    <n v="0"/>
    <x v="47"/>
    <d v="1899-12-31T00:00:00"/>
    <d v="2026-06-18T00:00:00"/>
    <d v="1899-12-30T07:00:00"/>
    <x v="8"/>
    <s v="600 ОК– КРС Орг_простой Ожидание разрешения Тех. дежурство Бригада КРС "/>
    <x v="53"/>
    <n v="2.5"/>
    <x v="41"/>
  </r>
  <r>
    <s v="ГДТ"/>
    <s v="ЗБС"/>
    <s v="Казанское НГКМ"/>
    <s v="6"/>
    <x v="4"/>
    <x v="1"/>
    <m/>
    <x v="6"/>
    <n v="25"/>
    <s v="25.2"/>
    <m/>
    <x v="2"/>
    <s v="Орг_простой"/>
    <x v="1"/>
    <x v="2"/>
    <x v="26"/>
    <s v="Оборудование"/>
    <x v="21"/>
    <m/>
    <s v="Простой — отсутствие мастера. Наблюдение за устьем. Долив р-ром 1,15 г/см³ ƩV=24,5м³."/>
    <n v="5"/>
    <n v="2758.16"/>
    <s v="Работы окончены"/>
    <x v="1"/>
    <m/>
    <m/>
    <m/>
    <m/>
    <m/>
    <m/>
    <n v="0"/>
    <d v="2026-06-18T07:00:00"/>
    <x v="216"/>
    <n v="0.2083333333333333"/>
    <n v="46.66666666666656"/>
    <x v="2"/>
    <n v="0"/>
    <n v="0"/>
    <n v="5"/>
    <n v="395"/>
    <n v="0"/>
    <x v="47"/>
    <d v="1899-12-30T07:00:00"/>
    <d v="2026-06-18T00:00:00"/>
    <d v="1899-12-30T12:00:00"/>
    <x v="12"/>
    <s v="600 ОК– КРС Орг_простой Ожидание разрешения Тех. дежурство Бригада КРС "/>
    <x v="53"/>
    <n v="2.708333333333333"/>
    <x v="41"/>
  </r>
  <r>
    <s v="ГДТ"/>
    <s v="ЗБС"/>
    <s v="Казанское НГКМ"/>
    <s v="6"/>
    <x v="4"/>
    <x v="1"/>
    <m/>
    <x v="6"/>
    <n v="25"/>
    <s v="25.3"/>
    <m/>
    <x v="2"/>
    <s v="Орг_простой"/>
    <x v="1"/>
    <x v="2"/>
    <x v="26"/>
    <s v="Оборудование"/>
    <x v="21"/>
    <m/>
    <s v="Простой — отсутствие мастера. Наблюдение за устьем. Долив р-ром 1,15 г/см³ ƩV=25,5м³. Приготовление р-ра 1,15 г/см³ V=20м³."/>
    <n v="4"/>
    <n v="2758.16"/>
    <s v="Работы окончены"/>
    <x v="1"/>
    <m/>
    <m/>
    <m/>
    <m/>
    <m/>
    <m/>
    <n v="0"/>
    <d v="2026-06-18T12:00:00"/>
    <x v="217"/>
    <n v="0.1666666666666667"/>
    <n v="46.83333333333323"/>
    <x v="2"/>
    <n v="0"/>
    <n v="0"/>
    <n v="4"/>
    <n v="399"/>
    <n v="0"/>
    <x v="47"/>
    <d v="1899-12-30T12:00:00"/>
    <d v="2026-06-18T00:00:00"/>
    <d v="1899-12-30T16:00:00"/>
    <x v="12"/>
    <s v="600 ОК– КРС Орг_простой Ожидание разрешения Тех. дежурство Бригада КРС "/>
    <x v="53"/>
    <n v="2.875"/>
    <x v="41"/>
  </r>
  <r>
    <s v="ГДТ"/>
    <s v="ЗБС"/>
    <s v="Казанское НГКМ"/>
    <s v="6"/>
    <x v="4"/>
    <x v="1"/>
    <m/>
    <x v="6"/>
    <n v="25"/>
    <s v="25.4"/>
    <m/>
    <x v="2"/>
    <s v="Орг_простой"/>
    <x v="1"/>
    <x v="2"/>
    <x v="26"/>
    <s v="Оборудование"/>
    <x v="21"/>
    <m/>
    <s v="Простой — отсутствие мастера. Наблюдение за устьем. Долив р-ром 1,15 г/см³ ƩV=26,3м³."/>
    <n v="4"/>
    <n v="2758.16"/>
    <s v="Работы окончены"/>
    <x v="1"/>
    <m/>
    <m/>
    <m/>
    <m/>
    <m/>
    <m/>
    <n v="0"/>
    <d v="2026-06-18T16:00:00"/>
    <x v="218"/>
    <n v="0.1666666666666667"/>
    <n v="46.99999999999989"/>
    <x v="2"/>
    <n v="0"/>
    <n v="0"/>
    <n v="4"/>
    <n v="403"/>
    <n v="0"/>
    <x v="47"/>
    <d v="1899-12-30T16:00:00"/>
    <d v="2026-06-18T00:00:00"/>
    <d v="1899-12-30T20:00:00"/>
    <x v="12"/>
    <s v="600 ОК– КРС Орг_простой Ожидание разрешения Тех. дежурство Бригада КРС "/>
    <x v="53"/>
    <n v="3.041666666666666"/>
    <x v="41"/>
  </r>
  <r>
    <s v="ГДТ"/>
    <s v="ЗБС"/>
    <s v="Казанское НГКМ"/>
    <s v="6"/>
    <x v="4"/>
    <x v="1"/>
    <m/>
    <x v="6"/>
    <n v="25"/>
    <s v="25.5"/>
    <m/>
    <x v="2"/>
    <s v="Орг_простой"/>
    <x v="1"/>
    <x v="2"/>
    <x v="26"/>
    <s v="Оборудование"/>
    <x v="21"/>
    <m/>
    <s v="Простой — отсутствие мастера. Наблюдение за устьем. Долив р-ром 1,15 г/см³ ƩV=27,1м³."/>
    <n v="4"/>
    <n v="2758.16"/>
    <s v="Работы окончены"/>
    <x v="1"/>
    <m/>
    <m/>
    <m/>
    <m/>
    <m/>
    <m/>
    <n v="0"/>
    <d v="2026-06-18T20:00:00"/>
    <x v="219"/>
    <n v="0.1666666666666667"/>
    <n v="47.16666666666656"/>
    <x v="2"/>
    <n v="0"/>
    <n v="0"/>
    <n v="4"/>
    <n v="407"/>
    <n v="0"/>
    <x v="47"/>
    <d v="1899-12-30T20:00:00"/>
    <d v="2026-06-19T00:00:00"/>
    <d v="1899-12-31T00:00:00"/>
    <x v="12"/>
    <s v="600 ОК– КРС Орг_простой Ожидание разрешения Тех. дежурство Бригада КРС "/>
    <x v="53"/>
    <n v="3.208333333333333"/>
    <x v="41"/>
  </r>
  <r>
    <s v="ГДТ"/>
    <s v="ЗБС"/>
    <s v="Казанское НГКМ"/>
    <s v="6"/>
    <x v="4"/>
    <x v="4"/>
    <m/>
    <x v="7"/>
    <n v="26"/>
    <s v="26.1"/>
    <m/>
    <x v="2"/>
    <s v="Орг_простой"/>
    <x v="1"/>
    <x v="2"/>
    <x v="26"/>
    <s v="Оборудование"/>
    <x v="21"/>
    <m/>
    <s v="Простой — отсутствие мастера. Наблюдение за устьем. Долив р-ром 1,15 г/см³ ƩV=28,5м³."/>
    <n v="7"/>
    <n v="2758.16"/>
    <s v="Работы окончены"/>
    <x v="1"/>
    <m/>
    <m/>
    <m/>
    <m/>
    <m/>
    <m/>
    <n v="0"/>
    <d v="2026-06-19T00:00:00"/>
    <x v="220"/>
    <n v="0.2916666666666667"/>
    <n v="47.45833333333322"/>
    <x v="2"/>
    <n v="0"/>
    <n v="0"/>
    <n v="7"/>
    <n v="414"/>
    <n v="0"/>
    <x v="48"/>
    <d v="1899-12-31T00:00:00"/>
    <d v="2026-06-19T00:00:00"/>
    <d v="1899-12-30T07:00:00"/>
    <x v="13"/>
    <s v="600 ОК– КРС Орг_простой Ожидание разрешения Тех. дежурство Бригада КРС "/>
    <x v="53"/>
    <n v="3.499999999999999"/>
    <x v="41"/>
  </r>
  <r>
    <s v="ГДТ"/>
    <s v="ЗБС"/>
    <s v="Казанское НГКМ"/>
    <s v="6"/>
    <x v="4"/>
    <x v="4"/>
    <m/>
    <x v="6"/>
    <n v="26"/>
    <s v="26.2"/>
    <m/>
    <x v="2"/>
    <s v="Орг_простой"/>
    <x v="1"/>
    <x v="2"/>
    <x v="26"/>
    <s v="Оборудование"/>
    <x v="21"/>
    <m/>
    <s v="Простой — отсутствие мастера. Наблюдение за устьем. Долив р-ром 1,15 г/см³ ƩV=29,1м³."/>
    <n v="5"/>
    <n v="2758.16"/>
    <s v="Работы окончены"/>
    <x v="1"/>
    <m/>
    <m/>
    <m/>
    <m/>
    <m/>
    <m/>
    <n v="0"/>
    <d v="2026-06-19T07:00:00"/>
    <x v="221"/>
    <n v="0.2083333333333333"/>
    <n v="47.66666666666656"/>
    <x v="2"/>
    <n v="0"/>
    <n v="0"/>
    <n v="5"/>
    <n v="419"/>
    <n v="0"/>
    <x v="48"/>
    <d v="1899-12-30T07:00:00"/>
    <d v="2026-06-19T00:00:00"/>
    <d v="1899-12-30T12:00:00"/>
    <x v="14"/>
    <s v="600 ОК– КРС Орг_простой Ожидание разрешения Тех. дежурство Бригада КРС "/>
    <x v="53"/>
    <n v="3.708333333333333"/>
    <x v="41"/>
  </r>
  <r>
    <s v="ГДТ"/>
    <s v="ЗБС"/>
    <s v="Казанское НГКМ"/>
    <s v="6"/>
    <x v="4"/>
    <x v="4"/>
    <m/>
    <x v="6"/>
    <n v="26"/>
    <s v="26.3"/>
    <m/>
    <x v="2"/>
    <s v="Орг_простой"/>
    <x v="1"/>
    <x v="2"/>
    <x v="26"/>
    <s v="Оборудование"/>
    <x v="21"/>
    <m/>
    <s v="Простой — отсутствие мастера. Наблюдение за устьем. Долив р-ром 1,15 г/см³ ƩV=29,5м³."/>
    <n v="4"/>
    <n v="2758.16"/>
    <s v="Работы окончены"/>
    <x v="1"/>
    <m/>
    <m/>
    <m/>
    <m/>
    <m/>
    <m/>
    <n v="0"/>
    <d v="2026-06-19T12:00:00"/>
    <x v="222"/>
    <n v="0.1666666666666667"/>
    <n v="47.83333333333322"/>
    <x v="2"/>
    <n v="0"/>
    <n v="0"/>
    <n v="4"/>
    <n v="423"/>
    <n v="0"/>
    <x v="48"/>
    <d v="1899-12-30T12:00:00"/>
    <d v="2026-06-19T00:00:00"/>
    <d v="1899-12-30T16:00:00"/>
    <x v="14"/>
    <s v="600 ОК– КРС Орг_простой Ожидание разрешения Тех. дежурство Бригада КРС "/>
    <x v="53"/>
    <n v="3.874999999999999"/>
    <x v="41"/>
  </r>
  <r>
    <s v="ГДТ"/>
    <s v="ЗБС"/>
    <s v="Казанское НГКМ"/>
    <s v="6"/>
    <x v="4"/>
    <x v="4"/>
    <m/>
    <x v="6"/>
    <n v="26"/>
    <s v="26.4"/>
    <m/>
    <x v="2"/>
    <s v="Орг_простой"/>
    <x v="1"/>
    <x v="2"/>
    <x v="26"/>
    <s v="Оборудование"/>
    <x v="21"/>
    <m/>
    <s v="Простой — отсутствие мастера. Наблюдение за устьем. Долив р-ром 1,15 г/см³ ƩV=29,8м³."/>
    <n v="4"/>
    <n v="2758.16"/>
    <s v="Работы окончены"/>
    <x v="1"/>
    <m/>
    <m/>
    <m/>
    <m/>
    <m/>
    <m/>
    <n v="0"/>
    <d v="2026-06-19T16:00:00"/>
    <x v="223"/>
    <n v="0.1666666666666667"/>
    <n v="47.99999999999989"/>
    <x v="2"/>
    <n v="0"/>
    <n v="0"/>
    <n v="4"/>
    <n v="427"/>
    <n v="0"/>
    <x v="48"/>
    <d v="1899-12-30T16:00:00"/>
    <d v="2026-06-19T00:00:00"/>
    <d v="1899-12-30T20:00:00"/>
    <x v="14"/>
    <s v="600 ОК– КРС Орг_простой Ожидание разрешения Тех. дежурство Бригада КРС "/>
    <x v="53"/>
    <n v="4.041666666666666"/>
    <x v="41"/>
  </r>
  <r>
    <s v="ГДТ"/>
    <s v="ЗБС"/>
    <s v="Казанское НГКМ"/>
    <s v="6"/>
    <x v="4"/>
    <x v="4"/>
    <m/>
    <x v="6"/>
    <n v="26"/>
    <s v="26.5"/>
    <m/>
    <x v="2"/>
    <s v="Орг_простой"/>
    <x v="1"/>
    <x v="2"/>
    <x v="26"/>
    <s v="Оборудование"/>
    <x v="21"/>
    <m/>
    <s v="Простой — отсутствие мастера. Наблюдение за устьем. Долив р-ром 1,15 г/см³ ƩV=30м³."/>
    <n v="4"/>
    <n v="2758.16"/>
    <s v="Работы окончены"/>
    <x v="1"/>
    <m/>
    <m/>
    <m/>
    <m/>
    <m/>
    <m/>
    <n v="0"/>
    <d v="2026-06-19T20:00:00"/>
    <x v="224"/>
    <n v="0.1666666666666667"/>
    <n v="48.16666666666655"/>
    <x v="2"/>
    <n v="0"/>
    <n v="0"/>
    <n v="4"/>
    <n v="431"/>
    <n v="0"/>
    <x v="48"/>
    <d v="1899-12-30T20:00:00"/>
    <d v="2026-06-20T00:00:00"/>
    <d v="1899-12-31T00:00:00"/>
    <x v="14"/>
    <s v="600 ОК– КРС Орг_простой Ожидание разрешения Тех. дежурство Бригада КРС "/>
    <x v="53"/>
    <n v="4.208333333333333"/>
    <x v="41"/>
  </r>
  <r>
    <s v="ГДТ"/>
    <s v="ЗБС"/>
    <s v="Казанское НГКМ"/>
    <s v="6"/>
    <x v="4"/>
    <x v="1"/>
    <m/>
    <x v="7"/>
    <n v="27"/>
    <s v="27.1"/>
    <m/>
    <x v="2"/>
    <s v="Орг_простой"/>
    <x v="1"/>
    <x v="2"/>
    <x v="26"/>
    <s v="Оборудование"/>
    <x v="21"/>
    <m/>
    <s v="Простой — отсутствие мастера. Наблюдение за устьем. Долив р-ром 1,15 г/см³ ƩV=30,3м³."/>
    <n v="7"/>
    <n v="2758.16"/>
    <s v="Работы окончены"/>
    <x v="1"/>
    <m/>
    <m/>
    <m/>
    <m/>
    <m/>
    <m/>
    <n v="0"/>
    <d v="2026-06-20T00:00:00"/>
    <x v="225"/>
    <n v="0.2916666666666667"/>
    <n v="48.45833333333321"/>
    <x v="2"/>
    <n v="0"/>
    <n v="0"/>
    <n v="7"/>
    <n v="438"/>
    <n v="0"/>
    <x v="49"/>
    <d v="1899-12-31T00:00:00"/>
    <d v="2026-06-20T00:00:00"/>
    <d v="1899-12-30T07:00:00"/>
    <x v="15"/>
    <s v="600 ОК– КРС Орг_простой Ожидание разрешения Тех. дежурство Бригада КРС "/>
    <x v="53"/>
    <n v="4.5"/>
    <x v="41"/>
  </r>
  <r>
    <s v="ГДТ"/>
    <s v="ЗБС"/>
    <s v="Казанское НГКМ"/>
    <s v="6"/>
    <x v="4"/>
    <x v="1"/>
    <m/>
    <x v="6"/>
    <n v="27"/>
    <s v="27.2"/>
    <m/>
    <x v="2"/>
    <s v="Орг_простой"/>
    <x v="1"/>
    <x v="2"/>
    <x v="26"/>
    <s v="Оборудование"/>
    <x v="21"/>
    <m/>
    <s v="Простой — отсутствие мастера. Наблюдение за устьем. Долив р-ром 1,15 г/см³ ƩV=30,6м³."/>
    <n v="5"/>
    <n v="2758.16"/>
    <s v="Работы окончены"/>
    <x v="1"/>
    <m/>
    <m/>
    <m/>
    <m/>
    <m/>
    <m/>
    <n v="0"/>
    <d v="2026-06-20T07:00:00"/>
    <x v="226"/>
    <n v="0.2083333333333333"/>
    <n v="48.66666666666655"/>
    <x v="2"/>
    <n v="0"/>
    <n v="0"/>
    <n v="5"/>
    <n v="443"/>
    <n v="0"/>
    <x v="49"/>
    <d v="1899-12-30T07:00:00"/>
    <d v="2026-06-20T00:00:00"/>
    <d v="1899-12-30T12:00:00"/>
    <x v="12"/>
    <s v="600 ОК– КРС Орг_простой Ожидание разрешения Тех. дежурство Бригада КРС "/>
    <x v="53"/>
    <n v="4.708333333333333"/>
    <x v="41"/>
  </r>
  <r>
    <s v="ГДТ"/>
    <s v="ЗБС"/>
    <s v="Казанское НГКМ"/>
    <s v="6"/>
    <x v="4"/>
    <x v="1"/>
    <m/>
    <x v="6"/>
    <n v="27"/>
    <s v="27.3"/>
    <m/>
    <x v="2"/>
    <s v="Орг_простой"/>
    <x v="1"/>
    <x v="2"/>
    <x v="26"/>
    <s v="Оборудование"/>
    <x v="21"/>
    <m/>
    <s v="Простой — отсутствие мастера. Наблюдение за устьем. Долив р-ром 1,15 г/см³ ƩV=30,8м³."/>
    <n v="4"/>
    <n v="2758.16"/>
    <s v="Работы окончены"/>
    <x v="1"/>
    <m/>
    <m/>
    <m/>
    <m/>
    <m/>
    <m/>
    <n v="0"/>
    <d v="2026-06-20T12:00:00"/>
    <x v="227"/>
    <n v="0.1666666666666667"/>
    <n v="48.83333333333321"/>
    <x v="2"/>
    <n v="0"/>
    <n v="0"/>
    <n v="4"/>
    <n v="447"/>
    <n v="0"/>
    <x v="49"/>
    <d v="1899-12-30T12:00:00"/>
    <d v="2026-06-20T00:00:00"/>
    <d v="1899-12-30T16:00:00"/>
    <x v="12"/>
    <s v="600 ОК– КРС Орг_простой Ожидание разрешения Тех. дежурство Бригада КРС "/>
    <x v="53"/>
    <n v="4.875"/>
    <x v="41"/>
  </r>
  <r>
    <s v="ГДТ"/>
    <s v="ЗБС"/>
    <s v="Казанское НГКМ"/>
    <s v="6"/>
    <x v="4"/>
    <x v="1"/>
    <m/>
    <x v="6"/>
    <n v="27"/>
    <s v="27.4"/>
    <m/>
    <x v="2"/>
    <s v="Орг_простой"/>
    <x v="1"/>
    <x v="2"/>
    <x v="26"/>
    <s v="Оборудование"/>
    <x v="21"/>
    <m/>
    <s v="Простой — отсутствие мастера. Наблюдение за устьем. Долив р-ром 1,15 г/см³ ƩV=31,1м³."/>
    <n v="4"/>
    <n v="2758.16"/>
    <s v="Работы окончены"/>
    <x v="1"/>
    <m/>
    <m/>
    <m/>
    <m/>
    <m/>
    <m/>
    <n v="0"/>
    <d v="2026-06-20T16:00:00"/>
    <x v="228"/>
    <n v="0.1666666666666667"/>
    <n v="48.99999999999988"/>
    <x v="2"/>
    <n v="0"/>
    <n v="0"/>
    <n v="4"/>
    <n v="451"/>
    <n v="0"/>
    <x v="49"/>
    <d v="1899-12-30T16:00:00"/>
    <d v="2026-06-20T00:00:00"/>
    <d v="1899-12-30T20:00:00"/>
    <x v="12"/>
    <s v="600 ОК– КРС Орг_простой Ожидание разрешения Тех. дежурство Бригада КРС "/>
    <x v="53"/>
    <n v="5.041666666666667"/>
    <x v="41"/>
  </r>
  <r>
    <s v="ГДТ"/>
    <s v="ЗБС"/>
    <s v="Казанское НГКМ"/>
    <s v="6"/>
    <x v="4"/>
    <x v="1"/>
    <m/>
    <x v="6"/>
    <n v="27"/>
    <s v="27.5"/>
    <m/>
    <x v="2"/>
    <s v="Орг_простой"/>
    <x v="1"/>
    <x v="2"/>
    <x v="26"/>
    <s v="Оборудование"/>
    <x v="21"/>
    <m/>
    <s v="Простой — отсутствие мастера. Наблюдение за устьем. Долив р-ром 1,15 г/см³ ƩV=31,3м³."/>
    <n v="4"/>
    <n v="2758.16"/>
    <s v="Работы окончены"/>
    <x v="1"/>
    <m/>
    <m/>
    <m/>
    <m/>
    <m/>
    <m/>
    <n v="0"/>
    <d v="2026-06-20T20:00:00"/>
    <x v="229"/>
    <n v="0.1666666666666667"/>
    <n v="49.16666666666654"/>
    <x v="2"/>
    <n v="0"/>
    <n v="0"/>
    <n v="4"/>
    <n v="455"/>
    <n v="0"/>
    <x v="49"/>
    <d v="1899-12-30T20:00:00"/>
    <d v="2026-06-21T00:00:00"/>
    <d v="1899-12-31T00:00:00"/>
    <x v="12"/>
    <s v="600 ОК– КРС Орг_простой Ожидание разрешения Тех. дежурство Бригада КРС "/>
    <x v="53"/>
    <n v="5.208333333333334"/>
    <x v="41"/>
  </r>
  <r>
    <s v="ГДТ"/>
    <s v="ЗБС"/>
    <s v="Казанское НГКМ"/>
    <s v="6"/>
    <x v="4"/>
    <x v="4"/>
    <m/>
    <x v="7"/>
    <n v="28"/>
    <s v="28.1"/>
    <m/>
    <x v="2"/>
    <s v="Орг_простой"/>
    <x v="1"/>
    <x v="2"/>
    <x v="26"/>
    <s v="Оборудование"/>
    <x v="21"/>
    <m/>
    <s v="Простой — отсутствие мастера. Наблюдение за устьем. Долив р-ром 1,15 г/см³ ƩV=31,7м³."/>
    <n v="7"/>
    <n v="2758.16"/>
    <s v="Работы окончены"/>
    <x v="1"/>
    <m/>
    <m/>
    <m/>
    <m/>
    <m/>
    <m/>
    <n v="0"/>
    <d v="2026-06-21T00:00:00"/>
    <x v="230"/>
    <n v="0.2916666666666667"/>
    <n v="49.45833333333321"/>
    <x v="2"/>
    <n v="0"/>
    <n v="0"/>
    <n v="7"/>
    <n v="462"/>
    <n v="0"/>
    <x v="50"/>
    <d v="1899-12-31T00:00:00"/>
    <d v="2026-06-21T00:00:00"/>
    <d v="1899-12-30T07:00:00"/>
    <x v="13"/>
    <s v="600 ОК– КРС Орг_простой Ожидание разрешения Тех. дежурство Бригада КРС "/>
    <x v="53"/>
    <n v="5.500000000000001"/>
    <x v="41"/>
  </r>
  <r>
    <s v="ГДТ"/>
    <s v="ЗБС"/>
    <s v="Казанское НГКМ"/>
    <s v="6"/>
    <x v="4"/>
    <x v="4"/>
    <m/>
    <x v="6"/>
    <n v="28"/>
    <s v="28.2"/>
    <m/>
    <x v="2"/>
    <s v="Орг_простой"/>
    <x v="1"/>
    <x v="2"/>
    <x v="26"/>
    <s v="Оборудование"/>
    <x v="21"/>
    <m/>
    <s v="Простой — отсутствие мастера. Наблюдение за устьем. Долив р-ром 1,15 г/см³ ƩV=32м³."/>
    <n v="5"/>
    <n v="2758.16"/>
    <s v="Работы окончены"/>
    <x v="1"/>
    <m/>
    <m/>
    <m/>
    <m/>
    <m/>
    <m/>
    <n v="0"/>
    <d v="2026-06-21T07:00:00"/>
    <x v="231"/>
    <n v="0.2083333333333333"/>
    <n v="49.66666666666654"/>
    <x v="2"/>
    <n v="0"/>
    <n v="0"/>
    <n v="5"/>
    <n v="467"/>
    <n v="0"/>
    <x v="50"/>
    <d v="1899-12-30T07:00:00"/>
    <d v="2026-06-21T00:00:00"/>
    <d v="1899-12-30T12:00:00"/>
    <x v="14"/>
    <s v="600 ОК– КРС Орг_простой Ожидание разрешения Тех. дежурство Бригада КРС "/>
    <x v="53"/>
    <n v="5.708333333333334"/>
    <x v="41"/>
  </r>
  <r>
    <s v="ГДТ"/>
    <s v="ЗБС"/>
    <s v="Казанское НГКМ"/>
    <s v="6"/>
    <x v="4"/>
    <x v="4"/>
    <m/>
    <x v="6"/>
    <n v="28"/>
    <s v="28.3"/>
    <m/>
    <x v="2"/>
    <s v="Орг_простой"/>
    <x v="1"/>
    <x v="2"/>
    <x v="26"/>
    <s v="Оборудование"/>
    <x v="21"/>
    <m/>
    <s v="Простой — отсутствие мастера. Наблюдение за устьем. Долив р-ром 1,15 г/см³ ƩV=32,2м³."/>
    <n v="4"/>
    <n v="2758.16"/>
    <s v="Работы окончены"/>
    <x v="1"/>
    <m/>
    <m/>
    <m/>
    <m/>
    <m/>
    <m/>
    <n v="0"/>
    <d v="2026-06-21T12:00:00"/>
    <x v="232"/>
    <n v="0.1666666666666667"/>
    <n v="49.83333333333321"/>
    <x v="2"/>
    <n v="0"/>
    <n v="0"/>
    <n v="4"/>
    <n v="471"/>
    <n v="0"/>
    <x v="50"/>
    <d v="1899-12-30T12:00:00"/>
    <d v="2026-06-21T00:00:00"/>
    <d v="1899-12-30T16:00:00"/>
    <x v="14"/>
    <s v="600 ОК– КРС Орг_простой Ожидание разрешения Тех. дежурство Бригада КРС "/>
    <x v="53"/>
    <n v="5.875000000000001"/>
    <x v="41"/>
  </r>
  <r>
    <s v="ГДТ"/>
    <s v="ЗБС"/>
    <s v="Казанское НГКМ"/>
    <s v="6"/>
    <x v="4"/>
    <x v="4"/>
    <m/>
    <x v="6"/>
    <n v="28"/>
    <s v="28.4"/>
    <m/>
    <x v="2"/>
    <s v="Орг_простой"/>
    <x v="1"/>
    <x v="2"/>
    <x v="26"/>
    <s v="Оборудование"/>
    <x v="21"/>
    <m/>
    <s v="Простой — отсутствие мастера. Наблюдение за устьем. Долив р-ром 1,15 г/см³ ƩV=32,4м³."/>
    <n v="4"/>
    <n v="2758.16"/>
    <s v="Работы окончены"/>
    <x v="1"/>
    <m/>
    <m/>
    <m/>
    <m/>
    <m/>
    <m/>
    <n v="0"/>
    <d v="2026-06-21T16:00:00"/>
    <x v="233"/>
    <n v="0.1666666666666667"/>
    <n v="49.99999999999987"/>
    <x v="2"/>
    <n v="0"/>
    <n v="0"/>
    <n v="4"/>
    <n v="475"/>
    <n v="0"/>
    <x v="50"/>
    <d v="1899-12-30T16:00:00"/>
    <d v="2026-06-21T00:00:00"/>
    <d v="1899-12-30T20:00:00"/>
    <x v="14"/>
    <s v="600 ОК– КРС Орг_простой Ожидание разрешения Тех. дежурство Бригада КРС "/>
    <x v="53"/>
    <n v="6.041666666666668"/>
    <x v="41"/>
  </r>
  <r>
    <s v="ГДТ"/>
    <s v="ЗБС"/>
    <s v="Казанское НГКМ"/>
    <s v="6"/>
    <x v="4"/>
    <x v="4"/>
    <m/>
    <x v="6"/>
    <n v="28"/>
    <s v="28.5"/>
    <m/>
    <x v="2"/>
    <s v="Орг_простой"/>
    <x v="1"/>
    <x v="2"/>
    <x v="26"/>
    <s v="Оборудование"/>
    <x v="21"/>
    <m/>
    <s v="Простой — отсутствие мастера. Наблюдение за устьем. Долив р-ром 1,15 г/см³ ƩV=32,6м³."/>
    <n v="4"/>
    <n v="2758.16"/>
    <s v="Работы окончены"/>
    <x v="1"/>
    <m/>
    <m/>
    <m/>
    <m/>
    <m/>
    <m/>
    <n v="0"/>
    <d v="2026-06-21T20:00:00"/>
    <x v="234"/>
    <n v="0.1666666666666667"/>
    <n v="50.16666666666654"/>
    <x v="2"/>
    <n v="0"/>
    <n v="0"/>
    <n v="4"/>
    <n v="479"/>
    <n v="0"/>
    <x v="50"/>
    <d v="1899-12-30T20:00:00"/>
    <d v="2026-06-22T00:00:00"/>
    <d v="1899-12-31T00:00:00"/>
    <x v="14"/>
    <s v="600 ОК– КРС Орг_простой Ожидание разрешения Тех. дежурство Бригада КРС "/>
    <x v="53"/>
    <n v="6.208333333333335"/>
    <x v="41"/>
  </r>
  <r>
    <s v="ГДТ"/>
    <s v="ЗБС"/>
    <s v="Казанское НГКМ"/>
    <s v="6"/>
    <x v="4"/>
    <x v="1"/>
    <m/>
    <x v="7"/>
    <n v="29"/>
    <s v="29.1"/>
    <m/>
    <x v="2"/>
    <s v="Орг_простой"/>
    <x v="1"/>
    <x v="2"/>
    <x v="26"/>
    <s v="Оборудование"/>
    <x v="21"/>
    <m/>
    <s v="Простой — отсутствие мастера. Наблюдение за устьем. Долив р-ром 1,15 г/см³ ƩV=33м³."/>
    <n v="7"/>
    <n v="2758.16"/>
    <s v="Работы окончены"/>
    <x v="1"/>
    <m/>
    <m/>
    <m/>
    <m/>
    <m/>
    <m/>
    <n v="0"/>
    <d v="2026-06-22T00:00:00"/>
    <x v="235"/>
    <n v="0.2916666666666667"/>
    <n v="50.4583333333332"/>
    <x v="2"/>
    <n v="0"/>
    <n v="0"/>
    <n v="7"/>
    <n v="486"/>
    <n v="0"/>
    <x v="51"/>
    <d v="1899-12-31T00:00:00"/>
    <d v="2026-06-22T00:00:00"/>
    <d v="1899-12-30T07:00:00"/>
    <x v="15"/>
    <s v="600 ОК– КРС Орг_простой Ожидание разрешения Тех. дежурство Бригада КРС "/>
    <x v="53"/>
    <n v="6.500000000000002"/>
    <x v="41"/>
  </r>
  <r>
    <s v="ГДТ"/>
    <s v="ЗБС"/>
    <s v="Казанское НГКМ"/>
    <s v="6"/>
    <x v="4"/>
    <x v="1"/>
    <m/>
    <x v="6"/>
    <n v="29"/>
    <s v="29.2"/>
    <m/>
    <x v="2"/>
    <s v="Орг_простой"/>
    <x v="1"/>
    <x v="2"/>
    <x v="26"/>
    <s v="Оборудование"/>
    <x v="21"/>
    <m/>
    <s v="Простой — отсутствие мастера. Наблюдение за устьем. Долив р-ром 1,15 г/см³ ƩV=33,2м³."/>
    <n v="5"/>
    <n v="2758.16"/>
    <s v="Работы продолжаются"/>
    <x v="1"/>
    <m/>
    <m/>
    <m/>
    <m/>
    <m/>
    <m/>
    <n v="0"/>
    <d v="2026-06-22T07:00:00"/>
    <x v="236"/>
    <n v="0.2083333333333333"/>
    <n v="50.66666666666654"/>
    <x v="2"/>
    <n v="0"/>
    <n v="0"/>
    <n v="5"/>
    <n v="491"/>
    <n v="0"/>
    <x v="51"/>
    <d v="1899-12-30T07:00:00"/>
    <d v="2026-06-22T00:00:00"/>
    <d v="1899-12-30T12:00:00"/>
    <x v="12"/>
    <s v="600 ОК– КРС Орг_простой Ожидание разрешения Тех. дежурство Бригада КРС "/>
    <x v="53"/>
    <n v="6.708333333333335"/>
    <x v="4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7">
  <r>
    <s v="ГДТ"/>
    <s v="КРС"/>
    <s v="Казанское"/>
    <n v="1"/>
    <x v="0"/>
    <x v="0"/>
    <m/>
    <x v="0"/>
    <n v="1"/>
    <s v="0.1"/>
    <m/>
    <x v="0"/>
    <s v="Штатно"/>
    <x v="0"/>
    <x v="0"/>
    <x v="0"/>
    <s v="Оборудование"/>
    <x v="0"/>
    <m/>
    <s v="Переезд бригады на скв. № 6 бис к.п. № 1 бис КНГКМ с к.п. № 7 КНГКМ 9 рейсов L= 7,696км."/>
    <n v="4"/>
    <m/>
    <s v="Работы окончены"/>
    <x v="0"/>
    <m/>
    <m/>
    <m/>
    <m/>
    <m/>
    <m/>
    <n v="0"/>
    <d v="2026-05-02T20:00:00"/>
    <x v="0"/>
    <n v="0.16666666666666666"/>
    <n v="0.16666666666666666"/>
    <x v="0"/>
    <n v="4"/>
    <n v="0"/>
    <n v="0"/>
    <n v="0"/>
    <n v="0"/>
    <x v="0"/>
    <d v="1899-12-30T20:00:00"/>
    <d v="2026-05-03T00:00:00"/>
    <d v="1899-12-30T00:00:00"/>
    <x v="0"/>
    <s v="6 бис ОК– ДПМ Передвижка УПА "/>
    <x v="0"/>
    <n v="0.16666666666666666"/>
    <x v="0"/>
  </r>
  <r>
    <s v="ГДТ"/>
    <s v="КРС"/>
    <s v="Казанское"/>
    <n v="1"/>
    <x v="0"/>
    <x v="1"/>
    <m/>
    <x v="1"/>
    <m/>
    <m/>
    <m/>
    <x v="0"/>
    <s v="Штатно"/>
    <x v="0"/>
    <x v="0"/>
    <x v="0"/>
    <s v="Оборудование"/>
    <x v="0"/>
    <m/>
    <m/>
    <n v="2.5"/>
    <m/>
    <m/>
    <x v="1"/>
    <m/>
    <m/>
    <m/>
    <m/>
    <m/>
    <m/>
    <n v="0"/>
    <d v="2026-05-03T00:00:00"/>
    <x v="1"/>
    <n v="0.10416666666666667"/>
    <n v="0.27083333333333331"/>
    <x v="1"/>
    <n v="2.37"/>
    <n v="0.12999999999999989"/>
    <n v="0"/>
    <n v="0"/>
    <n v="0.12999999999999989"/>
    <x v="1"/>
    <d v="1899-12-30T00:00:00"/>
    <d v="2026-05-03T00:00:00"/>
    <d v="1899-12-30T02:30:00"/>
    <x v="1"/>
    <s v="6 бис ОК– ДПМ Передвижка УПА "/>
    <x v="1"/>
    <n v="0.27083333333333331"/>
    <x v="0"/>
  </r>
  <r>
    <s v="ГДТ"/>
    <s v="КРС"/>
    <s v="Казанское"/>
    <n v="1"/>
    <x v="0"/>
    <x v="1"/>
    <m/>
    <x v="1"/>
    <n v="1"/>
    <s v="0.2"/>
    <m/>
    <x v="0"/>
    <s v="Штатно"/>
    <x v="0"/>
    <x v="1"/>
    <x v="1"/>
    <s v="Оборудование"/>
    <x v="1"/>
    <m/>
    <s v="Расстановка оборудования- 9шт. Установка заземления - 9шт. Монтаж подставок под кабель-25шт. Подключение оборудования-8шт.  Монтаж Экр.колпаков - 1 шт."/>
    <n v="4.25"/>
    <m/>
    <s v="Работы окончены"/>
    <x v="0"/>
    <m/>
    <m/>
    <m/>
    <m/>
    <m/>
    <m/>
    <n v="0"/>
    <d v="2026-05-03T02:30:00"/>
    <x v="2"/>
    <n v="0.17708333333333334"/>
    <n v="0.44791666666666663"/>
    <x v="1"/>
    <n v="4.04"/>
    <n v="0.20999999999999996"/>
    <n v="0"/>
    <n v="0"/>
    <n v="0.33999999999999986"/>
    <x v="1"/>
    <d v="1899-12-30T02:30:00"/>
    <d v="2026-05-03T00:00:00"/>
    <d v="1899-12-30T06:45:00"/>
    <x v="1"/>
    <s v="6 бис ОК– ДПМ Монтаж БО "/>
    <x v="2"/>
    <n v="0.17708333333333334"/>
    <x v="1"/>
  </r>
  <r>
    <s v="ГДТ"/>
    <s v="КРС"/>
    <s v="Казанское"/>
    <n v="1"/>
    <x v="0"/>
    <x v="0"/>
    <m/>
    <x v="0"/>
    <n v="1"/>
    <s v="0.3"/>
    <m/>
    <x v="1"/>
    <s v="Штатно"/>
    <x v="0"/>
    <x v="1"/>
    <x v="1"/>
    <s v="Оборудование"/>
    <x v="0"/>
    <m/>
    <s v="Монтаж подъемного агрегата А-60/80 согласно ТУ и правил ПБ - 100%, РП, спайдера СУ-80, гидроключа ГКШ-1200, ИВЭ-50. Монтаж системы видеонаблюдения. Устройство 2-х якорей. Установка пригрузов 2-х комплектов. Монтаж ПМ и трёх облегченных стеллажей. "/>
    <n v="11.25"/>
    <m/>
    <s v="Работы окончены"/>
    <x v="0"/>
    <m/>
    <m/>
    <m/>
    <m/>
    <m/>
    <m/>
    <n v="0"/>
    <d v="2026-05-03T06:45:00"/>
    <x v="3"/>
    <n v="0.46875"/>
    <n v="0.91666666666666663"/>
    <x v="1"/>
    <n v="8.09"/>
    <n v="3.16"/>
    <n v="0"/>
    <n v="0"/>
    <n v="3.5"/>
    <x v="1"/>
    <d v="1899-12-30T06:45:00"/>
    <d v="2026-05-03T00:00:00"/>
    <d v="1899-12-30T18:00:00"/>
    <x v="0"/>
    <s v="6 бис ОК– ПР Монтаж УПА "/>
    <x v="3"/>
    <n v="0.46875"/>
    <x v="2"/>
  </r>
  <r>
    <s v="ГДТ"/>
    <s v="КРС"/>
    <s v="Казанское"/>
    <n v="1"/>
    <x v="0"/>
    <x v="0"/>
    <m/>
    <x v="0"/>
    <n v="1"/>
    <s v="0.4"/>
    <m/>
    <x v="1"/>
    <s v="Орг_простой"/>
    <x v="1"/>
    <x v="2"/>
    <x v="2"/>
    <s v="Орг_логист_объекты"/>
    <x v="2"/>
    <m/>
    <s v="Запуск бригады КРС пусковой комиссией. "/>
    <n v="6"/>
    <m/>
    <s v="Работы окончены"/>
    <x v="2"/>
    <m/>
    <m/>
    <m/>
    <m/>
    <m/>
    <m/>
    <n v="0"/>
    <d v="2026-05-03T18:00:00"/>
    <x v="4"/>
    <n v="0.25"/>
    <n v="1.1666666666666665"/>
    <x v="2"/>
    <n v="0"/>
    <n v="0"/>
    <n v="6"/>
    <n v="6"/>
    <n v="3.5"/>
    <x v="1"/>
    <d v="1899-12-30T18:00:00"/>
    <d v="2026-05-04T00:00:00"/>
    <d v="1899-12-30T00:00:00"/>
    <x v="0"/>
    <s v="6 бис ОК– ПР Орг_простой Ожидание разрешения Устранение Предписания "/>
    <x v="4"/>
    <n v="0.25"/>
    <x v="3"/>
  </r>
  <r>
    <s v="ГДТ"/>
    <s v="КРС"/>
    <s v="Казанское"/>
    <n v="1"/>
    <x v="0"/>
    <x v="1"/>
    <m/>
    <x v="1"/>
    <m/>
    <m/>
    <m/>
    <x v="1"/>
    <s v="Орг_простой"/>
    <x v="1"/>
    <x v="2"/>
    <x v="2"/>
    <s v="Орг_логист_объекты"/>
    <x v="2"/>
    <m/>
    <m/>
    <n v="3"/>
    <m/>
    <s v="Работы окончены"/>
    <x v="2"/>
    <m/>
    <m/>
    <m/>
    <m/>
    <m/>
    <m/>
    <n v="0"/>
    <d v="2026-05-04T00:00:00"/>
    <x v="5"/>
    <n v="0.125"/>
    <n v="1.2916666666666665"/>
    <x v="2"/>
    <n v="0"/>
    <n v="0"/>
    <n v="3"/>
    <n v="9"/>
    <n v="3.5"/>
    <x v="2"/>
    <d v="1899-12-30T00:00:00"/>
    <d v="2026-05-04T00:00:00"/>
    <d v="1899-12-30T03:00:00"/>
    <x v="1"/>
    <s v="6 бис ОК– ПР Орг_простой Ожидание разрешения Устранение Предписания "/>
    <x v="4"/>
    <n v="0.375"/>
    <x v="3"/>
  </r>
  <r>
    <s v="ГДТ"/>
    <s v="КРС"/>
    <s v="Казанское"/>
    <n v="1"/>
    <x v="0"/>
    <x v="1"/>
    <m/>
    <x v="1"/>
    <n v="1"/>
    <s v="0.5"/>
    <m/>
    <x v="2"/>
    <s v="Штатно"/>
    <x v="0"/>
    <x v="1"/>
    <x v="3"/>
    <s v="Объекты_устье"/>
    <x v="3"/>
    <m/>
    <s v="Подрыв ПШ (вес при подрыве ПШ 8,9тн). Разделка кабельного ввода. Протаскивание кабеля через КВ (L≈50м).  Демонтаж КВ, ПШ."/>
    <n v="5"/>
    <m/>
    <s v="Работы окончены"/>
    <x v="0"/>
    <m/>
    <m/>
    <m/>
    <m/>
    <m/>
    <m/>
    <n v="0"/>
    <d v="2026-05-04T03:00:00"/>
    <x v="6"/>
    <n v="0.20833333333333334"/>
    <n v="1.4999999999999998"/>
    <x v="1"/>
    <n v="1.48"/>
    <n v="3.52"/>
    <n v="0"/>
    <n v="9"/>
    <n v="7.02"/>
    <x v="2"/>
    <d v="1899-12-30T03:00:00"/>
    <d v="2026-05-04T00:00:00"/>
    <d v="1899-12-30T08:00:00"/>
    <x v="1"/>
    <s v="6 бис ОК– КРС Срыв Планшайба "/>
    <x v="5"/>
    <n v="0.20833333333333334"/>
    <x v="4"/>
  </r>
  <r>
    <s v="ГДТ"/>
    <s v="КРС"/>
    <s v="Казанское"/>
    <n v="1"/>
    <x v="0"/>
    <x v="0"/>
    <m/>
    <x v="0"/>
    <n v="1"/>
    <s v="0.6"/>
    <m/>
    <x v="2"/>
    <s v="Штатно"/>
    <x v="0"/>
    <x v="3"/>
    <x v="4"/>
    <s v="Технологический_инструмент"/>
    <x v="4"/>
    <m/>
    <s v="Комиссионный подъём 10.1ЭЦНМИК8 - 2000-350 с глубины 400,69 м. (39шт) на НКТП-114мм.Подъём НКТП-114мм осуществлять в соответствии с регламентом «По учёту и эксплуатации иа со сно- комп рессорных труб в АО «Газпром добыча Томск»."/>
    <n v="7.5"/>
    <m/>
    <s v="Работы окончены"/>
    <x v="0"/>
    <m/>
    <m/>
    <m/>
    <m/>
    <m/>
    <m/>
    <n v="0"/>
    <d v="2026-05-04T08:00:00"/>
    <x v="7"/>
    <n v="0.3125"/>
    <n v="1.8124999999999998"/>
    <x v="1"/>
    <n v="3.46"/>
    <n v="4.04"/>
    <n v="0"/>
    <n v="9"/>
    <n v="11.059999999999999"/>
    <x v="2"/>
    <d v="1899-12-30T08:00:00"/>
    <d v="2026-05-04T00:00:00"/>
    <d v="1899-12-30T15:30:00"/>
    <x v="0"/>
    <s v="6 бис ОК– КРС Подъем УЭЦН "/>
    <x v="6"/>
    <n v="0.3125"/>
    <x v="5"/>
  </r>
  <r>
    <s v="ГДТ"/>
    <s v="КРС"/>
    <s v="Казанское"/>
    <n v="1"/>
    <x v="0"/>
    <x v="0"/>
    <m/>
    <x v="0"/>
    <m/>
    <m/>
    <m/>
    <x v="2"/>
    <s v="Штатно"/>
    <x v="0"/>
    <x v="4"/>
    <x v="5"/>
    <s v="Технологический_инструмент"/>
    <x v="4"/>
    <m/>
    <s v="демонтаж 10.1ЭЦНМИК8 - 2000-350 (1 секция) согласно регламента &quot;По взаимодействию структурных подразделений внутри АО &quot;Газпром добыча Томск&quot; и сервисных (подрядных) организаций при работе с электропогружным оборудованием. "/>
    <n v="2.5"/>
    <m/>
    <s v="Работы окончены"/>
    <x v="1"/>
    <m/>
    <m/>
    <m/>
    <m/>
    <m/>
    <m/>
    <n v="0"/>
    <d v="2026-05-04T15:30:00"/>
    <x v="8"/>
    <n v="0.10416666666666667"/>
    <n v="1.9166666666666665"/>
    <x v="0"/>
    <n v="2.5"/>
    <n v="0"/>
    <n v="0"/>
    <n v="9"/>
    <n v="11.059999999999999"/>
    <x v="2"/>
    <d v="1899-12-30T15:30:00"/>
    <d v="2026-05-04T00:00:00"/>
    <d v="1899-12-30T18:00:00"/>
    <x v="0"/>
    <s v="6 бис ОК– КРС Разборка УЭЦН "/>
    <x v="7"/>
    <n v="0.10416666666666667"/>
    <x v="6"/>
  </r>
  <r>
    <s v="ГДТ"/>
    <s v="КРС"/>
    <s v="Казанское"/>
    <n v="1"/>
    <x v="0"/>
    <x v="0"/>
    <m/>
    <x v="0"/>
    <m/>
    <m/>
    <m/>
    <x v="3"/>
    <s v="Штатно"/>
    <x v="0"/>
    <x v="5"/>
    <x v="6"/>
    <s v="Объекты_ГИС"/>
    <x v="5"/>
    <m/>
    <s v="ГФР: спуск прибора для записи АКЦ,  ГФР: спуск прибора для записи АКЦ Силами ООО &quot;Газпром недра&quot; ПФ &quot;Красноярскгазгеофизика в интервале от устья до текущего забоя (1448,6м). "/>
    <n v="6"/>
    <m/>
    <s v="Работы окончены"/>
    <x v="1"/>
    <m/>
    <m/>
    <m/>
    <m/>
    <m/>
    <m/>
    <n v="0"/>
    <d v="2026-05-04T18:00:00"/>
    <x v="9"/>
    <n v="0.25"/>
    <n v="2.1666666666666665"/>
    <x v="0"/>
    <n v="6"/>
    <n v="0"/>
    <n v="0"/>
    <n v="9"/>
    <n v="11.059999999999999"/>
    <x v="2"/>
    <d v="1899-12-30T18:00:00"/>
    <d v="2026-05-05T00:00:00"/>
    <d v="1899-12-30T00:00:00"/>
    <x v="0"/>
    <s v="6 бис ОК– ГИС ГИС АКЦ-прибор "/>
    <x v="8"/>
    <n v="0.25"/>
    <x v="7"/>
  </r>
  <r>
    <s v="ГДТ"/>
    <s v="КРС"/>
    <s v="Казанское"/>
    <n v="1"/>
    <x v="0"/>
    <x v="1"/>
    <m/>
    <x v="1"/>
    <m/>
    <m/>
    <m/>
    <x v="3"/>
    <s v="Штатно"/>
    <x v="0"/>
    <x v="5"/>
    <x v="6"/>
    <s v="Объекты_ГИС"/>
    <x v="5"/>
    <m/>
    <m/>
    <n v="6"/>
    <m/>
    <m/>
    <x v="1"/>
    <m/>
    <m/>
    <m/>
    <m/>
    <m/>
    <m/>
    <n v="0"/>
    <d v="2026-05-05T00:00:00"/>
    <x v="10"/>
    <n v="0.25"/>
    <n v="2.4166666666666665"/>
    <x v="0"/>
    <n v="6"/>
    <n v="0"/>
    <n v="0"/>
    <n v="9"/>
    <n v="11.059999999999999"/>
    <x v="3"/>
    <d v="1899-12-30T00:00:00"/>
    <d v="2026-05-05T00:00:00"/>
    <d v="1899-12-30T06:00:00"/>
    <x v="1"/>
    <s v="6 бис ОК– ГИС ГИС АКЦ-прибор "/>
    <x v="8"/>
    <n v="0.5"/>
    <x v="7"/>
  </r>
  <r>
    <s v="ГДТ"/>
    <s v="КРС"/>
    <s v="Казанское"/>
    <n v="1"/>
    <x v="0"/>
    <x v="0"/>
    <m/>
    <x v="0"/>
    <m/>
    <m/>
    <m/>
    <x v="2"/>
    <s v="Штатно"/>
    <x v="0"/>
    <x v="2"/>
    <x v="7"/>
    <s v="Технологический_инструмент"/>
    <x v="4"/>
    <m/>
    <s v="Разгрузка на ПМ оборудования для монтажа УЭЦН. Монтаж катушки с кабелем на автонаматыватель.  Настройка клапанов ГКШ-1200МТ. Сверка номерных узлов УЭЦН. Центровка мачты"/>
    <n v="1.5"/>
    <m/>
    <s v="Работы окончены"/>
    <x v="0"/>
    <m/>
    <m/>
    <m/>
    <m/>
    <m/>
    <m/>
    <n v="0"/>
    <d v="2026-05-05T06:00:00"/>
    <x v="11"/>
    <n v="6.25E-2"/>
    <n v="2.4791666666666665"/>
    <x v="1"/>
    <n v="0.92"/>
    <n v="0.57999999999999996"/>
    <n v="0"/>
    <n v="9"/>
    <n v="11.639999999999999"/>
    <x v="3"/>
    <d v="1899-12-30T06:00:00"/>
    <d v="2026-05-05T00:00:00"/>
    <d v="1899-12-30T07:30:00"/>
    <x v="0"/>
    <s v="6 бис ОК– КРС Подготовка УЭЦН "/>
    <x v="9"/>
    <n v="6.25E-2"/>
    <x v="8"/>
  </r>
  <r>
    <s v="ГДТ"/>
    <s v="КРС"/>
    <s v="Казанское"/>
    <n v="1"/>
    <x v="0"/>
    <x v="0"/>
    <m/>
    <x v="0"/>
    <m/>
    <m/>
    <m/>
    <x v="2"/>
    <s v="Штатно"/>
    <x v="0"/>
    <x v="4"/>
    <x v="8"/>
    <s v="Технологический_инструмент"/>
    <x v="4"/>
    <m/>
    <s v="монтаж 10.1ЭЦНМИК8-3000-300 (1 секция насоса, гидрозащита, ПЭД) согласно чек- листа по монтажу "/>
    <n v="10.67"/>
    <m/>
    <s v="Работы окончены"/>
    <x v="0"/>
    <m/>
    <m/>
    <m/>
    <m/>
    <m/>
    <m/>
    <n v="0"/>
    <d v="2026-05-05T07:30:00"/>
    <x v="12"/>
    <n v="0.44458333333333333"/>
    <n v="2.9237500000000001"/>
    <x v="1"/>
    <n v="6.67"/>
    <n v="4"/>
    <n v="0"/>
    <n v="9"/>
    <n v="15.639999999999999"/>
    <x v="3"/>
    <d v="1899-12-30T07:30:00"/>
    <d v="2026-05-05T00:00:00"/>
    <d v="1899-12-30T18:10:12"/>
    <x v="0"/>
    <s v="6 бис ОК– КРС Сборка УЭЦН "/>
    <x v="10"/>
    <n v="0.44458333333333333"/>
    <x v="9"/>
  </r>
  <r>
    <s v="ГДТ"/>
    <s v="КРС"/>
    <s v="Казанское"/>
    <n v="1"/>
    <x v="0"/>
    <x v="0"/>
    <m/>
    <x v="0"/>
    <m/>
    <m/>
    <m/>
    <x v="2"/>
    <s v="Штатно"/>
    <x v="0"/>
    <x v="3"/>
    <x v="9"/>
    <s v="Технологический_инструмент"/>
    <x v="4"/>
    <m/>
    <s v="спуск 10.1 ЭЦНМИК8-3000-300 на глубину 450 метров по мере НКТП в следующей компоновке: ЭЦН + НКТП-114 мм до устья. Скорость СПО установки не более 0,25 м/сек. "/>
    <n v="5"/>
    <m/>
    <s v="Работы окончены"/>
    <x v="0"/>
    <m/>
    <m/>
    <m/>
    <m/>
    <m/>
    <m/>
    <n v="0"/>
    <d v="2026-05-05T18:10:12"/>
    <x v="13"/>
    <n v="0.20833333333333334"/>
    <n v="3.1320833333333336"/>
    <x v="1"/>
    <n v="4.97"/>
    <n v="3.0000000000000249E-2"/>
    <n v="0"/>
    <n v="9"/>
    <n v="15.669999999999998"/>
    <x v="3"/>
    <d v="1899-12-30T18:10:12"/>
    <d v="2026-05-05T00:00:00"/>
    <d v="1899-12-30T23:10:12"/>
    <x v="0"/>
    <s v="6 бис ОК– КРС Спуск УЭЦН "/>
    <x v="11"/>
    <n v="0.20833333333333334"/>
    <x v="10"/>
  </r>
  <r>
    <s v="ГДТ"/>
    <s v="КРС"/>
    <s v="Казанское"/>
    <n v="1"/>
    <x v="0"/>
    <x v="1"/>
    <m/>
    <x v="1"/>
    <m/>
    <m/>
    <m/>
    <x v="2"/>
    <s v="Штатно"/>
    <x v="0"/>
    <x v="1"/>
    <x v="10"/>
    <s v="Оборудование"/>
    <x v="6"/>
    <m/>
    <s v="Демонтаж РП. Демонтаж ГКШ-1200, СУ-80, (вес перед посадкой ПШ: на ↑ 4,9тн, на ↓ 4,6тн). "/>
    <n v="0.83"/>
    <m/>
    <s v="Работы окончены"/>
    <x v="1"/>
    <m/>
    <m/>
    <m/>
    <m/>
    <m/>
    <m/>
    <n v="0"/>
    <d v="2026-05-05T23:10:12"/>
    <x v="14"/>
    <n v="3.4583333333333334E-2"/>
    <n v="3.166666666666667"/>
    <x v="0"/>
    <n v="0.83"/>
    <n v="0"/>
    <n v="0"/>
    <n v="9"/>
    <n v="15.669999999999998"/>
    <x v="3"/>
    <d v="1899-12-30T23:10:12"/>
    <d v="2026-05-06T00:00:00"/>
    <d v="1899-12-30T00:00:00"/>
    <x v="1"/>
    <s v="6 бис ОК– КРС Демонтаж ГКШ "/>
    <x v="12"/>
    <n v="3.4583333333333334E-2"/>
    <x v="11"/>
  </r>
  <r>
    <s v="ГДТ"/>
    <s v="КРС"/>
    <s v="Казанское"/>
    <n v="1"/>
    <x v="0"/>
    <x v="1"/>
    <m/>
    <x v="1"/>
    <m/>
    <m/>
    <m/>
    <x v="2"/>
    <s v="Штатно"/>
    <x v="0"/>
    <x v="6"/>
    <x v="11"/>
    <s v="Энергетика"/>
    <x v="7"/>
    <m/>
    <s v="Контрольный замер сопротивления изоляции совместно с представителем УРиЭ УЭЦН АО &quot;Газпром добыча Томск&quot; R=200МОм. Звезда есть. "/>
    <n v="0.5"/>
    <m/>
    <s v="Работы окончены"/>
    <x v="1"/>
    <m/>
    <m/>
    <m/>
    <m/>
    <m/>
    <m/>
    <n v="0"/>
    <d v="2026-05-06T00:00:00"/>
    <x v="15"/>
    <n v="2.0833333333333332E-2"/>
    <n v="3.1875000000000004"/>
    <x v="0"/>
    <n v="0.5"/>
    <n v="0"/>
    <n v="0"/>
    <n v="9"/>
    <n v="15.669999999999998"/>
    <x v="4"/>
    <d v="1899-12-30T00:00:00"/>
    <d v="2026-05-06T00:00:00"/>
    <d v="1899-12-30T00:30:00"/>
    <x v="1"/>
    <s v="6 бис ОК– КРС Замер Электрооборудование "/>
    <x v="13"/>
    <n v="2.0833333333333332E-2"/>
    <x v="12"/>
  </r>
  <r>
    <s v="ГДТ"/>
    <s v="КРС"/>
    <s v="Казанское"/>
    <n v="1"/>
    <x v="0"/>
    <x v="1"/>
    <m/>
    <x v="1"/>
    <m/>
    <m/>
    <m/>
    <x v="4"/>
    <s v="Штатно"/>
    <x v="0"/>
    <x v="1"/>
    <x v="12"/>
    <s v="Объекты_устье"/>
    <x v="8"/>
    <m/>
    <s v="Монтаж ФА с протаскиванием кабеля (≈44м) через кабельный ввод. Монтаж кабельного ввода.   Контрольный замер изоляции кабеля с представителем УР и Э УЭЦН  АО &quot;Газпром добыча Томск&quot; после посадки планшайбы. R=200МОм. Звезда есть. Монтаж обвязки скважины."/>
    <n v="2"/>
    <m/>
    <s v="Работы окончены"/>
    <x v="0"/>
    <m/>
    <m/>
    <m/>
    <m/>
    <m/>
    <m/>
    <n v="0"/>
    <d v="2026-05-06T00:30:00"/>
    <x v="16"/>
    <n v="8.3333333333333329E-2"/>
    <n v="3.2708333333333339"/>
    <x v="1"/>
    <n v="1.93"/>
    <n v="7.0000000000000062E-2"/>
    <n v="0"/>
    <n v="9"/>
    <n v="15.739999999999998"/>
    <x v="4"/>
    <d v="1899-12-30T00:30:00"/>
    <d v="2026-05-06T00:00:00"/>
    <d v="1899-12-30T02:30:00"/>
    <x v="1"/>
    <s v="6 бис ОК– Заканчивание Перемонтаж Фонтанная арматура "/>
    <x v="14"/>
    <n v="8.3333333333333329E-2"/>
    <x v="13"/>
  </r>
  <r>
    <s v="ГДТ"/>
    <s v="КРС"/>
    <s v="Казанское"/>
    <n v="1"/>
    <x v="0"/>
    <x v="1"/>
    <m/>
    <x v="1"/>
    <m/>
    <m/>
    <m/>
    <x v="4"/>
    <s v="Штатно"/>
    <x v="0"/>
    <x v="7"/>
    <x v="13"/>
    <s v="Технологический_инструмент"/>
    <x v="4"/>
    <m/>
    <s v="Замер сопротивления  изоляции  кабельной линии перед запуском установки – 100МОм, звезда есть. Запуск  30.1ЭЦНМИК6-1000-370 на НСК в 18:30ч. Iпуск =21,4А; Iраб=19,7А; Частота – 40Гц; Загрузка – 42%; Подача сразу. Дебит составил V = 1040м3 ЗР после запуска."/>
    <n v="1"/>
    <m/>
    <s v="Работы окончены"/>
    <x v="1"/>
    <m/>
    <m/>
    <m/>
    <m/>
    <m/>
    <m/>
    <n v="0"/>
    <d v="2026-05-06T02:30:00"/>
    <x v="17"/>
    <n v="4.1666666666666664E-2"/>
    <n v="3.3125000000000004"/>
    <x v="0"/>
    <n v="1"/>
    <n v="0"/>
    <n v="0"/>
    <n v="9"/>
    <n v="15.739999999999998"/>
    <x v="4"/>
    <d v="1899-12-30T02:30:00"/>
    <d v="2026-05-06T00:00:00"/>
    <d v="1899-12-30T03:30:00"/>
    <x v="1"/>
    <s v="6 бис ОК– Заканчивание Запуск в работу УЭЦН "/>
    <x v="15"/>
    <n v="4.1666666666666664E-2"/>
    <x v="14"/>
  </r>
  <r>
    <s v="ГДТ"/>
    <s v="КРС"/>
    <s v="Казанское"/>
    <n v="1"/>
    <x v="0"/>
    <x v="1"/>
    <m/>
    <x v="1"/>
    <m/>
    <m/>
    <m/>
    <x v="0"/>
    <s v="Штатно"/>
    <x v="0"/>
    <x v="1"/>
    <x v="10"/>
    <s v="Оборудование"/>
    <x v="0"/>
    <m/>
    <s v="Демонтаж ИВЭ-50, РП, А- 60/80, пригрузов, якорей, ПМ и трёх облегчённых стеллажей, линии долива. Демонтаж пригрузов, якорей.Демонтаж ПМ и трёх облегчённых стеллажей, линии долива. Демонтаж 1-го защитных колпаков. Демонтаж заземления. Отключение оборудования. Демонтаж подставок под кабель. Уборка прилегающей к скважине территории."/>
    <n v="13.5"/>
    <m/>
    <s v="Работы окончены"/>
    <x v="0"/>
    <m/>
    <m/>
    <m/>
    <m/>
    <m/>
    <m/>
    <n v="0"/>
    <d v="2026-05-06T03:30:00"/>
    <x v="18"/>
    <n v="0.5625"/>
    <n v="3.8750000000000004"/>
    <x v="1"/>
    <n v="7.5"/>
    <n v="6"/>
    <n v="0"/>
    <n v="9"/>
    <n v="21.74"/>
    <x v="4"/>
    <d v="1899-12-30T03:30:00"/>
    <d v="2026-05-06T00:00:00"/>
    <d v="1899-12-30T17:00:00"/>
    <x v="1"/>
    <s v="6 бис ОК– ДПМ Демонтаж УПА "/>
    <x v="16"/>
    <n v="0.5625"/>
    <x v="15"/>
  </r>
  <r>
    <s v="ГДТ"/>
    <s v="КРС"/>
    <s v="Казанское"/>
    <n v="1"/>
    <x v="0"/>
    <x v="0"/>
    <m/>
    <x v="0"/>
    <m/>
    <m/>
    <m/>
    <x v="0"/>
    <s v="Штатно"/>
    <x v="0"/>
    <x v="1"/>
    <x v="10"/>
    <s v="Оборудование"/>
    <x v="0"/>
    <m/>
    <s v="Демонтаж БО"/>
    <n v="4.5"/>
    <m/>
    <s v="Работы окончены"/>
    <x v="0"/>
    <m/>
    <m/>
    <m/>
    <m/>
    <m/>
    <m/>
    <n v="0"/>
    <d v="2026-05-06T17:00:00"/>
    <x v="19"/>
    <n v="0.1875"/>
    <n v="4.0625"/>
    <x v="1"/>
    <n v="0"/>
    <n v="4.5"/>
    <n v="0"/>
    <n v="9"/>
    <n v="26.24"/>
    <x v="4"/>
    <d v="1899-12-30T17:00:00"/>
    <d v="2026-05-06T00:00:00"/>
    <d v="1899-12-30T21:30:00"/>
    <x v="0"/>
    <s v="6 бис ОК– ДПМ Демонтаж УПА "/>
    <x v="16"/>
    <n v="0.75"/>
    <x v="15"/>
  </r>
  <r>
    <s v="ГДТ"/>
    <s v="КРС"/>
    <s v="Казанское"/>
    <n v="1"/>
    <x v="1"/>
    <x v="0"/>
    <m/>
    <x v="0"/>
    <m/>
    <m/>
    <m/>
    <x v="0"/>
    <s v="Штатно"/>
    <x v="0"/>
    <x v="0"/>
    <x v="0"/>
    <s v="Оборудование"/>
    <x v="0"/>
    <m/>
    <s v="ПР к переезду на скв. 431 КП26 Казанского НГКМ."/>
    <n v="2.5"/>
    <m/>
    <s v="Работы окончены"/>
    <x v="0"/>
    <m/>
    <m/>
    <m/>
    <m/>
    <m/>
    <m/>
    <n v="0"/>
    <d v="2026-05-06T21:30:00"/>
    <x v="20"/>
    <n v="0.10416666666666667"/>
    <n v="4.166666666666667"/>
    <x v="0"/>
    <n v="2.5"/>
    <n v="0"/>
    <n v="0"/>
    <n v="0"/>
    <n v="0"/>
    <x v="4"/>
    <d v="1899-12-30T21:30:00"/>
    <d v="2026-05-07T00:00:00"/>
    <d v="1899-12-30T00:00:00"/>
    <x v="0"/>
    <s v="431 ОК– ДПМ Передвижка УПА "/>
    <x v="0"/>
    <n v="0.10416666666666667"/>
    <x v="0"/>
  </r>
  <r>
    <s v="ГДТ"/>
    <s v="КРС"/>
    <s v="Казанское"/>
    <n v="1"/>
    <x v="1"/>
    <x v="1"/>
    <m/>
    <x v="1"/>
    <m/>
    <m/>
    <m/>
    <x v="0"/>
    <s v="Штатно"/>
    <x v="0"/>
    <x v="0"/>
    <x v="0"/>
    <s v="Оборудование"/>
    <x v="0"/>
    <m/>
    <s v="ПР к переезду на скв. 431 КП26 Казанского НГКМ."/>
    <n v="7"/>
    <m/>
    <m/>
    <x v="1"/>
    <m/>
    <m/>
    <m/>
    <m/>
    <m/>
    <m/>
    <n v="0"/>
    <d v="2026-05-07T00:00:00"/>
    <x v="21"/>
    <n v="0.29166666666666669"/>
    <n v="4.4583333333333339"/>
    <x v="0"/>
    <n v="7"/>
    <n v="0"/>
    <n v="0"/>
    <n v="0"/>
    <n v="0"/>
    <x v="5"/>
    <d v="1899-12-30T00:00:00"/>
    <d v="2026-05-07T00:00:00"/>
    <d v="1899-12-30T07:00:00"/>
    <x v="1"/>
    <s v="431 ОК– ДПМ Передвижка УПА "/>
    <x v="0"/>
    <n v="0.39583333333333337"/>
    <x v="0"/>
  </r>
  <r>
    <s v="ГДТ"/>
    <s v="КРС"/>
    <s v="Казанское"/>
    <n v="1"/>
    <x v="1"/>
    <x v="0"/>
    <m/>
    <x v="0"/>
    <m/>
    <m/>
    <m/>
    <x v="0"/>
    <s v="Штатно"/>
    <x v="0"/>
    <x v="0"/>
    <x v="0"/>
    <s v="Оборудование"/>
    <x v="0"/>
    <m/>
    <s v="ПР и переезд на скв. 431 КП26 Казанского НГКМ — 4 рейса/10. Подключение вагон-городка."/>
    <n v="5"/>
    <m/>
    <m/>
    <x v="1"/>
    <m/>
    <m/>
    <m/>
    <m/>
    <m/>
    <m/>
    <n v="0"/>
    <d v="2026-05-07T07:00:00"/>
    <x v="22"/>
    <n v="0.20833333333333334"/>
    <n v="4.666666666666667"/>
    <x v="0"/>
    <n v="5"/>
    <n v="0"/>
    <n v="0"/>
    <n v="0"/>
    <n v="0"/>
    <x v="5"/>
    <d v="1899-12-30T07:00:00"/>
    <d v="2026-05-07T00:00:00"/>
    <d v="1899-12-30T12:00:00"/>
    <x v="0"/>
    <s v="431 ОК– ДПМ Передвижка УПА "/>
    <x v="0"/>
    <n v="0.60416666666666674"/>
    <x v="0"/>
  </r>
  <r>
    <s v="ГДТ"/>
    <s v="КРС"/>
    <s v="Казанское"/>
    <n v="1"/>
    <x v="1"/>
    <x v="0"/>
    <m/>
    <x v="0"/>
    <m/>
    <m/>
    <m/>
    <x v="0"/>
    <s v="Штатно"/>
    <x v="0"/>
    <x v="0"/>
    <x v="0"/>
    <s v="Оборудование"/>
    <x v="0"/>
    <m/>
    <s v="ПР и переезд на скв. 431 КП26 Казанского НГКМ — 5 рейсов/10. Зачистка территории прилегающей к скв. 6 бис, КП 1 бис. Покраска ФА."/>
    <n v="4"/>
    <m/>
    <s v="Работы окончены"/>
    <x v="0"/>
    <m/>
    <m/>
    <m/>
    <m/>
    <m/>
    <m/>
    <n v="0"/>
    <d v="2026-05-07T12:00:00"/>
    <x v="23"/>
    <n v="0.16666666666666666"/>
    <n v="4.8333333333333339"/>
    <x v="1"/>
    <n v="1.9699999999999989"/>
    <n v="2.0300000000000011"/>
    <n v="0"/>
    <n v="0"/>
    <n v="2.0300000000000011"/>
    <x v="5"/>
    <d v="1899-12-30T12:00:00"/>
    <d v="2026-05-07T00:00:00"/>
    <d v="1899-12-30T16:00:00"/>
    <x v="0"/>
    <s v="431 ОК– ДПМ Передвижка УПА "/>
    <x v="1"/>
    <n v="0.77083333333333337"/>
    <x v="0"/>
  </r>
  <r>
    <s v="ГДТ"/>
    <s v="КРС"/>
    <s v="Казанское"/>
    <n v="1"/>
    <x v="1"/>
    <x v="0"/>
    <m/>
    <x v="0"/>
    <m/>
    <m/>
    <m/>
    <x v="0"/>
    <s v="Штатно"/>
    <x v="0"/>
    <x v="0"/>
    <x v="0"/>
    <s v="Оборудование"/>
    <x v="0"/>
    <m/>
    <s v="Переезд на скв. 431 КП26 Казанского НГКМ — 6 рейсов/10."/>
    <n v="4"/>
    <m/>
    <s v="Работы окончены"/>
    <x v="0"/>
    <m/>
    <m/>
    <m/>
    <m/>
    <m/>
    <m/>
    <n v="0"/>
    <d v="2026-05-07T16:00:00"/>
    <x v="24"/>
    <n v="0.16666666666666666"/>
    <n v="5.0000000000000009"/>
    <x v="1"/>
    <n v="0"/>
    <n v="4"/>
    <n v="0"/>
    <n v="0"/>
    <n v="6.0300000000000011"/>
    <x v="5"/>
    <d v="1899-12-30T16:00:00"/>
    <d v="2026-05-07T00:00:00"/>
    <d v="1899-12-30T20:00:00"/>
    <x v="0"/>
    <s v="431 ОК– ДПМ Передвижка УПА "/>
    <x v="1"/>
    <n v="0.9375"/>
    <x v="0"/>
  </r>
  <r>
    <s v="ГДТ"/>
    <s v="КРС"/>
    <s v="Казанское"/>
    <n v="1"/>
    <x v="1"/>
    <x v="0"/>
    <m/>
    <x v="0"/>
    <m/>
    <m/>
    <m/>
    <x v="0"/>
    <s v="Штатно"/>
    <x v="0"/>
    <x v="0"/>
    <x v="0"/>
    <s v="Оборудование"/>
    <x v="0"/>
    <m/>
    <s v="Переезд на скв. 431 КП26 Казанского НГКМ — 7 рейсов/10."/>
    <n v="4"/>
    <m/>
    <s v="Работы окончены"/>
    <x v="0"/>
    <m/>
    <m/>
    <m/>
    <m/>
    <m/>
    <m/>
    <n v="0"/>
    <d v="2026-05-07T20:00:00"/>
    <x v="25"/>
    <n v="0.16666666666666666"/>
    <n v="5.1666666666666679"/>
    <x v="1"/>
    <n v="0"/>
    <n v="4"/>
    <n v="0"/>
    <n v="0"/>
    <n v="10.030000000000001"/>
    <x v="5"/>
    <d v="1899-12-30T20:00:00"/>
    <d v="2026-05-08T00:00:00"/>
    <d v="1899-12-30T00:00:00"/>
    <x v="0"/>
    <s v="431 ОК– ДПМ Передвижка УПА "/>
    <x v="1"/>
    <n v="1.1041666666666667"/>
    <x v="0"/>
  </r>
  <r>
    <s v="ГДТ"/>
    <s v="КРС"/>
    <s v="Казанское"/>
    <n v="1"/>
    <x v="1"/>
    <x v="1"/>
    <m/>
    <x v="1"/>
    <m/>
    <m/>
    <m/>
    <x v="0"/>
    <s v="Штатно"/>
    <x v="0"/>
    <x v="0"/>
    <x v="0"/>
    <s v="Оборудование"/>
    <x v="0"/>
    <m/>
    <s v="Переезд на скв. 431 КП26 Казанского НГКМ — 7 рейсов/10 (вагон-дом, мостки, стеллажи, ПВО, пригрузы, автовымотка, емкость 25м³, УПРСБ-80)."/>
    <n v="7"/>
    <m/>
    <s v="Работы окончены"/>
    <x v="0"/>
    <m/>
    <m/>
    <m/>
    <m/>
    <m/>
    <m/>
    <n v="0"/>
    <d v="2026-05-08T00:00:00"/>
    <x v="26"/>
    <n v="0.29166666666666669"/>
    <n v="5.4583333333333348"/>
    <x v="1"/>
    <n v="0"/>
    <n v="7"/>
    <n v="0"/>
    <n v="0"/>
    <n v="17.03"/>
    <x v="6"/>
    <d v="1899-12-30T00:00:00"/>
    <d v="2026-05-08T00:00:00"/>
    <d v="1899-12-30T07:00:00"/>
    <x v="1"/>
    <s v="431 ОК– ДПМ Передвижка УПА "/>
    <x v="1"/>
    <n v="1.3958333333333335"/>
    <x v="0"/>
  </r>
  <r>
    <s v="ГДТ"/>
    <s v="КРС"/>
    <s v="Казанское"/>
    <n v="1"/>
    <x v="1"/>
    <x v="0"/>
    <m/>
    <x v="0"/>
    <m/>
    <m/>
    <m/>
    <x v="0"/>
    <s v="Штатно"/>
    <x v="0"/>
    <x v="0"/>
    <x v="0"/>
    <s v="Оборудование"/>
    <x v="0"/>
    <m/>
    <s v="Мобилизация 70%. Получение наряд-допуска на одновременные работы по скв. 431 КП26 Казанского НГКМ."/>
    <n v="5"/>
    <m/>
    <s v="Работы окончены"/>
    <x v="0"/>
    <m/>
    <m/>
    <m/>
    <m/>
    <m/>
    <m/>
    <n v="0"/>
    <d v="2026-05-08T07:00:00"/>
    <x v="27"/>
    <n v="0.20833333333333334"/>
    <n v="5.6666666666666679"/>
    <x v="1"/>
    <n v="0"/>
    <n v="5"/>
    <n v="0"/>
    <n v="0"/>
    <n v="22.03"/>
    <x v="6"/>
    <d v="1899-12-30T07:00:00"/>
    <d v="2026-05-08T00:00:00"/>
    <d v="1899-12-30T12:00:00"/>
    <x v="0"/>
    <s v="431 ОК– ДПМ Передвижка УПА "/>
    <x v="1"/>
    <n v="1.6041666666666667"/>
    <x v="0"/>
  </r>
  <r>
    <s v="ГДТ"/>
    <s v="КРС"/>
    <s v="Казанское"/>
    <n v="1"/>
    <x v="1"/>
    <x v="0"/>
    <m/>
    <x v="0"/>
    <m/>
    <m/>
    <m/>
    <x v="0"/>
    <s v="Штатно"/>
    <x v="0"/>
    <x v="0"/>
    <x v="0"/>
    <s v="Оборудование"/>
    <x v="0"/>
    <m/>
    <s v="Получение наряд-допуска. Планировка площадки. Мобилизация на скв. 431 КП26 — 1 рейс (емкость 40м³)."/>
    <n v="4"/>
    <m/>
    <s v="Работы окончены"/>
    <x v="0"/>
    <m/>
    <m/>
    <m/>
    <m/>
    <m/>
    <m/>
    <n v="0"/>
    <d v="2026-05-08T12:00:00"/>
    <x v="28"/>
    <n v="0.16666666666666666"/>
    <n v="5.8333333333333348"/>
    <x v="1"/>
    <n v="0"/>
    <n v="4"/>
    <n v="0"/>
    <n v="0"/>
    <n v="26.03"/>
    <x v="6"/>
    <d v="1899-12-30T12:00:00"/>
    <d v="2026-05-08T00:00:00"/>
    <d v="1899-12-30T16:00:00"/>
    <x v="0"/>
    <s v="431 ОК– ДПМ Передвижка УПА "/>
    <x v="1"/>
    <n v="1.7708333333333335"/>
    <x v="0"/>
  </r>
  <r>
    <s v="ГДТ"/>
    <s v="КРС"/>
    <s v="Казанское"/>
    <n v="1"/>
    <x v="1"/>
    <x v="0"/>
    <m/>
    <x v="0"/>
    <m/>
    <m/>
    <m/>
    <x v="0"/>
    <s v="Штатно"/>
    <x v="0"/>
    <x v="0"/>
    <x v="0"/>
    <s v="Оборудование"/>
    <x v="0"/>
    <m/>
    <s v="Мобилизация на скв. 431 КП26 — 2 рейса (вагон-дом, стеллажи, доп. стеллажи, автонаматыватель, подключение). Растаскивание кабеля СИП 150м."/>
    <n v="4"/>
    <m/>
    <s v="Работы окончены"/>
    <x v="0"/>
    <m/>
    <m/>
    <m/>
    <m/>
    <m/>
    <m/>
    <n v="0"/>
    <d v="2026-05-08T16:00:00"/>
    <x v="29"/>
    <n v="0.16666666666666666"/>
    <n v="6.0000000000000018"/>
    <x v="1"/>
    <n v="0"/>
    <n v="4"/>
    <n v="0"/>
    <n v="0"/>
    <n v="30.03"/>
    <x v="6"/>
    <d v="1899-12-30T16:00:00"/>
    <d v="2026-05-08T00:00:00"/>
    <d v="1899-12-30T20:00:00"/>
    <x v="0"/>
    <s v="431 ОК– ДПМ Передвижка УПА "/>
    <x v="1"/>
    <n v="1.9375000000000002"/>
    <x v="0"/>
  </r>
  <r>
    <s v="ГДТ"/>
    <s v="КРС"/>
    <s v="Казанское"/>
    <n v="1"/>
    <x v="1"/>
    <x v="0"/>
    <m/>
    <x v="0"/>
    <m/>
    <m/>
    <m/>
    <x v="0"/>
    <s v="Штатно"/>
    <x v="0"/>
    <x v="0"/>
    <x v="0"/>
    <s v="Оборудование"/>
    <x v="0"/>
    <m/>
    <s v="Планировка площадки под УПРСБ-80 (уборка песка из под отсыпки под МБУ). Выставление трёх емкостей 25м³. Установка СУП."/>
    <n v="4"/>
    <m/>
    <s v="Работы окончены"/>
    <x v="0"/>
    <m/>
    <m/>
    <m/>
    <m/>
    <m/>
    <m/>
    <n v="0"/>
    <d v="2026-05-08T20:00:00"/>
    <x v="30"/>
    <n v="0.16666666666666666"/>
    <n v="6.1666666666666687"/>
    <x v="1"/>
    <n v="0"/>
    <n v="4"/>
    <n v="0"/>
    <n v="0"/>
    <n v="34.03"/>
    <x v="6"/>
    <d v="1899-12-30T20:00:00"/>
    <d v="2026-05-09T00:00:00"/>
    <d v="1899-12-30T00:00:00"/>
    <x v="0"/>
    <s v="431 ОК– ДПМ Передвижка УПА "/>
    <x v="1"/>
    <n v="2.104166666666667"/>
    <x v="0"/>
  </r>
  <r>
    <s v="ГДТ"/>
    <s v="КРС"/>
    <s v="Казанское"/>
    <n v="1"/>
    <x v="1"/>
    <x v="1"/>
    <m/>
    <x v="1"/>
    <m/>
    <m/>
    <m/>
    <x v="0"/>
    <s v="Штатно"/>
    <x v="0"/>
    <x v="0"/>
    <x v="0"/>
    <s v="Оборудование"/>
    <x v="0"/>
    <m/>
    <s v="Установка инструментального вагона. Монтаж видеонаблюдения. Выставление емкостей на домкраты. Сборка линии для набора воды."/>
    <n v="7"/>
    <m/>
    <s v="Работы окончены"/>
    <x v="0"/>
    <m/>
    <m/>
    <m/>
    <m/>
    <m/>
    <m/>
    <n v="0"/>
    <d v="2026-05-09T00:00:00"/>
    <x v="31"/>
    <n v="0.29166666666666669"/>
    <n v="6.4583333333333357"/>
    <x v="1"/>
    <n v="0"/>
    <n v="7"/>
    <n v="0"/>
    <n v="0"/>
    <n v="41.03"/>
    <x v="7"/>
    <d v="1899-12-30T00:00:00"/>
    <d v="2026-05-09T00:00:00"/>
    <d v="1899-12-30T07:00:00"/>
    <x v="1"/>
    <s v="431 ОК– ДПМ Передвижка УПА "/>
    <x v="1"/>
    <n v="2.3958333333333335"/>
    <x v="0"/>
  </r>
  <r>
    <s v="ГДТ"/>
    <s v="КРС"/>
    <s v="Казанское"/>
    <n v="1"/>
    <x v="1"/>
    <x v="0"/>
    <m/>
    <x v="0"/>
    <m/>
    <m/>
    <m/>
    <x v="1"/>
    <s v="Штатно"/>
    <x v="0"/>
    <x v="2"/>
    <x v="14"/>
    <s v="Объекты_промывка_СО"/>
    <x v="9"/>
    <m/>
    <s v="Сборка линии для набора тех. жидкости глушения. С 08:30 обвязка линии со скважиной. Попытки набора тех. воды со скв. ППД 858 (отрицательно)."/>
    <n v="5"/>
    <m/>
    <m/>
    <x v="1"/>
    <m/>
    <m/>
    <m/>
    <m/>
    <m/>
    <m/>
    <n v="0"/>
    <d v="2026-05-09T07:00:00"/>
    <x v="32"/>
    <n v="0.20833333333333334"/>
    <n v="6.6666666666666687"/>
    <x v="0"/>
    <n v="5"/>
    <n v="0"/>
    <n v="0"/>
    <n v="0"/>
    <n v="41.03"/>
    <x v="7"/>
    <d v="1899-12-30T07:00:00"/>
    <d v="2026-05-09T00:00:00"/>
    <d v="1899-12-30T12:00:00"/>
    <x v="0"/>
    <s v="431 ОК– ПР Завоз Тех. вода "/>
    <x v="17"/>
    <n v="0.20833333333333334"/>
    <x v="16"/>
  </r>
  <r>
    <s v="ГДТ"/>
    <s v="КРС"/>
    <s v="Казанское"/>
    <n v="1"/>
    <x v="1"/>
    <x v="0"/>
    <m/>
    <x v="0"/>
    <m/>
    <m/>
    <m/>
    <x v="1"/>
    <s v="Штатно"/>
    <x v="0"/>
    <x v="2"/>
    <x v="14"/>
    <s v="Объекты_промывка_СО"/>
    <x v="9"/>
    <m/>
    <s v="Попытки набора тех. воды со скв. ППД 858 (отрицательно)."/>
    <n v="4"/>
    <m/>
    <s v="Работы окончены"/>
    <x v="0"/>
    <m/>
    <m/>
    <m/>
    <m/>
    <m/>
    <m/>
    <n v="0"/>
    <d v="2026-05-09T12:00:00"/>
    <x v="33"/>
    <n v="0.16666666666666666"/>
    <n v="6.8333333333333357"/>
    <x v="1"/>
    <n v="3.9399999999999995"/>
    <n v="6.0000000000000497E-2"/>
    <n v="0"/>
    <n v="0"/>
    <n v="41.09"/>
    <x v="7"/>
    <d v="1899-12-30T12:00:00"/>
    <d v="2026-05-09T00:00:00"/>
    <d v="1899-12-30T16:00:00"/>
    <x v="0"/>
    <s v="431 ОК– ПР Завоз Тех. вода "/>
    <x v="18"/>
    <n v="0.375"/>
    <x v="16"/>
  </r>
  <r>
    <s v="ГДТ"/>
    <s v="КРС"/>
    <s v="Казанское"/>
    <n v="1"/>
    <x v="1"/>
    <x v="0"/>
    <m/>
    <x v="0"/>
    <m/>
    <m/>
    <m/>
    <x v="1"/>
    <s v="Орг_простой"/>
    <x v="2"/>
    <x v="8"/>
    <x v="15"/>
    <s v="Объекты_устье"/>
    <x v="10"/>
    <m/>
    <s v="Попытки набора тех. воды. Замена задвижки (15:00–17:00). С 17:00 набор тех. жидкости 10,2 м³."/>
    <n v="4"/>
    <m/>
    <s v="Работы окончены"/>
    <x v="3"/>
    <m/>
    <m/>
    <m/>
    <m/>
    <m/>
    <m/>
    <n v="0"/>
    <d v="2026-05-09T16:00:00"/>
    <x v="34"/>
    <n v="0.16666666666666666"/>
    <n v="7.0000000000000027"/>
    <x v="2"/>
    <n v="0"/>
    <n v="0"/>
    <n v="4"/>
    <n v="4"/>
    <n v="41.09"/>
    <x v="7"/>
    <d v="1899-12-30T16:00:00"/>
    <d v="2026-05-09T00:00:00"/>
    <d v="1899-12-30T20:00:00"/>
    <x v="0"/>
    <s v="431 ОК– ПР Орг_простой Внеплановый ремонт Замена Запорная арматура "/>
    <x v="19"/>
    <n v="0.16666666666666666"/>
    <x v="17"/>
  </r>
  <r>
    <s v="ГДТ"/>
    <s v="КРС"/>
    <s v="Казанское"/>
    <n v="1"/>
    <x v="1"/>
    <x v="0"/>
    <m/>
    <x v="0"/>
    <m/>
    <m/>
    <m/>
    <x v="1"/>
    <s v="Штатно"/>
    <x v="0"/>
    <x v="2"/>
    <x v="14"/>
    <s v="Объекты_промывка_СО"/>
    <x v="9"/>
    <m/>
    <s v="Набор тех. жидкости для глушения 15 м³ из 55 м³."/>
    <n v="4"/>
    <m/>
    <s v="Работы окончены"/>
    <x v="0"/>
    <m/>
    <m/>
    <m/>
    <m/>
    <m/>
    <m/>
    <n v="0"/>
    <d v="2026-05-09T20:00:00"/>
    <x v="35"/>
    <n v="0.16666666666666666"/>
    <n v="7.1666666666666696"/>
    <x v="1"/>
    <n v="0"/>
    <n v="4"/>
    <n v="0"/>
    <n v="4"/>
    <n v="45.09"/>
    <x v="7"/>
    <d v="1899-12-30T20:00:00"/>
    <d v="2026-05-10T00:00:00"/>
    <d v="1899-12-30T00:00:00"/>
    <x v="0"/>
    <s v="431 ОК– ПР Завоз Тех. вода "/>
    <x v="18"/>
    <n v="0.54166666666666663"/>
    <x v="16"/>
  </r>
  <r>
    <s v="ГДТ"/>
    <s v="КРС"/>
    <s v="Казанское"/>
    <n v="1"/>
    <x v="1"/>
    <x v="1"/>
    <m/>
    <x v="1"/>
    <m/>
    <m/>
    <m/>
    <x v="1"/>
    <s v="Штатно"/>
    <x v="0"/>
    <x v="2"/>
    <x v="14"/>
    <s v="Объекты_промывка_СО"/>
    <x v="9"/>
    <m/>
    <s v="Набор тех. жидкости 25 м³ (общ. 40 м³ из 55 м³)."/>
    <n v="7"/>
    <m/>
    <s v="Работы окончены"/>
    <x v="0"/>
    <m/>
    <m/>
    <m/>
    <m/>
    <m/>
    <m/>
    <n v="0"/>
    <d v="2026-05-10T00:00:00"/>
    <x v="36"/>
    <n v="0.29166666666666669"/>
    <n v="7.4583333333333366"/>
    <x v="1"/>
    <n v="0"/>
    <n v="7"/>
    <n v="0"/>
    <n v="4"/>
    <n v="52.09"/>
    <x v="8"/>
    <d v="1899-12-30T00:00:00"/>
    <d v="2026-05-10T00:00:00"/>
    <d v="1899-12-30T07:00:00"/>
    <x v="1"/>
    <s v="431 ОК– ПР Завоз Тех. вода "/>
    <x v="18"/>
    <n v="0.83333333333333326"/>
    <x v="16"/>
  </r>
  <r>
    <s v="ГДТ"/>
    <s v="КРС"/>
    <s v="Казанское"/>
    <n v="1"/>
    <x v="1"/>
    <x v="0"/>
    <m/>
    <x v="0"/>
    <m/>
    <m/>
    <m/>
    <x v="1"/>
    <s v="Штатно"/>
    <x v="0"/>
    <x v="2"/>
    <x v="14"/>
    <s v="Объекты_промывка_СО"/>
    <x v="9"/>
    <m/>
    <s v="Набор тех. жидкости 15 м³ (общ. 55 м³). Приготовление жидкости глушения ρ=1,01 г/см³."/>
    <n v="5"/>
    <m/>
    <s v="Работы окончены"/>
    <x v="0"/>
    <m/>
    <m/>
    <m/>
    <m/>
    <m/>
    <m/>
    <n v="0"/>
    <d v="2026-05-10T07:00:00"/>
    <x v="37"/>
    <n v="0.20833333333333334"/>
    <n v="7.6666666666666696"/>
    <x v="1"/>
    <n v="-1.7763568394002505E-15"/>
    <n v="5.0000000000000018"/>
    <n v="0"/>
    <n v="4"/>
    <n v="57.09"/>
    <x v="8"/>
    <d v="1899-12-30T07:00:00"/>
    <d v="2026-05-10T00:00:00"/>
    <d v="1899-12-30T12:00:00"/>
    <x v="0"/>
    <s v="431 ОК– ПР Завоз Тех. вода "/>
    <x v="18"/>
    <n v="1.0416666666666665"/>
    <x v="16"/>
  </r>
  <r>
    <s v="ГДТ"/>
    <s v="КРС"/>
    <s v="Казанское"/>
    <n v="1"/>
    <x v="1"/>
    <x v="0"/>
    <m/>
    <x v="0"/>
    <m/>
    <m/>
    <m/>
    <x v="1"/>
    <s v="Штатно"/>
    <x v="0"/>
    <x v="6"/>
    <x v="16"/>
    <s v="Объекты_устье"/>
    <x v="8"/>
    <m/>
    <s v="Опрессовка лифта НКТ на 6 МПа, обратного клапана ФА на 4 МПа (герметично)."/>
    <n v="4"/>
    <m/>
    <s v="Работы окончены"/>
    <x v="0"/>
    <m/>
    <m/>
    <m/>
    <m/>
    <m/>
    <m/>
    <n v="0"/>
    <d v="2026-05-10T12:00:00"/>
    <x v="38"/>
    <n v="0.16666666666666666"/>
    <n v="7.8333333333333366"/>
    <x v="1"/>
    <n v="0.7056"/>
    <n v="3.2944"/>
    <n v="0"/>
    <n v="4"/>
    <n v="60.384400000000007"/>
    <x v="8"/>
    <d v="1899-12-30T12:00:00"/>
    <d v="2026-05-10T00:00:00"/>
    <d v="1899-12-30T16:00:00"/>
    <x v="0"/>
    <s v="431 ОК– ПР Опрессовка Фонтанная арматура "/>
    <x v="20"/>
    <n v="0.16666666666666666"/>
    <x v="18"/>
  </r>
  <r>
    <s v="ГДТ"/>
    <s v="КРС"/>
    <s v="Казанское"/>
    <n v="1"/>
    <x v="1"/>
    <x v="0"/>
    <m/>
    <x v="0"/>
    <m/>
    <m/>
    <m/>
    <x v="0"/>
    <s v="Штатно"/>
    <x v="0"/>
    <x v="1"/>
    <x v="1"/>
    <s v="Оборудование"/>
    <x v="1"/>
    <m/>
    <s v="Установка на точку станции управления превентором. Установка превентора, линии гидравлики."/>
    <n v="4"/>
    <m/>
    <s v="Работы окончены"/>
    <x v="1"/>
    <m/>
    <m/>
    <m/>
    <m/>
    <m/>
    <m/>
    <n v="0"/>
    <d v="2026-05-10T16:00:00"/>
    <x v="39"/>
    <n v="0.16666666666666666"/>
    <n v="8.0000000000000036"/>
    <x v="0"/>
    <n v="4"/>
    <n v="0"/>
    <n v="0"/>
    <n v="4"/>
    <n v="60.384400000000007"/>
    <x v="8"/>
    <d v="1899-12-30T16:00:00"/>
    <d v="2026-05-10T00:00:00"/>
    <d v="1899-12-30T20:00:00"/>
    <x v="0"/>
    <s v="431 ОК– ДПМ Монтаж БО "/>
    <x v="21"/>
    <n v="0.16666666666666666"/>
    <x v="1"/>
  </r>
  <r>
    <s v="ГДТ"/>
    <s v="КРС"/>
    <s v="Казанское"/>
    <n v="1"/>
    <x v="1"/>
    <x v="0"/>
    <m/>
    <x v="0"/>
    <m/>
    <m/>
    <m/>
    <x v="0"/>
    <s v="Штатно"/>
    <x v="0"/>
    <x v="1"/>
    <x v="1"/>
    <s v="Оборудование"/>
    <x v="1"/>
    <m/>
    <s v="Обвязка станции управления, заправка маслом. Сборка запорной компоновки."/>
    <n v="4"/>
    <m/>
    <s v="Работы окончены"/>
    <x v="0"/>
    <m/>
    <m/>
    <m/>
    <m/>
    <m/>
    <m/>
    <n v="0"/>
    <d v="2026-05-10T20:00:00"/>
    <x v="40"/>
    <n v="0.16666666666666666"/>
    <n v="8.1666666666666696"/>
    <x v="1"/>
    <n v="1.3364000000000003"/>
    <n v="2.6635999999999997"/>
    <n v="0"/>
    <n v="4"/>
    <n v="63.048000000000009"/>
    <x v="8"/>
    <d v="1899-12-30T20:00:00"/>
    <d v="2026-05-11T00:00:00"/>
    <d v="1899-12-30T00:00:00"/>
    <x v="0"/>
    <s v="431 ОК– ДПМ Монтаж БО "/>
    <x v="2"/>
    <n v="0.33333333333333331"/>
    <x v="1"/>
  </r>
  <r>
    <s v="ГДТ"/>
    <s v="КРС"/>
    <s v="Казанское"/>
    <n v="1"/>
    <x v="1"/>
    <x v="1"/>
    <m/>
    <x v="1"/>
    <m/>
    <m/>
    <m/>
    <x v="0"/>
    <s v="Штатно"/>
    <x v="0"/>
    <x v="1"/>
    <x v="1"/>
    <s v="Оборудование"/>
    <x v="1"/>
    <m/>
    <s v="ПР к стендовой опрессовке ПВО."/>
    <n v="7"/>
    <m/>
    <s v="Работы окончены"/>
    <x v="0"/>
    <m/>
    <m/>
    <m/>
    <m/>
    <m/>
    <m/>
    <n v="0"/>
    <d v="2026-05-11T00:00:00"/>
    <x v="41"/>
    <n v="0.29166666666666669"/>
    <n v="8.4583333333333357"/>
    <x v="1"/>
    <n v="8.8817841970012523E-16"/>
    <n v="6.9999999999999991"/>
    <n v="0"/>
    <n v="4"/>
    <n v="70.048000000000002"/>
    <x v="9"/>
    <d v="1899-12-30T00:00:00"/>
    <d v="2026-05-11T00:00:00"/>
    <d v="1899-12-30T07:00:00"/>
    <x v="1"/>
    <s v="431 ОК– ДПМ Монтаж БО "/>
    <x v="2"/>
    <n v="0.625"/>
    <x v="1"/>
  </r>
  <r>
    <s v="ГДТ"/>
    <s v="КРС"/>
    <s v="Казанское"/>
    <n v="1"/>
    <x v="1"/>
    <x v="0"/>
    <m/>
    <x v="0"/>
    <m/>
    <m/>
    <m/>
    <x v="0"/>
    <s v="Штатно"/>
    <x v="0"/>
    <x v="1"/>
    <x v="1"/>
    <s v="Оборудование"/>
    <x v="1"/>
    <m/>
    <s v="Сборка стволовой ПВО (превентор, катушка, шланец, фланец, две гидрозадвижки). Выставление мостков, стеллажей, автовымотки, пригрузов."/>
    <n v="5"/>
    <m/>
    <s v="Работы окончены"/>
    <x v="1"/>
    <m/>
    <m/>
    <m/>
    <m/>
    <m/>
    <m/>
    <n v="0"/>
    <d v="2026-05-11T07:00:00"/>
    <x v="42"/>
    <n v="0.20833333333333334"/>
    <n v="8.6666666666666696"/>
    <x v="1"/>
    <n v="0"/>
    <n v="5"/>
    <n v="0"/>
    <n v="4"/>
    <n v="75.048000000000002"/>
    <x v="9"/>
    <d v="1899-12-30T07:00:00"/>
    <d v="2026-05-11T00:00:00"/>
    <d v="1899-12-30T12:00:00"/>
    <x v="0"/>
    <s v="431 ОК– ДПМ Монтаж БО "/>
    <x v="2"/>
    <n v="0.83333333333333337"/>
    <x v="1"/>
  </r>
  <r>
    <s v="ГДТ"/>
    <s v="КРС"/>
    <s v="Казанское"/>
    <n v="1"/>
    <x v="1"/>
    <x v="0"/>
    <m/>
    <x v="0"/>
    <m/>
    <m/>
    <m/>
    <x v="0"/>
    <s v="Штатно"/>
    <x v="0"/>
    <x v="1"/>
    <x v="1"/>
    <s v="Оборудование"/>
    <x v="1"/>
    <m/>
    <s v="Выставление мостков, стеллажей, автовымотки, пригрузов оттяжек, доп. стеллажей."/>
    <n v="4"/>
    <m/>
    <s v="Работы окончены"/>
    <x v="1"/>
    <m/>
    <m/>
    <m/>
    <m/>
    <m/>
    <m/>
    <n v="0"/>
    <d v="2026-05-11T12:00:00"/>
    <x v="43"/>
    <n v="0.16666666666666666"/>
    <n v="8.8333333333333357"/>
    <x v="1"/>
    <n v="0"/>
    <n v="4"/>
    <n v="0"/>
    <n v="4"/>
    <n v="79.048000000000002"/>
    <x v="9"/>
    <d v="1899-12-30T12:00:00"/>
    <d v="2026-05-11T00:00:00"/>
    <d v="1899-12-30T16:00:00"/>
    <x v="0"/>
    <s v="431 ОК– ДПМ Монтаж БО "/>
    <x v="2"/>
    <n v="1"/>
    <x v="1"/>
  </r>
  <r>
    <s v="ГДТ"/>
    <s v="КРС"/>
    <s v="Казанское"/>
    <n v="1"/>
    <x v="1"/>
    <x v="0"/>
    <m/>
    <x v="0"/>
    <m/>
    <m/>
    <m/>
    <x v="1"/>
    <s v="Штатно"/>
    <x v="0"/>
    <x v="1"/>
    <x v="17"/>
    <s v="Объекты_устье"/>
    <x v="11"/>
    <m/>
    <s v="Монтаж гидравлических линий обвязки СУП, превентора, вспом. пульта, новых гидрозадвижек."/>
    <n v="4"/>
    <m/>
    <s v="Работы окончены"/>
    <x v="0"/>
    <m/>
    <m/>
    <m/>
    <m/>
    <m/>
    <m/>
    <n v="0"/>
    <d v="2026-05-11T16:00:00"/>
    <x v="44"/>
    <n v="0.16666666666666666"/>
    <n v="9.0000000000000018"/>
    <x v="1"/>
    <n v="0.45440000000000014"/>
    <n v="3.5455999999999999"/>
    <n v="0"/>
    <n v="4"/>
    <n v="82.593599999999995"/>
    <x v="9"/>
    <d v="1899-12-30T16:00:00"/>
    <d v="2026-05-11T00:00:00"/>
    <d v="1899-12-30T20:00:00"/>
    <x v="0"/>
    <s v="431 ОК– ПР Монтаж линии Линия глушения "/>
    <x v="22"/>
    <n v="0.16666666666666666"/>
    <x v="19"/>
  </r>
  <r>
    <s v="ГДТ"/>
    <s v="КРС"/>
    <s v="Казанское"/>
    <n v="1"/>
    <x v="1"/>
    <x v="0"/>
    <m/>
    <x v="0"/>
    <m/>
    <m/>
    <m/>
    <x v="1"/>
    <s v="Штатно"/>
    <x v="0"/>
    <x v="1"/>
    <x v="17"/>
    <s v="Объекты_устье"/>
    <x v="11"/>
    <m/>
    <s v="ПЗР к опрессовке ПВО до установки на устье скважины."/>
    <n v="4"/>
    <m/>
    <s v="Работы окончены"/>
    <x v="1"/>
    <m/>
    <m/>
    <m/>
    <m/>
    <m/>
    <m/>
    <n v="0"/>
    <d v="2026-05-11T20:00:00"/>
    <x v="45"/>
    <n v="0.16666666666666666"/>
    <n v="9.1666666666666679"/>
    <x v="1"/>
    <n v="0"/>
    <n v="4"/>
    <n v="0"/>
    <n v="4"/>
    <n v="86.593599999999995"/>
    <x v="9"/>
    <d v="1899-12-30T20:00:00"/>
    <d v="2026-05-12T00:00:00"/>
    <d v="1899-12-30T00:00:00"/>
    <x v="0"/>
    <s v="431 ОК– ПР Монтаж линии Линия глушения "/>
    <x v="22"/>
    <n v="0.33333333333333331"/>
    <x v="19"/>
  </r>
  <r>
    <s v="ГДТ"/>
    <s v="КРС"/>
    <s v="Казанское"/>
    <n v="1"/>
    <x v="1"/>
    <x v="1"/>
    <m/>
    <x v="1"/>
    <m/>
    <m/>
    <m/>
    <x v="1"/>
    <s v="Штатно"/>
    <x v="0"/>
    <x v="6"/>
    <x v="16"/>
    <s v="Объекты_устье"/>
    <x v="12"/>
    <m/>
    <s v="ПР и поочередная опрессовка гидравлических задвижек на 35 МПа (герметично). Опрессовка корпуса превентора на 35 МПа — пропуски по лобовой дверце плашек."/>
    <n v="7"/>
    <m/>
    <s v="Работы окончены"/>
    <x v="0"/>
    <m/>
    <m/>
    <m/>
    <m/>
    <m/>
    <m/>
    <n v="0"/>
    <d v="2026-05-12T00:00:00"/>
    <x v="46"/>
    <n v="0.29166666666666669"/>
    <n v="9.4583333333333339"/>
    <x v="1"/>
    <n v="0.50399999999999956"/>
    <n v="6.4960000000000004"/>
    <n v="0"/>
    <n v="4"/>
    <n v="93.08959999999999"/>
    <x v="10"/>
    <d v="1899-12-30T00:00:00"/>
    <d v="2026-05-12T00:00:00"/>
    <d v="1899-12-30T07:00:00"/>
    <x v="1"/>
    <s v="431 ОК– ПР Опрессовка ПВО "/>
    <x v="23"/>
    <n v="0.29166666666666669"/>
    <x v="20"/>
  </r>
  <r>
    <s v="ГДТ"/>
    <s v="КРС"/>
    <s v="Казанское"/>
    <n v="1"/>
    <x v="1"/>
    <x v="0"/>
    <m/>
    <x v="0"/>
    <m/>
    <m/>
    <m/>
    <x v="1"/>
    <s v="Орг_простой"/>
    <x v="2"/>
    <x v="8"/>
    <x v="15"/>
    <s v="Объекты_устье"/>
    <x v="12"/>
    <m/>
    <s v="Замена уплотнений лобовой задвижки."/>
    <n v="5"/>
    <m/>
    <s v="Работы окончены"/>
    <x v="3"/>
    <m/>
    <m/>
    <m/>
    <m/>
    <m/>
    <m/>
    <n v="0"/>
    <d v="2026-05-12T07:00:00"/>
    <x v="47"/>
    <n v="0.20833333333333334"/>
    <n v="9.6666666666666679"/>
    <x v="2"/>
    <n v="0"/>
    <n v="0"/>
    <n v="5"/>
    <n v="9"/>
    <n v="93.08959999999999"/>
    <x v="10"/>
    <d v="1899-12-30T07:00:00"/>
    <d v="2026-05-12T00:00:00"/>
    <d v="1899-12-30T12:00:00"/>
    <x v="0"/>
    <s v="431 ОК– ПР Орг_простой Внеплановый ремонт Замена ПВО "/>
    <x v="24"/>
    <n v="0.20833333333333334"/>
    <x v="21"/>
  </r>
  <r>
    <s v="ГДТ"/>
    <s v="КРС"/>
    <s v="Казанское"/>
    <n v="1"/>
    <x v="1"/>
    <x v="0"/>
    <m/>
    <x v="0"/>
    <m/>
    <m/>
    <m/>
    <x v="1"/>
    <s v="Штатно"/>
    <x v="0"/>
    <x v="6"/>
    <x v="16"/>
    <s v="Объекты_устье"/>
    <x v="12"/>
    <m/>
    <s v="ПР и опрессовка корпуса превентора на 35 МПа (герметично). ПР и опрессовка глухих плашек на 35 МПа (герметично)."/>
    <n v="4"/>
    <m/>
    <s v="Работы окончены"/>
    <x v="0"/>
    <m/>
    <m/>
    <m/>
    <m/>
    <m/>
    <m/>
    <n v="0"/>
    <d v="2026-05-12T12:00:00"/>
    <x v="48"/>
    <n v="0.16666666666666666"/>
    <n v="9.8333333333333339"/>
    <x v="1"/>
    <n v="0"/>
    <n v="4"/>
    <n v="0"/>
    <n v="9"/>
    <n v="97.08959999999999"/>
    <x v="10"/>
    <d v="1899-12-30T12:00:00"/>
    <d v="2026-05-12T00:00:00"/>
    <d v="1899-12-30T16:00:00"/>
    <x v="0"/>
    <s v="431 ОК– ПР Опрессовка ПВО "/>
    <x v="23"/>
    <n v="0.45833333333333337"/>
    <x v="20"/>
  </r>
  <r>
    <s v="ГДТ"/>
    <s v="КРС"/>
    <s v="Казанское"/>
    <n v="1"/>
    <x v="1"/>
    <x v="0"/>
    <m/>
    <x v="0"/>
    <m/>
    <m/>
    <m/>
    <x v="1"/>
    <s v="Штатно"/>
    <x v="0"/>
    <x v="6"/>
    <x v="16"/>
    <s v="Объекты_устье"/>
    <x v="12"/>
    <m/>
    <s v="Проведение стендовых испытаний ПВО до установки на устье. Опрессовка превентора (корпус, глухие, трубные) на 35 МПа, опрессовка гидрозадвижек."/>
    <n v="4"/>
    <m/>
    <s v="Работы окончены"/>
    <x v="0"/>
    <m/>
    <m/>
    <m/>
    <m/>
    <m/>
    <m/>
    <n v="0"/>
    <d v="2026-05-12T16:00:00"/>
    <x v="49"/>
    <n v="0.16666666666666666"/>
    <n v="10"/>
    <x v="1"/>
    <n v="0"/>
    <n v="4"/>
    <n v="0"/>
    <n v="9"/>
    <n v="101.08959999999999"/>
    <x v="10"/>
    <d v="1899-12-30T16:00:00"/>
    <d v="2026-05-12T00:00:00"/>
    <d v="1899-12-30T20:00:00"/>
    <x v="0"/>
    <s v="431 ОК– ПР Опрессовка ПВО "/>
    <x v="23"/>
    <n v="0.625"/>
    <x v="20"/>
  </r>
  <r>
    <s v="ГДТ"/>
    <s v="КРС"/>
    <s v="Казанское"/>
    <n v="1"/>
    <x v="1"/>
    <x v="0"/>
    <m/>
    <x v="0"/>
    <m/>
    <m/>
    <m/>
    <x v="1"/>
    <s v="Орг_простой"/>
    <x v="3"/>
    <x v="0"/>
    <x v="7"/>
    <s v="Скважина_ствол"/>
    <x v="13"/>
    <m/>
    <s v="ПР к глушению скважины."/>
    <n v="4"/>
    <m/>
    <s v="Работы окончены"/>
    <x v="2"/>
    <m/>
    <m/>
    <m/>
    <m/>
    <m/>
    <m/>
    <n v="0"/>
    <d v="2026-05-12T20:00:00"/>
    <x v="50"/>
    <n v="0.16666666666666666"/>
    <n v="10.166666666666666"/>
    <x v="2"/>
    <n v="0"/>
    <n v="0"/>
    <n v="4"/>
    <n v="13"/>
    <n v="101.08959999999999"/>
    <x v="10"/>
    <d v="1899-12-30T20:00:00"/>
    <d v="2026-05-13T00:00:00"/>
    <d v="1899-12-30T00:00:00"/>
    <x v="0"/>
    <s v="431 ОК– ПР Орг_простой Орг. простой Подготовка Скважина "/>
    <x v="25"/>
    <n v="0.16666666666666666"/>
    <x v="22"/>
  </r>
  <r>
    <s v="ГДТ"/>
    <s v="КРС"/>
    <s v="Казанское"/>
    <n v="1"/>
    <x v="1"/>
    <x v="1"/>
    <m/>
    <x v="1"/>
    <m/>
    <m/>
    <m/>
    <x v="1"/>
    <s v="Орг_простой"/>
    <x v="3"/>
    <x v="0"/>
    <x v="7"/>
    <s v="Скважина_ствол"/>
    <x v="13"/>
    <m/>
    <s v="ПР к глушению скважины."/>
    <n v="7"/>
    <m/>
    <s v="Работы окончены"/>
    <x v="2"/>
    <m/>
    <m/>
    <m/>
    <m/>
    <m/>
    <m/>
    <n v="0"/>
    <d v="2026-05-13T00:00:00"/>
    <x v="51"/>
    <n v="0.29166666666666669"/>
    <n v="10.458333333333332"/>
    <x v="2"/>
    <n v="0"/>
    <n v="0"/>
    <n v="7"/>
    <n v="20"/>
    <n v="101.08959999999999"/>
    <x v="11"/>
    <d v="1899-12-30T00:00:00"/>
    <d v="2026-05-13T00:00:00"/>
    <d v="1899-12-30T07:00:00"/>
    <x v="1"/>
    <s v="431 ОК– ПР Орг_простой Орг. простой Подготовка Скважина "/>
    <x v="25"/>
    <n v="0.45833333333333337"/>
    <x v="22"/>
  </r>
  <r>
    <s v="ГДТ"/>
    <s v="КРС"/>
    <s v="Казанское"/>
    <n v="1"/>
    <x v="1"/>
    <x v="0"/>
    <m/>
    <x v="0"/>
    <m/>
    <m/>
    <m/>
    <x v="1"/>
    <s v="Орг_простой"/>
    <x v="3"/>
    <x v="0"/>
    <x v="7"/>
    <s v="Скважина_ствол"/>
    <x v="13"/>
    <m/>
    <s v="ПР к глушению скважины."/>
    <n v="5"/>
    <m/>
    <s v="Работы окончены"/>
    <x v="2"/>
    <m/>
    <m/>
    <m/>
    <m/>
    <m/>
    <m/>
    <n v="0"/>
    <d v="2026-05-13T07:00:00"/>
    <x v="52"/>
    <n v="0.20833333333333334"/>
    <n v="10.666666666666666"/>
    <x v="2"/>
    <n v="0"/>
    <n v="0"/>
    <n v="5"/>
    <n v="25"/>
    <n v="101.08959999999999"/>
    <x v="11"/>
    <d v="1899-12-30T07:00:00"/>
    <d v="2026-05-13T00:00:00"/>
    <d v="1899-12-30T12:00:00"/>
    <x v="0"/>
    <s v="431 ОК– ПР Орг_простой Орг. простой Подготовка Скважина "/>
    <x v="25"/>
    <n v="0.66666666666666674"/>
    <x v="22"/>
  </r>
  <r>
    <s v="ГДТ"/>
    <s v="КРС"/>
    <s v="Казанское"/>
    <n v="1"/>
    <x v="1"/>
    <x v="0"/>
    <m/>
    <x v="0"/>
    <m/>
    <m/>
    <m/>
    <x v="1"/>
    <s v="Штатно"/>
    <x v="0"/>
    <x v="9"/>
    <x v="18"/>
    <s v="Скважина_ствол"/>
    <x v="13"/>
    <n v="1"/>
    <s v="ПР к глушению. С 14:00 монтаж линий глушения, опрессовка. Сброс сбивного лома 30 мм, подача тех. жидкости, опрессовка лифта, глушение, сброс второго лома, набор давления 6 МПа (отрицательно)."/>
    <n v="4"/>
    <m/>
    <m/>
    <x v="1"/>
    <m/>
    <m/>
    <m/>
    <m/>
    <m/>
    <m/>
    <n v="0"/>
    <d v="2026-05-13T12:00:00"/>
    <x v="53"/>
    <n v="0.16666666666666666"/>
    <n v="10.833333333333332"/>
    <x v="0"/>
    <n v="4"/>
    <n v="0"/>
    <n v="0"/>
    <n v="25"/>
    <n v="101.08959999999999"/>
    <x v="11"/>
    <d v="1899-12-30T12:00:00"/>
    <d v="2026-05-13T00:00:00"/>
    <d v="1899-12-30T16:00:00"/>
    <x v="0"/>
    <s v="431 ОК– ПР Глушение Скважина 1"/>
    <x v="26"/>
    <n v="0.16666666666666666"/>
    <x v="23"/>
  </r>
  <r>
    <s v="ГДТ"/>
    <s v="КРС"/>
    <s v="Казанское"/>
    <n v="1"/>
    <x v="1"/>
    <x v="0"/>
    <m/>
    <x v="0"/>
    <m/>
    <m/>
    <m/>
    <x v="1"/>
    <s v="Штатно"/>
    <x v="0"/>
    <x v="9"/>
    <x v="18"/>
    <s v="Скважина_ствол"/>
    <x v="13"/>
    <n v="1"/>
    <s v="По согласованию, демонтаж линий глушения с трубного, переустановка на затрубное. ПР и опрессовка линий. Глушение по затрубу: 4 м³."/>
    <n v="4"/>
    <m/>
    <m/>
    <x v="1"/>
    <m/>
    <m/>
    <m/>
    <m/>
    <m/>
    <m/>
    <n v="0"/>
    <d v="2026-05-13T16:00:00"/>
    <x v="54"/>
    <n v="0.16666666666666666"/>
    <n v="10.999999999999998"/>
    <x v="0"/>
    <n v="4"/>
    <n v="0"/>
    <n v="0"/>
    <n v="25"/>
    <n v="101.08959999999999"/>
    <x v="11"/>
    <d v="1899-12-30T16:00:00"/>
    <d v="2026-05-13T00:00:00"/>
    <d v="1899-12-30T20:00:00"/>
    <x v="0"/>
    <s v="431 ОК– ПР Глушение Скважина 1"/>
    <x v="26"/>
    <n v="0.33333333333333331"/>
    <x v="23"/>
  </r>
  <r>
    <s v="ГДТ"/>
    <s v="КРС"/>
    <s v="Казанское"/>
    <n v="1"/>
    <x v="1"/>
    <x v="0"/>
    <m/>
    <x v="0"/>
    <m/>
    <m/>
    <m/>
    <x v="1"/>
    <s v="Штатно"/>
    <x v="0"/>
    <x v="9"/>
    <x v="18"/>
    <s v="Скважина_ствол"/>
    <x v="13"/>
    <n v="1"/>
    <s v="Глушение по затрубу: 30 м³. Ограничение 11 МПа."/>
    <n v="4"/>
    <m/>
    <m/>
    <x v="1"/>
    <m/>
    <m/>
    <m/>
    <m/>
    <m/>
    <m/>
    <n v="0"/>
    <d v="2026-05-13T20:00:00"/>
    <x v="55"/>
    <n v="0.16666666666666666"/>
    <n v="11.166666666666664"/>
    <x v="1"/>
    <n v="1.7400000000000002"/>
    <n v="2.2599999999999998"/>
    <n v="0"/>
    <n v="25"/>
    <n v="103.3496"/>
    <x v="11"/>
    <d v="1899-12-30T20:00:00"/>
    <d v="2026-05-14T00:00:00"/>
    <d v="1899-12-30T00:00:00"/>
    <x v="0"/>
    <s v="431 ОК– ПР Глушение Скважина 1"/>
    <x v="27"/>
    <n v="0.5"/>
    <x v="23"/>
  </r>
  <r>
    <s v="ГДТ"/>
    <s v="КРС"/>
    <s v="Казанское"/>
    <n v="1"/>
    <x v="1"/>
    <x v="1"/>
    <m/>
    <x v="1"/>
    <m/>
    <m/>
    <m/>
    <x v="5"/>
    <s v="Штатно"/>
    <x v="0"/>
    <x v="9"/>
    <x v="19"/>
    <s v="Скважина_ствол"/>
    <x v="13"/>
    <m/>
    <s v="Глушение обратной промывкой 48 м³, тех. отстой, разрядка по затрубу (+). ПР к разрядке трубного."/>
    <n v="7"/>
    <m/>
    <m/>
    <x v="1"/>
    <m/>
    <m/>
    <m/>
    <m/>
    <m/>
    <m/>
    <n v="0"/>
    <d v="2026-05-14T00:00:00"/>
    <x v="56"/>
    <n v="0.29166666666666669"/>
    <n v="11.45833333333333"/>
    <x v="0"/>
    <n v="7"/>
    <n v="0"/>
    <n v="0"/>
    <n v="25"/>
    <n v="103.3496"/>
    <x v="12"/>
    <d v="1899-12-30T00:00:00"/>
    <d v="2026-05-14T00:00:00"/>
    <d v="1899-12-30T07:00:00"/>
    <x v="1"/>
    <s v="431 ОК– Доп. работы Обратная промывка Скважина "/>
    <x v="28"/>
    <n v="0.29166666666666669"/>
    <x v="24"/>
  </r>
  <r>
    <s v="ГДТ"/>
    <s v="КРС"/>
    <s v="Казанское"/>
    <n v="1"/>
    <x v="1"/>
    <x v="0"/>
    <m/>
    <x v="0"/>
    <m/>
    <m/>
    <m/>
    <x v="5"/>
    <s v="Штатно"/>
    <x v="0"/>
    <x v="9"/>
    <x v="20"/>
    <s v="Скважина_ствол"/>
    <x v="13"/>
    <m/>
    <s v="Разрядка трубного пространства, долив затрубного, разрядка на газе. Параллельно монтаж мостков, автонаматывателя, пригрузов, стеллажей, рабочей площадки."/>
    <n v="5"/>
    <m/>
    <m/>
    <x v="1"/>
    <m/>
    <m/>
    <m/>
    <m/>
    <m/>
    <m/>
    <n v="0"/>
    <d v="2026-05-14T07:00:00"/>
    <x v="57"/>
    <n v="0.20833333333333334"/>
    <n v="11.666666666666664"/>
    <x v="0"/>
    <n v="5"/>
    <n v="0"/>
    <n v="0"/>
    <n v="25"/>
    <n v="103.3496"/>
    <x v="12"/>
    <d v="1899-12-30T07:00:00"/>
    <d v="2026-05-14T00:00:00"/>
    <d v="1899-12-30T12:00:00"/>
    <x v="0"/>
    <s v="431 ОК– Доп. работы Разрядка Скважина "/>
    <x v="29"/>
    <n v="0.20833333333333334"/>
    <x v="25"/>
  </r>
  <r>
    <s v="ГДТ"/>
    <s v="КРС"/>
    <s v="Казанское"/>
    <n v="1"/>
    <x v="1"/>
    <x v="0"/>
    <m/>
    <x v="0"/>
    <m/>
    <m/>
    <m/>
    <x v="1"/>
    <s v="Штатно"/>
    <x v="0"/>
    <x v="1"/>
    <x v="1"/>
    <s v="Оборудование"/>
    <x v="0"/>
    <m/>
    <s v="Разрядка затрубного, долив. Монтаж УПРБС-80, СПГ, ограждений, испытание блокировок. ПР к пусковой комиссии."/>
    <n v="4"/>
    <m/>
    <m/>
    <x v="1"/>
    <m/>
    <m/>
    <m/>
    <m/>
    <m/>
    <m/>
    <n v="0"/>
    <d v="2026-05-14T12:00:00"/>
    <x v="58"/>
    <n v="0.16666666666666666"/>
    <n v="11.83333333333333"/>
    <x v="0"/>
    <n v="4"/>
    <n v="0"/>
    <n v="0"/>
    <n v="25"/>
    <n v="103.3496"/>
    <x v="12"/>
    <d v="1899-12-30T12:00:00"/>
    <d v="2026-05-14T00:00:00"/>
    <d v="1899-12-30T16:00:00"/>
    <x v="0"/>
    <s v="431 ОК– ПР Монтаж УПА "/>
    <x v="30"/>
    <n v="0.16666666666666666"/>
    <x v="2"/>
  </r>
  <r>
    <s v="ГДТ"/>
    <s v="КРС"/>
    <s v="Казанское"/>
    <n v="1"/>
    <x v="1"/>
    <x v="0"/>
    <m/>
    <x v="0"/>
    <m/>
    <m/>
    <m/>
    <x v="1"/>
    <s v="Орг_простой"/>
    <x v="1"/>
    <x v="2"/>
    <x v="2"/>
    <s v="Орг_логист_объекты"/>
    <x v="2"/>
    <m/>
    <s v="Проведение пусковой комиссии. Устранение пунктов ПК."/>
    <n v="4"/>
    <m/>
    <s v="Работы окончены"/>
    <x v="2"/>
    <m/>
    <m/>
    <m/>
    <m/>
    <m/>
    <m/>
    <n v="0"/>
    <d v="2026-05-14T16:00:00"/>
    <x v="59"/>
    <n v="0.16666666666666666"/>
    <n v="11.999999999999996"/>
    <x v="2"/>
    <n v="0"/>
    <n v="0"/>
    <n v="4"/>
    <n v="29"/>
    <n v="103.3496"/>
    <x v="12"/>
    <d v="1899-12-30T16:00:00"/>
    <d v="2026-05-14T00:00:00"/>
    <d v="1899-12-30T20:00:00"/>
    <x v="0"/>
    <s v="431 ОК– ПР Орг_простой Ожидание разрешения Устранение Предписания "/>
    <x v="4"/>
    <n v="0.16666666666666666"/>
    <x v="3"/>
  </r>
  <r>
    <s v="ГДТ"/>
    <s v="КРС"/>
    <s v="Казанское"/>
    <n v="1"/>
    <x v="1"/>
    <x v="0"/>
    <m/>
    <x v="0"/>
    <m/>
    <m/>
    <m/>
    <x v="2"/>
    <s v="Штатно"/>
    <x v="0"/>
    <x v="4"/>
    <x v="3"/>
    <s v="Объекты_устье"/>
    <x v="3"/>
    <m/>
    <s v="Смена задвижки крестовины 2. Демонтаж линии на коллектор, долив скважины на поглощение, разрядка. Демонтаж ФА. ПР к срыву ПШ."/>
    <n v="4"/>
    <m/>
    <s v="Работы окончены"/>
    <x v="0"/>
    <m/>
    <m/>
    <m/>
    <m/>
    <m/>
    <m/>
    <n v="0"/>
    <d v="2026-05-14T20:00:00"/>
    <x v="60"/>
    <n v="0.16666666666666666"/>
    <n v="12.166666666666663"/>
    <x v="1"/>
    <n v="0.29999999999999982"/>
    <n v="3.7"/>
    <n v="0"/>
    <n v="29"/>
    <n v="107.0496"/>
    <x v="12"/>
    <d v="1899-12-30T20:00:00"/>
    <d v="2026-05-15T00:00:00"/>
    <d v="1899-12-31T00:00:00"/>
    <x v="0"/>
    <s v="431 ОК– КРС Срыв Планшайба "/>
    <x v="5"/>
    <n v="0.16666666666666666"/>
    <x v="4"/>
  </r>
  <r>
    <s v="ГДТ"/>
    <s v="КРС"/>
    <s v="Казанское"/>
    <n v="1"/>
    <x v="1"/>
    <x v="1"/>
    <m/>
    <x v="1"/>
    <m/>
    <m/>
    <m/>
    <x v="2"/>
    <s v="Штатно"/>
    <x v="0"/>
    <x v="4"/>
    <x v="3"/>
    <s v="Объекты_устье"/>
    <x v="3"/>
    <m/>
    <s v="Срыв ПШ (вес 24,7/23,6 тн). Монтаж ПВО, монтаж пакера для спуска и опрессовки ПВО на устье."/>
    <n v="7"/>
    <m/>
    <s v="Работы окончены"/>
    <x v="0"/>
    <m/>
    <m/>
    <m/>
    <m/>
    <m/>
    <m/>
    <n v="0"/>
    <d v="2026-05-15T00:00:00"/>
    <x v="61"/>
    <n v="0.29166666666666669"/>
    <n v="12.458333333333329"/>
    <x v="1"/>
    <n v="8.8817841970012523E-16"/>
    <n v="6.9999999999999991"/>
    <n v="0"/>
    <n v="29"/>
    <n v="114.0496"/>
    <x v="13"/>
    <d v="1899-12-31T00:00:00"/>
    <d v="2026-05-15T00:00:00"/>
    <d v="1899-12-30T07:00:00"/>
    <x v="1"/>
    <s v="431 ОК– КРС Срыв Планшайба "/>
    <x v="5"/>
    <n v="0.45833333333333337"/>
    <x v="4"/>
  </r>
  <r>
    <s v="ГДТ"/>
    <s v="КРС"/>
    <s v="Казанское"/>
    <n v="1"/>
    <x v="1"/>
    <x v="2"/>
    <m/>
    <x v="0"/>
    <m/>
    <m/>
    <m/>
    <x v="2"/>
    <s v="Штатно"/>
    <x v="0"/>
    <x v="3"/>
    <x v="9"/>
    <s v="Технологический_инструмент"/>
    <x v="14"/>
    <m/>
    <s v="Допуск УЭЦН на НКТ-73 + пакер ПРОЯМО 122 мм. Посадка пакера с разгрузкой 10 тн. Закрытие трубных плашек. Монтаж отбойных щитов. Пробная опрессовка трубных плашек на 23 МПа."/>
    <n v="5"/>
    <m/>
    <s v="Работы окончены"/>
    <x v="0"/>
    <m/>
    <m/>
    <m/>
    <m/>
    <m/>
    <m/>
    <n v="0"/>
    <d v="2026-05-15T07:00:00"/>
    <x v="62"/>
    <n v="0.20833333333333334"/>
    <n v="12.666666666666663"/>
    <x v="1"/>
    <n v="0.97440000000000015"/>
    <n v="4.0255999999999998"/>
    <n v="0"/>
    <n v="29"/>
    <n v="118.0752"/>
    <x v="13"/>
    <d v="1899-12-30T07:00:00"/>
    <d v="2026-05-15T00:00:00"/>
    <d v="1899-12-30T12:00:00"/>
    <x v="2"/>
    <s v="431 ОК– КРС Спуск Пакер "/>
    <x v="31"/>
    <n v="0.20833333333333334"/>
    <x v="26"/>
  </r>
  <r>
    <s v="ГДТ"/>
    <s v="КРС"/>
    <s v="Казанское"/>
    <n v="1"/>
    <x v="1"/>
    <x v="2"/>
    <m/>
    <x v="0"/>
    <m/>
    <m/>
    <m/>
    <x v="2"/>
    <s v="Орг_простой"/>
    <x v="1"/>
    <x v="2"/>
    <x v="2"/>
    <s v="Орг_логист_объекты"/>
    <x v="2"/>
    <m/>
    <s v="Устранение пунктов предписаний, выписанных пусковой комиссией."/>
    <n v="12"/>
    <m/>
    <s v="Работы окончены"/>
    <x v="2"/>
    <m/>
    <m/>
    <m/>
    <m/>
    <m/>
    <m/>
    <n v="0"/>
    <d v="2026-05-15T12:00:00"/>
    <x v="63"/>
    <n v="0.5"/>
    <n v="13.166666666666663"/>
    <x v="2"/>
    <n v="0"/>
    <n v="0"/>
    <n v="12"/>
    <n v="41"/>
    <n v="118.0752"/>
    <x v="13"/>
    <d v="1899-12-30T12:00:00"/>
    <d v="2026-05-16T00:00:00"/>
    <d v="1899-12-31T00:00:00"/>
    <x v="2"/>
    <s v="431 ОК– КРС Орг_простой Ожидание разрешения Устранение Предписания "/>
    <x v="4"/>
    <n v="0.5"/>
    <x v="3"/>
  </r>
  <r>
    <s v="ГДТ"/>
    <s v="КРС"/>
    <s v="Казанское"/>
    <n v="1"/>
    <x v="1"/>
    <x v="1"/>
    <m/>
    <x v="1"/>
    <m/>
    <m/>
    <m/>
    <x v="2"/>
    <s v="Орг_простой"/>
    <x v="1"/>
    <x v="2"/>
    <x v="2"/>
    <s v="Орг_логист_объекты"/>
    <x v="2"/>
    <m/>
    <s v="Устранение пунктов предписаний, выписанных пусковой комиссией."/>
    <n v="16"/>
    <m/>
    <s v="Работы окончены"/>
    <x v="2"/>
    <m/>
    <m/>
    <m/>
    <m/>
    <m/>
    <m/>
    <n v="0"/>
    <d v="2026-05-16T00:00:00"/>
    <x v="64"/>
    <n v="0.66666666666666663"/>
    <n v="13.833333333333329"/>
    <x v="2"/>
    <n v="0"/>
    <n v="0"/>
    <n v="16"/>
    <n v="57"/>
    <n v="118.0752"/>
    <x v="14"/>
    <d v="1899-12-31T00:00:00"/>
    <d v="2026-05-16T00:00:00"/>
    <d v="1899-12-30T16:00:00"/>
    <x v="1"/>
    <s v="431 ОК– КРС Орг_простой Ожидание разрешения Устранение Предписания "/>
    <x v="4"/>
    <n v="1.1666666666666665"/>
    <x v="3"/>
  </r>
  <r>
    <s v="ГДТ"/>
    <s v="КРС"/>
    <s v="Казанское"/>
    <n v="1"/>
    <x v="1"/>
    <x v="2"/>
    <m/>
    <x v="0"/>
    <m/>
    <m/>
    <m/>
    <x v="2"/>
    <s v="Штатно"/>
    <x v="0"/>
    <x v="6"/>
    <x v="16"/>
    <s v="Объекты_устье"/>
    <x v="10"/>
    <m/>
    <s v="ПР к опрессовке трубных плашек. Опрессовка трубных плашек на 23 МПа (герметично), опрессовка затрубных задвижек №2,3,9,10 (герметично). Срыв пакера с 30 м (24 тн). Разрядка. ПР к промывке."/>
    <n v="4"/>
    <m/>
    <m/>
    <x v="1"/>
    <m/>
    <m/>
    <m/>
    <m/>
    <m/>
    <m/>
    <n v="0"/>
    <d v="2026-05-16T16:00:00"/>
    <x v="65"/>
    <n v="0.16666666666666666"/>
    <n v="13.999999999999995"/>
    <x v="1"/>
    <n v="0.83999999999999986"/>
    <n v="3.16"/>
    <n v="0"/>
    <n v="57"/>
    <n v="121.23519999999999"/>
    <x v="14"/>
    <d v="1899-12-30T16:00:00"/>
    <d v="2026-05-16T00:00:00"/>
    <d v="1899-12-30T20:00:00"/>
    <x v="2"/>
    <s v="431 ОК– КРС Опрессовка Запорная арматура "/>
    <x v="32"/>
    <n v="0.16666666666666666"/>
    <x v="27"/>
  </r>
  <r>
    <s v="ГДТ"/>
    <s v="КРС"/>
    <s v="Казанское"/>
    <n v="1"/>
    <x v="1"/>
    <x v="2"/>
    <m/>
    <x v="0"/>
    <m/>
    <m/>
    <m/>
    <x v="5"/>
    <s v="Штатно"/>
    <x v="0"/>
    <x v="9"/>
    <x v="21"/>
    <s v="Скважина_ствол"/>
    <x v="13"/>
    <m/>
    <s v="Промывка по затрубу жидкостью глушения 15 м³. Циркуляция по трубному отсутствует. Промывка на поглощение."/>
    <n v="4"/>
    <m/>
    <m/>
    <x v="1"/>
    <m/>
    <m/>
    <m/>
    <m/>
    <m/>
    <m/>
    <n v="0"/>
    <d v="2026-05-16T20:00:00"/>
    <x v="66"/>
    <n v="0.16666666666666666"/>
    <n v="14.166666666666661"/>
    <x v="0"/>
    <n v="4"/>
    <n v="0"/>
    <n v="0"/>
    <n v="57"/>
    <n v="121.23519999999999"/>
    <x v="14"/>
    <d v="1899-12-30T20:00:00"/>
    <d v="2026-05-17T00:00:00"/>
    <d v="1899-12-31T00:00:00"/>
    <x v="2"/>
    <s v="431 ОК– Доп. работы Промывка Скважина "/>
    <x v="33"/>
    <n v="0.16666666666666666"/>
    <x v="28"/>
  </r>
  <r>
    <s v="ГДТ"/>
    <s v="КРС"/>
    <s v="Казанское"/>
    <n v="1"/>
    <x v="1"/>
    <x v="1"/>
    <m/>
    <x v="1"/>
    <m/>
    <m/>
    <m/>
    <x v="2"/>
    <s v="Орг_простой"/>
    <x v="4"/>
    <x v="10"/>
    <x v="22"/>
    <s v="Орг_логист_объекты"/>
    <x v="15"/>
    <m/>
    <s v="Промывка по затрубу 30,5 м³, поглощение. Долив 2 м³. Контроль давления. Ожидание вахты."/>
    <n v="7"/>
    <m/>
    <s v="Работы окончены"/>
    <x v="2"/>
    <m/>
    <m/>
    <m/>
    <m/>
    <m/>
    <m/>
    <n v="0"/>
    <d v="2026-05-17T00:00:00"/>
    <x v="67"/>
    <n v="0.29166666666666669"/>
    <n v="14.458333333333327"/>
    <x v="2"/>
    <n v="0"/>
    <n v="0"/>
    <n v="7"/>
    <n v="64"/>
    <n v="121.23519999999999"/>
    <x v="15"/>
    <d v="1899-12-31T00:00:00"/>
    <d v="2026-05-17T00:00:00"/>
    <d v="1899-12-30T07:00:00"/>
    <x v="1"/>
    <s v="431 ОК– КРС Орг_простой Ожидание персонала Ожидание Персонал "/>
    <x v="34"/>
    <n v="0.29166666666666669"/>
    <x v="29"/>
  </r>
  <r>
    <s v="ГДТ"/>
    <s v="КРС"/>
    <s v="Казанское"/>
    <n v="1"/>
    <x v="1"/>
    <x v="2"/>
    <m/>
    <x v="0"/>
    <m/>
    <m/>
    <m/>
    <x v="2"/>
    <s v="Орг_простой"/>
    <x v="4"/>
    <x v="10"/>
    <x v="22"/>
    <s v="Орг_логист_объекты"/>
    <x v="15"/>
    <m/>
    <s v="Ожидание полного состава вахты. Долив скважины (5,7 м³). Контроль давления."/>
    <n v="17"/>
    <m/>
    <s v="Работы окончены"/>
    <x v="2"/>
    <m/>
    <m/>
    <m/>
    <m/>
    <m/>
    <m/>
    <n v="0"/>
    <d v="2026-05-17T07:00:00"/>
    <x v="68"/>
    <n v="0.70833333333333337"/>
    <n v="15.166666666666661"/>
    <x v="2"/>
    <n v="0"/>
    <n v="0"/>
    <n v="17"/>
    <n v="81"/>
    <n v="121.23519999999999"/>
    <x v="15"/>
    <d v="1899-12-30T07:00:00"/>
    <d v="2026-05-18T00:00:00"/>
    <d v="1899-12-31T00:00:00"/>
    <x v="2"/>
    <s v="431 ОК– КРС Орг_простой Ожидание персонала Ожидание Персонал "/>
    <x v="34"/>
    <n v="1"/>
    <x v="29"/>
  </r>
  <r>
    <s v="ГДТ"/>
    <s v="КРС"/>
    <s v="Казанское"/>
    <n v="1"/>
    <x v="1"/>
    <x v="1"/>
    <m/>
    <x v="1"/>
    <m/>
    <m/>
    <m/>
    <x v="2"/>
    <s v="Орг_простой"/>
    <x v="4"/>
    <x v="10"/>
    <x v="22"/>
    <s v="Орг_логист_объекты"/>
    <x v="15"/>
    <m/>
    <s v="Ожидание полного состава вахты. Долив скважины (10 м³). Контроль давления."/>
    <n v="12"/>
    <m/>
    <s v="Работы окончены"/>
    <x v="2"/>
    <m/>
    <m/>
    <m/>
    <m/>
    <m/>
    <m/>
    <n v="0"/>
    <d v="2026-05-18T00:00:00"/>
    <x v="69"/>
    <n v="0.5"/>
    <n v="15.666666666666661"/>
    <x v="2"/>
    <n v="0"/>
    <n v="0"/>
    <n v="12"/>
    <n v="93"/>
    <n v="121.23519999999999"/>
    <x v="16"/>
    <d v="1899-12-31T00:00:00"/>
    <d v="2026-05-18T00:00:00"/>
    <d v="1899-12-30T12:00:00"/>
    <x v="1"/>
    <s v="431 ОК– КРС Орг_простой Ожидание персонала Ожидание Персонал "/>
    <x v="34"/>
    <n v="1.5"/>
    <x v="29"/>
  </r>
  <r>
    <s v="ГДТ"/>
    <s v="КРС"/>
    <s v="Казанское"/>
    <n v="1"/>
    <x v="1"/>
    <x v="2"/>
    <m/>
    <x v="0"/>
    <m/>
    <m/>
    <m/>
    <x v="2"/>
    <s v="Штатно"/>
    <x v="0"/>
    <x v="3"/>
    <x v="4"/>
    <s v="Технологический_инструмент"/>
    <x v="4"/>
    <n v="1"/>
    <s v="Подъём ЭЦН с 2284,37 м до 2100 м (19 шт.), долив 1,4 м³."/>
    <n v="4"/>
    <m/>
    <m/>
    <x v="1"/>
    <m/>
    <m/>
    <m/>
    <m/>
    <m/>
    <m/>
    <n v="0"/>
    <d v="2026-05-18T12:00:00"/>
    <x v="70"/>
    <n v="0.16666666666666666"/>
    <n v="15.833333333333327"/>
    <x v="0"/>
    <n v="4"/>
    <n v="0"/>
    <n v="0"/>
    <n v="93"/>
    <n v="121.23519999999999"/>
    <x v="16"/>
    <d v="1899-12-30T12:00:00"/>
    <d v="2026-05-18T00:00:00"/>
    <d v="1899-12-30T16:00:00"/>
    <x v="2"/>
    <s v="431 ОК– КРС Подъем УЭЦН 1"/>
    <x v="35"/>
    <n v="0.16666666666666666"/>
    <x v="5"/>
  </r>
  <r>
    <s v="ГДТ"/>
    <s v="КРС"/>
    <s v="Казанское"/>
    <n v="1"/>
    <x v="1"/>
    <x v="2"/>
    <m/>
    <x v="0"/>
    <m/>
    <m/>
    <m/>
    <x v="2"/>
    <s v="Штатно"/>
    <x v="0"/>
    <x v="3"/>
    <x v="4"/>
    <s v="Технологический_инструмент"/>
    <x v="4"/>
    <n v="1"/>
    <s v="Подъём с 2100 м до 1960 м (35 шт.), долив 0,3 м³."/>
    <n v="4"/>
    <m/>
    <m/>
    <x v="1"/>
    <m/>
    <m/>
    <m/>
    <m/>
    <m/>
    <m/>
    <n v="0"/>
    <d v="2026-05-18T16:00:00"/>
    <x v="71"/>
    <n v="0.16666666666666666"/>
    <n v="15.999999999999993"/>
    <x v="0"/>
    <n v="4"/>
    <n v="0"/>
    <n v="0"/>
    <n v="93"/>
    <n v="121.23519999999999"/>
    <x v="16"/>
    <d v="1899-12-30T16:00:00"/>
    <d v="2026-05-18T00:00:00"/>
    <d v="1899-12-30T20:00:00"/>
    <x v="2"/>
    <s v="431 ОК– КРС Подъем УЭЦН 1"/>
    <x v="35"/>
    <n v="0.33333333333333331"/>
    <x v="5"/>
  </r>
  <r>
    <s v="ГДТ"/>
    <s v="КРС"/>
    <s v="Казанское"/>
    <n v="1"/>
    <x v="1"/>
    <x v="2"/>
    <m/>
    <x v="0"/>
    <m/>
    <m/>
    <m/>
    <x v="2"/>
    <s v="Орг_простой"/>
    <x v="4"/>
    <x v="10"/>
    <x v="22"/>
    <s v="Орг_логист_объекты"/>
    <x v="15"/>
    <m/>
    <s v="Подъём с 1960 м до 1854 м (46 шт.), долив 0,11 м³. Остановка по отсутствию мастера КРС, резка кабеля, герметизация устья, долив 1,2 м³."/>
    <n v="2"/>
    <m/>
    <s v="Работы окончены"/>
    <x v="2"/>
    <m/>
    <m/>
    <m/>
    <m/>
    <m/>
    <m/>
    <n v="0"/>
    <d v="2026-05-18T20:00:00"/>
    <x v="72"/>
    <n v="8.3333333333333329E-2"/>
    <n v="16.083333333333325"/>
    <x v="2"/>
    <n v="0"/>
    <n v="0"/>
    <n v="2"/>
    <n v="95"/>
    <n v="121.23519999999999"/>
    <x v="16"/>
    <d v="1899-12-30T20:00:00"/>
    <d v="2026-05-18T00:00:00"/>
    <d v="1899-12-30T22:00:00"/>
    <x v="2"/>
    <s v="431 ОК– КРС Орг_простой Ожидание персонала Ожидание Персонал "/>
    <x v="34"/>
    <n v="1.5833333333333333"/>
    <x v="29"/>
  </r>
  <r>
    <s v="ГДТ"/>
    <s v="КРС"/>
    <s v="Казанское"/>
    <n v="1"/>
    <x v="1"/>
    <x v="1"/>
    <m/>
    <x v="2"/>
    <m/>
    <m/>
    <m/>
    <x v="2"/>
    <s v="Орг_простой"/>
    <x v="4"/>
    <x v="10"/>
    <x v="22"/>
    <s v="Орг_логист_объекты"/>
    <x v="15"/>
    <m/>
    <s v="Контроль давления, долив скважины (7,1 м³)."/>
    <n v="2"/>
    <m/>
    <s v="Работы окончены"/>
    <x v="2"/>
    <m/>
    <m/>
    <m/>
    <m/>
    <m/>
    <m/>
    <n v="0"/>
    <d v="2026-05-18T22:00:00"/>
    <x v="73"/>
    <n v="8.3333333333333329E-2"/>
    <n v="16.166666666666657"/>
    <x v="2"/>
    <n v="0"/>
    <n v="0"/>
    <n v="2"/>
    <n v="97"/>
    <n v="121.23519999999999"/>
    <x v="16"/>
    <d v="1899-12-30T22:00:00"/>
    <d v="2026-05-19T00:00:00"/>
    <d v="1899-12-31T00:00:00"/>
    <x v="3"/>
    <s v="431 ОК– КРС Орг_простой Ожидание персонала Ожидание Персонал "/>
    <x v="34"/>
    <n v="1.6666666666666665"/>
    <x v="29"/>
  </r>
  <r>
    <s v="ГДТ"/>
    <s v="КРС"/>
    <s v="Казанское"/>
    <n v="1"/>
    <x v="1"/>
    <x v="1"/>
    <m/>
    <x v="2"/>
    <m/>
    <m/>
    <m/>
    <x v="2"/>
    <s v="Орг_простой"/>
    <x v="4"/>
    <x v="10"/>
    <x v="22"/>
    <s v="Орг_логист_объекты"/>
    <x v="15"/>
    <m/>
    <s v="Контроль давления, долив скважины (7,1 м³)."/>
    <n v="22"/>
    <m/>
    <s v="Работы окончены"/>
    <x v="2"/>
    <m/>
    <m/>
    <m/>
    <m/>
    <m/>
    <m/>
    <n v="0"/>
    <d v="2026-05-19T00:00:00"/>
    <x v="74"/>
    <n v="0.91666666666666663"/>
    <n v="17.083333333333325"/>
    <x v="2"/>
    <n v="0"/>
    <n v="0"/>
    <n v="22"/>
    <n v="119"/>
    <n v="121.23519999999999"/>
    <x v="17"/>
    <d v="1899-12-31T00:00:00"/>
    <d v="2026-05-19T00:00:00"/>
    <d v="1899-12-30T22:00:00"/>
    <x v="3"/>
    <s v="431 ОК– КРС Орг_простой Ожидание персонала Ожидание Персонал "/>
    <x v="34"/>
    <n v="2.583333333333333"/>
    <x v="29"/>
  </r>
  <r>
    <s v="ГДТ"/>
    <s v="КРС"/>
    <s v="Казанское"/>
    <n v="1"/>
    <x v="1"/>
    <x v="1"/>
    <m/>
    <x v="0"/>
    <m/>
    <m/>
    <m/>
    <x v="2"/>
    <s v="Орг_простой"/>
    <x v="4"/>
    <x v="10"/>
    <x v="22"/>
    <s v="Орг_логист_объекты"/>
    <x v="15"/>
    <m/>
    <s v="Контроль давления, долив 1,5 м³."/>
    <n v="2"/>
    <m/>
    <s v="Работы окончены"/>
    <x v="2"/>
    <m/>
    <m/>
    <m/>
    <m/>
    <m/>
    <m/>
    <n v="0"/>
    <d v="2026-05-19T22:00:00"/>
    <x v="75"/>
    <n v="8.3333333333333329E-2"/>
    <n v="17.166666666666657"/>
    <x v="2"/>
    <n v="0"/>
    <n v="0"/>
    <n v="2"/>
    <n v="121"/>
    <n v="121.23519999999999"/>
    <x v="17"/>
    <d v="1899-12-30T22:00:00"/>
    <d v="2026-05-20T00:00:00"/>
    <d v="1899-12-31T00:00:00"/>
    <x v="4"/>
    <s v="431 ОК– КРС Орг_простой Ожидание персонала Ожидание Персонал "/>
    <x v="34"/>
    <n v="2.6666666666666665"/>
    <x v="29"/>
  </r>
  <r>
    <s v="ГДТ"/>
    <s v="КРС"/>
    <s v="Казанское"/>
    <n v="1"/>
    <x v="1"/>
    <x v="1"/>
    <m/>
    <x v="0"/>
    <m/>
    <m/>
    <m/>
    <x v="2"/>
    <s v="Орг_простой"/>
    <x v="4"/>
    <x v="10"/>
    <x v="22"/>
    <s v="Орг_логист_объекты"/>
    <x v="15"/>
    <m/>
    <s v="Контроль давления, долив 1,5 м³."/>
    <n v="5"/>
    <m/>
    <s v="Работы окончены"/>
    <x v="2"/>
    <m/>
    <m/>
    <m/>
    <m/>
    <m/>
    <m/>
    <n v="0"/>
    <d v="2026-05-20T00:00:00"/>
    <x v="76"/>
    <n v="0.20833333333333334"/>
    <n v="17.374999999999989"/>
    <x v="2"/>
    <n v="0"/>
    <n v="0"/>
    <n v="5"/>
    <n v="126"/>
    <n v="121.23519999999999"/>
    <x v="18"/>
    <d v="1899-12-31T00:00:00"/>
    <d v="2026-05-20T00:00:00"/>
    <d v="1899-12-30T05:00:00"/>
    <x v="4"/>
    <s v="431 ОК– КРС Орг_простой Ожидание персонала Ожидание Персонал "/>
    <x v="34"/>
    <n v="2.875"/>
    <x v="29"/>
  </r>
  <r>
    <s v="ГДТ"/>
    <s v="КРС"/>
    <s v="Казанское"/>
    <n v="1"/>
    <x v="1"/>
    <x v="1"/>
    <m/>
    <x v="0"/>
    <m/>
    <m/>
    <m/>
    <x v="2"/>
    <s v="Штатно"/>
    <x v="0"/>
    <x v="3"/>
    <x v="4"/>
    <s v="Технологический_инструмент"/>
    <x v="4"/>
    <n v="1"/>
    <s v="Подъём с 1854 м до 1503 м (83 шт.), долив 1,1 м³."/>
    <n v="5"/>
    <m/>
    <m/>
    <x v="1"/>
    <m/>
    <m/>
    <m/>
    <m/>
    <m/>
    <m/>
    <n v="0"/>
    <d v="2026-05-20T05:00:00"/>
    <x v="77"/>
    <n v="0.20833333333333334"/>
    <n v="17.583333333333321"/>
    <x v="0"/>
    <n v="5"/>
    <n v="0"/>
    <n v="0"/>
    <n v="126"/>
    <n v="121.23519999999999"/>
    <x v="18"/>
    <d v="1899-12-30T05:00:00"/>
    <d v="2026-05-20T00:00:00"/>
    <d v="1899-12-30T10:00:00"/>
    <x v="4"/>
    <s v="431 ОК– КРС Подъем УЭЦН 1"/>
    <x v="35"/>
    <n v="0.54166666666666663"/>
    <x v="5"/>
  </r>
  <r>
    <s v="ГДТ"/>
    <s v="КРС"/>
    <s v="Казанское"/>
    <n v="1"/>
    <x v="1"/>
    <x v="2"/>
    <m/>
    <x v="3"/>
    <m/>
    <m/>
    <m/>
    <x v="2"/>
    <s v="Штатно"/>
    <x v="0"/>
    <x v="3"/>
    <x v="4"/>
    <s v="Технологический_инструмент"/>
    <x v="4"/>
    <n v="1"/>
    <s v="Подъём с 1503 м до 1342 м (100 шт.), калибровка, долив 0,9 м³."/>
    <n v="4"/>
    <m/>
    <s v="Работы окончены"/>
    <x v="0"/>
    <m/>
    <m/>
    <m/>
    <m/>
    <m/>
    <m/>
    <n v="0"/>
    <d v="2026-05-20T10:00:00"/>
    <x v="78"/>
    <n v="0.16666666666666666"/>
    <n v="17.749999999999989"/>
    <x v="1"/>
    <n v="3.0199999999999996"/>
    <n v="0.98000000000000043"/>
    <n v="0"/>
    <n v="126"/>
    <n v="122.2152"/>
    <x v="18"/>
    <d v="1899-12-30T10:00:00"/>
    <d v="2026-05-20T00:00:00"/>
    <d v="1899-12-30T14:00:00"/>
    <x v="5"/>
    <s v="431 ОК– КРС Подъем УЭЦН 1"/>
    <x v="6"/>
    <n v="0.70833333333333326"/>
    <x v="5"/>
  </r>
  <r>
    <s v="ГДТ"/>
    <s v="КРС"/>
    <s v="Казанское"/>
    <n v="1"/>
    <x v="1"/>
    <x v="2"/>
    <m/>
    <x v="3"/>
    <m/>
    <m/>
    <m/>
    <x v="2"/>
    <s v="Штатно"/>
    <x v="0"/>
    <x v="3"/>
    <x v="4"/>
    <s v="Технологический_инструмент"/>
    <x v="4"/>
    <n v="1"/>
    <s v="Подъём с 1342 м до 1076 м (128 шт.), долив 0,8 м³."/>
    <n v="4"/>
    <m/>
    <s v="Работы окончены"/>
    <x v="0"/>
    <m/>
    <m/>
    <m/>
    <m/>
    <m/>
    <m/>
    <n v="0"/>
    <d v="2026-05-20T14:00:00"/>
    <x v="79"/>
    <n v="0.16666666666666666"/>
    <n v="17.916666666666657"/>
    <x v="1"/>
    <n v="0"/>
    <n v="4"/>
    <n v="0"/>
    <n v="126"/>
    <n v="126.2152"/>
    <x v="18"/>
    <d v="1899-12-30T14:00:00"/>
    <d v="2026-05-20T00:00:00"/>
    <d v="1899-12-30T18:00:00"/>
    <x v="5"/>
    <s v="431 ОК– КРС Подъем УЭЦН 1"/>
    <x v="6"/>
    <n v="0.87499999999999989"/>
    <x v="5"/>
  </r>
  <r>
    <s v="ГДТ"/>
    <s v="КРС"/>
    <s v="Казанское"/>
    <n v="1"/>
    <x v="1"/>
    <x v="2"/>
    <m/>
    <x v="3"/>
    <m/>
    <m/>
    <m/>
    <x v="2"/>
    <s v="Штатно"/>
    <x v="0"/>
    <x v="3"/>
    <x v="4"/>
    <s v="Технологический_инструмент"/>
    <x v="4"/>
    <n v="1"/>
    <s v="Подъём с 1076 м до 810 м (156 шт.), долив 1,0 м³."/>
    <n v="4"/>
    <m/>
    <s v="Работы окончены"/>
    <x v="0"/>
    <m/>
    <m/>
    <m/>
    <m/>
    <m/>
    <m/>
    <n v="0"/>
    <d v="2026-05-20T18:00:00"/>
    <x v="80"/>
    <n v="0.16666666666666666"/>
    <n v="18.083333333333325"/>
    <x v="1"/>
    <n v="0"/>
    <n v="4"/>
    <n v="0"/>
    <n v="126"/>
    <n v="130.21519999999998"/>
    <x v="18"/>
    <d v="1899-12-30T18:00:00"/>
    <d v="2026-05-20T00:00:00"/>
    <d v="1899-12-30T22:00:00"/>
    <x v="5"/>
    <s v="431 ОК– КРС Подъем УЭЦН 1"/>
    <x v="6"/>
    <n v="1.0416666666666665"/>
    <x v="5"/>
  </r>
  <r>
    <s v="ГДТ"/>
    <s v="КРС"/>
    <s v="Казанское"/>
    <n v="1"/>
    <x v="1"/>
    <x v="3"/>
    <m/>
    <x v="0"/>
    <m/>
    <m/>
    <m/>
    <x v="2"/>
    <s v="Штатно"/>
    <x v="0"/>
    <x v="3"/>
    <x v="4"/>
    <s v="Технологический_инструмент"/>
    <x v="4"/>
    <n v="1"/>
    <s v="Подъём с 810 м до 250 м (215 шт.), долив 1,5 м³."/>
    <n v="2"/>
    <m/>
    <s v="Работы окончены"/>
    <x v="0"/>
    <m/>
    <m/>
    <m/>
    <m/>
    <m/>
    <m/>
    <n v="0"/>
    <d v="2026-05-20T22:00:00"/>
    <x v="81"/>
    <n v="8.3333333333333329E-2"/>
    <n v="18.166666666666657"/>
    <x v="1"/>
    <n v="0"/>
    <n v="2"/>
    <n v="0"/>
    <n v="126"/>
    <n v="132.21519999999998"/>
    <x v="18"/>
    <d v="1899-12-30T22:00:00"/>
    <d v="2026-05-21T00:00:00"/>
    <d v="1899-12-31T00:00:00"/>
    <x v="6"/>
    <s v="431 ОК– КРС Подъем УЭЦН 1"/>
    <x v="6"/>
    <n v="1.1249999999999998"/>
    <x v="5"/>
  </r>
  <r>
    <s v="ГДТ"/>
    <s v="КРС"/>
    <s v="Казанское"/>
    <n v="1"/>
    <x v="1"/>
    <x v="3"/>
    <m/>
    <x v="0"/>
    <m/>
    <m/>
    <m/>
    <x v="2"/>
    <s v="Штатно"/>
    <x v="0"/>
    <x v="3"/>
    <x v="4"/>
    <s v="Технологический_инструмент"/>
    <x v="4"/>
    <n v="1"/>
    <m/>
    <n v="5"/>
    <m/>
    <s v="Работы окончены"/>
    <x v="0"/>
    <m/>
    <m/>
    <m/>
    <m/>
    <m/>
    <m/>
    <n v="0"/>
    <d v="2026-05-21T00:00:00"/>
    <x v="82"/>
    <n v="0.20833333333333334"/>
    <n v="18.374999999999989"/>
    <x v="1"/>
    <n v="0"/>
    <n v="5"/>
    <n v="0"/>
    <n v="126"/>
    <n v="137.21519999999998"/>
    <x v="19"/>
    <d v="1899-12-31T00:00:00"/>
    <d v="2026-05-21T00:00:00"/>
    <d v="1899-12-30T05:00:00"/>
    <x v="6"/>
    <s v="431 ОК– КРС Подъем УЭЦН 1"/>
    <x v="6"/>
    <n v="1.333333333333333"/>
    <x v="5"/>
  </r>
  <r>
    <s v="ГДТ"/>
    <s v="КРС"/>
    <s v="Казанское"/>
    <n v="1"/>
    <x v="1"/>
    <x v="3"/>
    <m/>
    <x v="0"/>
    <m/>
    <m/>
    <m/>
    <x v="2"/>
    <s v="Штатно"/>
    <x v="0"/>
    <x v="3"/>
    <x v="4"/>
    <s v="Технологический_инструмент"/>
    <x v="4"/>
    <n v="1"/>
    <s v="Подъём с 250 м до 68 м (219 шт.), долив 1,0 м³. Комиссионный демонтаж ЭЦН."/>
    <n v="5"/>
    <m/>
    <s v="Работы окончены"/>
    <x v="0"/>
    <m/>
    <m/>
    <m/>
    <m/>
    <m/>
    <m/>
    <n v="0"/>
    <d v="2026-05-21T05:00:00"/>
    <x v="83"/>
    <n v="0.20833333333333334"/>
    <n v="18.583333333333321"/>
    <x v="1"/>
    <n v="0"/>
    <n v="5"/>
    <n v="0"/>
    <n v="126"/>
    <n v="142.21519999999998"/>
    <x v="19"/>
    <d v="1899-12-30T05:00:00"/>
    <d v="2026-05-21T00:00:00"/>
    <d v="1899-12-30T10:00:00"/>
    <x v="6"/>
    <s v="431 ОК– КРС Подъем УЭЦН 1"/>
    <x v="6"/>
    <n v="1.5416666666666663"/>
    <x v="5"/>
  </r>
  <r>
    <s v="ГДТ"/>
    <s v="КРС"/>
    <s v="Казанское"/>
    <n v="1"/>
    <x v="1"/>
    <x v="2"/>
    <m/>
    <x v="3"/>
    <m/>
    <m/>
    <m/>
    <x v="2"/>
    <s v="Штатно"/>
    <x v="0"/>
    <x v="2"/>
    <x v="7"/>
    <s v="Технологический_инструмент"/>
    <x v="4"/>
    <m/>
    <s v="Опрессовка подклапанных НКТП (4 шт.) на 25 МПа, разгрузка УЭЦН, сверка номеров, калибровка, замер НКТ. Монтаж Трилл-СВ 9 секций (частично)."/>
    <n v="4"/>
    <m/>
    <s v="Работы окончены"/>
    <x v="0"/>
    <m/>
    <m/>
    <m/>
    <m/>
    <m/>
    <m/>
    <n v="0"/>
    <d v="2026-05-21T10:00:00"/>
    <x v="84"/>
    <n v="0.16666666666666666"/>
    <n v="18.749999999999989"/>
    <x v="1"/>
    <n v="0.99800000000000022"/>
    <n v="3.0019999999999998"/>
    <n v="0"/>
    <n v="126"/>
    <n v="145.21719999999999"/>
    <x v="19"/>
    <d v="1899-12-30T10:00:00"/>
    <d v="2026-05-21T00:00:00"/>
    <d v="1899-12-30T14:00:00"/>
    <x v="5"/>
    <s v="431 ОК– КРС Подготовка УЭЦН "/>
    <x v="9"/>
    <n v="0.16666666666666666"/>
    <x v="8"/>
  </r>
  <r>
    <s v="ГДТ"/>
    <s v="КРС"/>
    <s v="Казанское"/>
    <n v="1"/>
    <x v="1"/>
    <x v="2"/>
    <m/>
    <x v="3"/>
    <m/>
    <m/>
    <m/>
    <x v="2"/>
    <s v="Штатно"/>
    <x v="0"/>
    <x v="4"/>
    <x v="8"/>
    <s v="Технологический_инструмент"/>
    <x v="4"/>
    <m/>
    <s v="Монтаж Трилл-СВ 9 секций + муфта + НКТ-73 2 шт + КГП + РЗП + ВНН5-80-2400 (ПЭД, гидрозащита). Долив 1,5 м³."/>
    <n v="4"/>
    <m/>
    <m/>
    <x v="1"/>
    <m/>
    <m/>
    <m/>
    <m/>
    <m/>
    <m/>
    <n v="0"/>
    <d v="2026-05-21T14:00:00"/>
    <x v="85"/>
    <n v="0.16666666666666666"/>
    <n v="18.916666666666657"/>
    <x v="0"/>
    <n v="4"/>
    <n v="0"/>
    <n v="0"/>
    <n v="126"/>
    <n v="145.21719999999999"/>
    <x v="19"/>
    <d v="1899-12-30T14:00:00"/>
    <d v="2026-05-21T00:00:00"/>
    <d v="1899-12-30T18:00:00"/>
    <x v="5"/>
    <s v="431 ОК– КРС Сборка УЭЦН "/>
    <x v="36"/>
    <n v="0.16666666666666666"/>
    <x v="9"/>
  </r>
  <r>
    <s v="ГДТ"/>
    <s v="КРС"/>
    <s v="Казанское"/>
    <n v="1"/>
    <x v="1"/>
    <x v="2"/>
    <m/>
    <x v="3"/>
    <m/>
    <m/>
    <m/>
    <x v="2"/>
    <s v="Штатно"/>
    <x v="0"/>
    <x v="3"/>
    <x v="9"/>
    <s v="Технологический_инструмент"/>
    <x v="4"/>
    <n v="1"/>
    <s v="Монтаж ЭЦН 100%. Монтаж и опрессовка компоновки (ЭЦН + 3 НКТ + КОШ-73 + 1 НКТ + КОШ UCV + АШУ + 1 НКТ + СК-73 + 1 НКТ) на 20 МПа. Спуск 4 шт (41,89 м), долив 0,9 м³."/>
    <n v="4"/>
    <m/>
    <m/>
    <x v="1"/>
    <m/>
    <m/>
    <m/>
    <m/>
    <m/>
    <m/>
    <n v="0"/>
    <d v="2026-05-21T18:00:00"/>
    <x v="86"/>
    <n v="0.16666666666666666"/>
    <n v="19.083333333333325"/>
    <x v="0"/>
    <n v="4"/>
    <n v="0"/>
    <n v="0"/>
    <n v="126"/>
    <n v="145.21719999999999"/>
    <x v="19"/>
    <d v="1899-12-30T18:00:00"/>
    <d v="2026-05-21T00:00:00"/>
    <d v="1899-12-30T22:00:00"/>
    <x v="5"/>
    <s v="431 ОК– КРС Спуск УЭЦН 1"/>
    <x v="37"/>
    <n v="0.16666666666666666"/>
    <x v="10"/>
  </r>
  <r>
    <s v="ГДТ"/>
    <s v="КРС"/>
    <s v="Казанское"/>
    <n v="1"/>
    <x v="1"/>
    <x v="3"/>
    <m/>
    <x v="0"/>
    <m/>
    <m/>
    <m/>
    <x v="2"/>
    <s v="Штатно"/>
    <x v="0"/>
    <x v="3"/>
    <x v="9"/>
    <s v="Технологический_инструмент"/>
    <x v="4"/>
    <n v="1"/>
    <s v="Спуск 61 шт (637 м), долив 0,7 м³."/>
    <n v="2"/>
    <m/>
    <m/>
    <x v="1"/>
    <m/>
    <m/>
    <m/>
    <m/>
    <m/>
    <m/>
    <n v="0"/>
    <d v="2026-05-21T22:00:00"/>
    <x v="87"/>
    <n v="8.3333333333333329E-2"/>
    <n v="19.166666666666657"/>
    <x v="0"/>
    <n v="2"/>
    <n v="0"/>
    <n v="0"/>
    <n v="126"/>
    <n v="145.21719999999999"/>
    <x v="19"/>
    <d v="1899-12-30T22:00:00"/>
    <d v="2026-05-22T00:00:00"/>
    <d v="1899-12-31T00:00:00"/>
    <x v="6"/>
    <s v="431 ОК– КРС Спуск УЭЦН 1"/>
    <x v="37"/>
    <n v="0.25"/>
    <x v="10"/>
  </r>
  <r>
    <s v="ГДТ"/>
    <s v="КРС"/>
    <s v="Казанское"/>
    <n v="1"/>
    <x v="1"/>
    <x v="3"/>
    <m/>
    <x v="0"/>
    <m/>
    <m/>
    <m/>
    <x v="2"/>
    <s v="Штатно"/>
    <x v="0"/>
    <x v="3"/>
    <x v="9"/>
    <s v="Технологический_инструмент"/>
    <x v="4"/>
    <n v="1"/>
    <m/>
    <n v="5"/>
    <m/>
    <m/>
    <x v="1"/>
    <m/>
    <m/>
    <m/>
    <m/>
    <m/>
    <m/>
    <n v="0"/>
    <d v="2026-05-22T00:00:00"/>
    <x v="88"/>
    <n v="0.20833333333333334"/>
    <n v="19.374999999999989"/>
    <x v="0"/>
    <n v="5"/>
    <n v="0"/>
    <n v="0"/>
    <n v="126"/>
    <n v="145.21719999999999"/>
    <x v="20"/>
    <d v="1899-12-31T00:00:00"/>
    <d v="2026-05-22T00:00:00"/>
    <d v="1899-12-30T05:00:00"/>
    <x v="6"/>
    <s v="431 ОК– КРС Спуск УЭЦН 1"/>
    <x v="37"/>
    <n v="0.45833333333333337"/>
    <x v="10"/>
  </r>
  <r>
    <s v="ГДТ"/>
    <s v="КРС"/>
    <s v="Казанское"/>
    <n v="1"/>
    <x v="1"/>
    <x v="3"/>
    <m/>
    <x v="0"/>
    <m/>
    <m/>
    <m/>
    <x v="2"/>
    <s v="Штатно"/>
    <x v="0"/>
    <x v="3"/>
    <x v="9"/>
    <s v="Технологический_инструмент"/>
    <x v="4"/>
    <n v="1"/>
    <s v="Спуск 97 шт (1014 м), опрессовка НКТ на 600 м (6 МПа), долив 0,5 м³."/>
    <n v="5"/>
    <m/>
    <m/>
    <x v="1"/>
    <m/>
    <m/>
    <m/>
    <m/>
    <m/>
    <m/>
    <n v="0"/>
    <d v="2026-05-22T05:00:00"/>
    <x v="89"/>
    <n v="0.20833333333333334"/>
    <n v="19.583333333333321"/>
    <x v="0"/>
    <n v="5"/>
    <n v="0"/>
    <n v="0"/>
    <n v="126"/>
    <n v="145.21719999999999"/>
    <x v="20"/>
    <d v="1899-12-30T05:00:00"/>
    <d v="2026-05-22T00:00:00"/>
    <d v="1899-12-30T10:00:00"/>
    <x v="6"/>
    <s v="431 ОК– КРС Спуск УЭЦН 1"/>
    <x v="37"/>
    <n v="0.66666666666666674"/>
    <x v="10"/>
  </r>
  <r>
    <s v="ГДТ"/>
    <s v="КРС"/>
    <s v="Казанское"/>
    <n v="1"/>
    <x v="1"/>
    <x v="2"/>
    <m/>
    <x v="3"/>
    <m/>
    <m/>
    <m/>
    <x v="2"/>
    <s v="Штатно"/>
    <x v="0"/>
    <x v="3"/>
    <x v="9"/>
    <s v="Технологический_инструмент"/>
    <x v="4"/>
    <n v="1"/>
    <s v="Спуск 26 шт (общ. 123 шт, гл.1286,53 м), опрессовка НКТ, долив 0,4 м³."/>
    <n v="4"/>
    <m/>
    <m/>
    <x v="1"/>
    <m/>
    <m/>
    <m/>
    <m/>
    <m/>
    <m/>
    <n v="0"/>
    <d v="2026-05-22T10:00:00"/>
    <x v="90"/>
    <n v="0.16666666666666666"/>
    <n v="19.749999999999989"/>
    <x v="0"/>
    <n v="4"/>
    <n v="0"/>
    <n v="0"/>
    <n v="126"/>
    <n v="145.21719999999999"/>
    <x v="20"/>
    <d v="1899-12-30T10:00:00"/>
    <d v="2026-05-22T00:00:00"/>
    <d v="1899-12-30T14:00:00"/>
    <x v="5"/>
    <s v="431 ОК– КРС Спуск УЭЦН 1"/>
    <x v="37"/>
    <n v="0.83333333333333337"/>
    <x v="10"/>
  </r>
  <r>
    <s v="ГДТ"/>
    <s v="КРС"/>
    <s v="Казанское"/>
    <n v="1"/>
    <x v="1"/>
    <x v="2"/>
    <m/>
    <x v="3"/>
    <m/>
    <m/>
    <m/>
    <x v="2"/>
    <s v="Штатно"/>
    <x v="0"/>
    <x v="3"/>
    <x v="9"/>
    <s v="Технологический_инструмент"/>
    <x v="4"/>
    <n v="1"/>
    <s v="Спуск 38 шт (общ. 161 шт, гл.1684 м), долив 0,4 м³."/>
    <n v="4"/>
    <m/>
    <m/>
    <x v="0"/>
    <m/>
    <m/>
    <m/>
    <m/>
    <m/>
    <m/>
    <n v="0"/>
    <d v="2026-05-22T14:00:00"/>
    <x v="91"/>
    <n v="0.16666666666666666"/>
    <n v="19.916666666666657"/>
    <x v="1"/>
    <n v="1.5935999999999986"/>
    <n v="2.4064000000000014"/>
    <n v="0"/>
    <n v="126"/>
    <n v="147.62359999999998"/>
    <x v="20"/>
    <d v="1899-12-30T14:00:00"/>
    <d v="2026-05-22T00:00:00"/>
    <d v="1899-12-30T18:00:00"/>
    <x v="5"/>
    <s v="431 ОК– КРС Спуск УЭЦН 1"/>
    <x v="11"/>
    <n v="1"/>
    <x v="10"/>
  </r>
  <r>
    <s v="ГДТ"/>
    <s v="КРС"/>
    <s v="Казанское"/>
    <n v="1"/>
    <x v="1"/>
    <x v="2"/>
    <m/>
    <x v="3"/>
    <m/>
    <m/>
    <m/>
    <x v="0"/>
    <s v="Штатно"/>
    <x v="0"/>
    <x v="1"/>
    <x v="10"/>
    <s v="Оборудование"/>
    <x v="0"/>
    <m/>
    <s v="НЕТ ДАННЫХ"/>
    <n v="6"/>
    <m/>
    <m/>
    <x v="1"/>
    <m/>
    <m/>
    <m/>
    <m/>
    <m/>
    <m/>
    <n v="0"/>
    <d v="2026-05-22T18:00:00"/>
    <x v="92"/>
    <n v="0.25"/>
    <n v="20.166666666666657"/>
    <x v="1"/>
    <n v="5.2751999999999999"/>
    <n v="0.72480000000000011"/>
    <n v="0"/>
    <n v="126"/>
    <n v="148.34839999999997"/>
    <x v="20"/>
    <d v="1899-12-30T18:00:00"/>
    <d v="2026-05-23T00:00:00"/>
    <d v="1899-12-31T00:00:00"/>
    <x v="5"/>
    <s v="431 ОК– ДПМ Демонтаж УПА "/>
    <x v="16"/>
    <n v="1.4375"/>
    <x v="15"/>
  </r>
  <r>
    <s v="ГДТ"/>
    <s v="КРС"/>
    <s v="Казанское"/>
    <n v="1"/>
    <x v="1"/>
    <x v="3"/>
    <m/>
    <x v="0"/>
    <m/>
    <m/>
    <m/>
    <x v="0"/>
    <s v="Штатно"/>
    <x v="0"/>
    <x v="1"/>
    <x v="10"/>
    <s v="Оборудование"/>
    <x v="0"/>
    <m/>
    <s v="НЕТ ДАННЫХ"/>
    <n v="24"/>
    <m/>
    <m/>
    <x v="1"/>
    <m/>
    <m/>
    <m/>
    <m/>
    <m/>
    <m/>
    <n v="0"/>
    <d v="2026-05-23T00:00:00"/>
    <x v="93"/>
    <n v="1"/>
    <n v="21.166666666666657"/>
    <x v="1"/>
    <n v="0"/>
    <n v="24"/>
    <n v="0"/>
    <n v="126"/>
    <n v="172.34839999999997"/>
    <x v="21"/>
    <d v="1899-12-31T00:00:00"/>
    <d v="2026-05-24T00:00:00"/>
    <d v="1899-12-31T00:00:00"/>
    <x v="6"/>
    <s v="431 ОК– ДПМ Демонтаж УПА "/>
    <x v="16"/>
    <n v="1.4375"/>
    <x v="15"/>
  </r>
  <r>
    <s v="ГДТ"/>
    <s v="КРС"/>
    <s v="Казанское"/>
    <n v="1"/>
    <x v="1"/>
    <x v="3"/>
    <m/>
    <x v="0"/>
    <m/>
    <m/>
    <m/>
    <x v="0"/>
    <s v="Штатно"/>
    <x v="0"/>
    <x v="1"/>
    <x v="10"/>
    <s v="Оборудование"/>
    <x v="0"/>
    <m/>
    <s v="НЕТ ДАННЫХ"/>
    <n v="4.5"/>
    <m/>
    <m/>
    <x v="1"/>
    <m/>
    <m/>
    <m/>
    <m/>
    <m/>
    <m/>
    <n v="0"/>
    <d v="2026-05-24T00:00:00"/>
    <x v="94"/>
    <n v="0.1875"/>
    <n v="21.354166666666657"/>
    <x v="1"/>
    <n v="0"/>
    <n v="4.5"/>
    <n v="0"/>
    <n v="126"/>
    <n v="176.84839999999997"/>
    <x v="22"/>
    <d v="1899-12-31T00:00:00"/>
    <d v="2026-05-24T00:00:00"/>
    <d v="1899-12-30T04:30:00"/>
    <x v="6"/>
    <s v="431 ОК– ДПМ Демонтаж УПА "/>
    <x v="16"/>
    <n v="1.4375"/>
    <x v="15"/>
  </r>
  <r>
    <s v="ГДТ"/>
    <s v="КРС"/>
    <s v="Казанское"/>
    <n v="1"/>
    <x v="2"/>
    <x v="3"/>
    <m/>
    <x v="0"/>
    <m/>
    <m/>
    <m/>
    <x v="0"/>
    <s v="Штатно"/>
    <x v="0"/>
    <x v="0"/>
    <x v="0"/>
    <s v="Оборудование"/>
    <x v="0"/>
    <m/>
    <s v="Переезд бригады на скв. №851 (9 рейсов, L=0,015 км). Расстановка оборудования (9 шт.), установка заземлений (9 шт.), подключение (4 шт.), установка подставок под кабель (5 шт.), демонтаж 2‑х лубрикаторных площадок, монтаж 1 защитного колпака"/>
    <n v="3.5"/>
    <m/>
    <m/>
    <x v="1"/>
    <m/>
    <m/>
    <m/>
    <m/>
    <m/>
    <m/>
    <n v="0"/>
    <d v="2026-05-24T04:30:00"/>
    <x v="95"/>
    <n v="0.14583333333333334"/>
    <n v="21.499999999999989"/>
    <x v="1"/>
    <n v="0.87000000000000011"/>
    <n v="2.63"/>
    <n v="0"/>
    <n v="0"/>
    <n v="2.63"/>
    <x v="22"/>
    <d v="1899-12-30T04:30:00"/>
    <d v="2026-05-24T00:00:00"/>
    <d v="1899-12-30T08:00:00"/>
    <x v="6"/>
    <s v="851 ОК– ДПМ Передвижка УПА "/>
    <x v="1"/>
    <n v="0.14583333333333334"/>
    <x v="0"/>
  </r>
  <r>
    <s v="ГДТ"/>
    <s v="КРС"/>
    <s v="Казанское"/>
    <n v="1"/>
    <x v="2"/>
    <x v="2"/>
    <m/>
    <x v="3"/>
    <m/>
    <m/>
    <m/>
    <x v="1"/>
    <s v="Штатно"/>
    <x v="0"/>
    <x v="2"/>
    <x v="14"/>
    <s v="Объекты_промывка_СО"/>
    <x v="9"/>
    <m/>
    <s v="Монтаж линии набора воды, набор тех. воды 66,2 м³ (ρ=1,01), обработка ПАВ СНПХ-ПКД 0,03%, отбор пробы"/>
    <n v="10"/>
    <m/>
    <m/>
    <x v="1"/>
    <m/>
    <m/>
    <m/>
    <m/>
    <m/>
    <m/>
    <n v="0"/>
    <d v="2026-05-24T08:00:00"/>
    <x v="96"/>
    <n v="0.41666666666666669"/>
    <n v="21.916666666666657"/>
    <x v="0"/>
    <n v="10"/>
    <n v="0"/>
    <n v="0"/>
    <n v="0"/>
    <n v="2.63"/>
    <x v="22"/>
    <d v="1899-12-30T08:00:00"/>
    <d v="2026-05-24T00:00:00"/>
    <d v="1899-12-30T18:00:00"/>
    <x v="5"/>
    <s v="851 ОК– ПР Завоз Тех. вода "/>
    <x v="17"/>
    <n v="0.41666666666666669"/>
    <x v="16"/>
  </r>
  <r>
    <s v="ГДТ"/>
    <s v="КРС"/>
    <s v="Казанское"/>
    <n v="1"/>
    <x v="2"/>
    <x v="2"/>
    <m/>
    <x v="3"/>
    <m/>
    <m/>
    <m/>
    <x v="1"/>
    <s v="Штатно"/>
    <x v="0"/>
    <x v="6"/>
    <x v="16"/>
    <s v="Объекты_устье"/>
    <x v="8"/>
    <m/>
    <s v="Опрессовка лифта НКТП на 6 МПа (негерметично), опрессовка обратного клапана ФА на 4 МПа (негерметично). Демонтаж оборудования КИПа, метанольных линий"/>
    <n v="1"/>
    <m/>
    <m/>
    <x v="1"/>
    <m/>
    <m/>
    <m/>
    <m/>
    <m/>
    <m/>
    <n v="0"/>
    <d v="2026-05-24T18:00:00"/>
    <x v="97"/>
    <n v="4.1666666666666664E-2"/>
    <n v="21.958333333333325"/>
    <x v="1"/>
    <n v="0.71"/>
    <n v="0.29000000000000004"/>
    <n v="0"/>
    <n v="0"/>
    <n v="2.92"/>
    <x v="22"/>
    <d v="1899-12-30T18:00:00"/>
    <d v="2026-05-24T00:00:00"/>
    <d v="1899-12-30T19:00:00"/>
    <x v="5"/>
    <s v="851 ОК– ПР Опрессовка Фонтанная арматура "/>
    <x v="20"/>
    <n v="4.1666666666666664E-2"/>
    <x v="18"/>
  </r>
  <r>
    <s v="ГДТ"/>
    <s v="КРС"/>
    <s v="Казанское"/>
    <n v="1"/>
    <x v="2"/>
    <x v="2"/>
    <m/>
    <x v="3"/>
    <m/>
    <m/>
    <m/>
    <x v="1"/>
    <s v="Штатно"/>
    <x v="0"/>
    <x v="9"/>
    <x v="19"/>
    <s v="Скважина_ствол"/>
    <x v="13"/>
    <m/>
    <s v="Глушение скважины обратной промывкой раствором 1,01 г/см³, V=21 м³ (продолжение)"/>
    <n v="5"/>
    <m/>
    <m/>
    <x v="1"/>
    <m/>
    <m/>
    <m/>
    <m/>
    <m/>
    <m/>
    <n v="0"/>
    <d v="2026-05-24T19:00:00"/>
    <x v="98"/>
    <n v="0.20833333333333334"/>
    <n v="22.166666666666657"/>
    <x v="1"/>
    <n v="5"/>
    <n v="0"/>
    <n v="0"/>
    <n v="0"/>
    <n v="2.92"/>
    <x v="22"/>
    <d v="1899-12-30T19:00:00"/>
    <d v="2026-05-25T00:00:00"/>
    <d v="1899-12-31T00:00:00"/>
    <x v="5"/>
    <s v="851 ОК– ПР Обратная промывка Скважина "/>
    <x v="38"/>
    <n v="0.54166666666666663"/>
    <x v="24"/>
  </r>
  <r>
    <s v="ГДТ"/>
    <s v="КРС"/>
    <s v="Казанское"/>
    <n v="1"/>
    <x v="2"/>
    <x v="3"/>
    <m/>
    <x v="0"/>
    <m/>
    <m/>
    <m/>
    <x v="1"/>
    <s v="Штатно"/>
    <x v="0"/>
    <x v="9"/>
    <x v="19"/>
    <s v="Скважина_ствол"/>
    <x v="13"/>
    <m/>
    <s v="Глушение скважины обратной промывкой раствором 1,01 г/см³, V=35 м³ (общ. 56,2 м³), рост давления до 10 МПа. Технологическая стоянка 3 ч, разрядка с 4 до 0 МПа, выход конденсата+газ"/>
    <n v="8"/>
    <m/>
    <m/>
    <x v="1"/>
    <m/>
    <m/>
    <m/>
    <m/>
    <m/>
    <m/>
    <n v="0"/>
    <d v="2026-05-25T00:00:00"/>
    <x v="99"/>
    <n v="0.33333333333333331"/>
    <n v="22.499999999999989"/>
    <x v="1"/>
    <n v="3.5500000000000007"/>
    <n v="4.4499999999999993"/>
    <n v="0"/>
    <n v="0"/>
    <n v="7.3699999999999992"/>
    <x v="23"/>
    <d v="1899-12-31T00:00:00"/>
    <d v="2026-05-25T00:00:00"/>
    <d v="1899-12-30T08:00:00"/>
    <x v="6"/>
    <s v="851 ОК– ПР Обратная промывка Скважина "/>
    <x v="38"/>
    <n v="0.54166666666666663"/>
    <x v="24"/>
  </r>
  <r>
    <s v="ГДТ"/>
    <s v="КРС"/>
    <s v="Казанское"/>
    <n v="1"/>
    <x v="2"/>
    <x v="2"/>
    <m/>
    <x v="3"/>
    <m/>
    <m/>
    <m/>
    <x v="1"/>
    <s v="Штатно"/>
    <x v="0"/>
    <x v="1"/>
    <x v="1"/>
    <s v="Оборудование"/>
    <x v="0"/>
    <m/>
    <s v="Монтаж УПРС-80 (30%), подвоз грунта и отсыпка территории под приёмный мост и 3 стеллажа"/>
    <n v="6"/>
    <m/>
    <m/>
    <x v="1"/>
    <m/>
    <m/>
    <m/>
    <m/>
    <m/>
    <m/>
    <n v="0"/>
    <d v="2026-05-25T08:00:00"/>
    <x v="100"/>
    <n v="0.25"/>
    <n v="22.749999999999989"/>
    <x v="1"/>
    <n v="6"/>
    <n v="0"/>
    <n v="0"/>
    <n v="0"/>
    <n v="7.3699999999999992"/>
    <x v="23"/>
    <d v="1899-12-30T08:00:00"/>
    <d v="2026-05-25T00:00:00"/>
    <d v="1899-12-30T14:00:00"/>
    <x v="5"/>
    <s v="851 ОК– ПР Монтаж УПА "/>
    <x v="3"/>
    <n v="0.4375"/>
    <x v="2"/>
  </r>
  <r>
    <s v="ГДТ"/>
    <s v="КРС"/>
    <s v="Казанское"/>
    <n v="1"/>
    <x v="2"/>
    <x v="2"/>
    <m/>
    <x v="3"/>
    <m/>
    <m/>
    <m/>
    <x v="1"/>
    <s v="Орг_простой"/>
    <x v="0"/>
    <x v="10"/>
    <x v="22"/>
    <s v="Орг_логист_объекты"/>
    <x v="15"/>
    <m/>
    <s v="Приостановка работ в связи с проведением ингибиторной обработки ПЗП на скв.188 кп 3 бис"/>
    <n v="5.5"/>
    <m/>
    <m/>
    <x v="1"/>
    <m/>
    <m/>
    <m/>
    <m/>
    <m/>
    <m/>
    <n v="0"/>
    <d v="2026-05-25T14:00:00"/>
    <x v="101"/>
    <n v="0.22916666666666666"/>
    <n v="22.979166666666657"/>
    <x v="2"/>
    <n v="0"/>
    <n v="0"/>
    <n v="5.5"/>
    <n v="5.5"/>
    <n v="7.3699999999999992"/>
    <x v="23"/>
    <d v="1899-12-30T14:00:00"/>
    <d v="2026-05-25T00:00:00"/>
    <d v="1899-12-30T19:30:00"/>
    <x v="5"/>
    <s v="851 ОК– ПР Орг_простой  Ожидание Персонал "/>
    <x v="39"/>
    <n v="0.22916666666666666"/>
    <x v="29"/>
  </r>
  <r>
    <s v="ГДТ"/>
    <s v="КРС"/>
    <s v="Казанское"/>
    <n v="1"/>
    <x v="2"/>
    <x v="2"/>
    <m/>
    <x v="3"/>
    <m/>
    <m/>
    <m/>
    <x v="1"/>
    <s v="Штатно"/>
    <x v="0"/>
    <x v="1"/>
    <x v="1"/>
    <s v="Оборудование"/>
    <x v="0"/>
    <m/>
    <s v="Монтаж УПРС-80 (90%), долив скважины V=0,5 м³ (общий долив 3 м³)"/>
    <n v="4.5"/>
    <m/>
    <m/>
    <x v="1"/>
    <m/>
    <m/>
    <m/>
    <m/>
    <m/>
    <m/>
    <n v="0"/>
    <d v="2026-05-25T19:30:00"/>
    <x v="102"/>
    <n v="0.1875"/>
    <n v="23.166666666666657"/>
    <x v="1"/>
    <n v="2.1099999999999994"/>
    <n v="2.3900000000000006"/>
    <n v="0"/>
    <n v="5.5"/>
    <n v="9.76"/>
    <x v="23"/>
    <d v="1899-12-30T19:30:00"/>
    <d v="2026-05-26T00:00:00"/>
    <d v="1899-12-31T00:00:00"/>
    <x v="5"/>
    <s v="851 ОК– ПР Монтаж УПА "/>
    <x v="3"/>
    <n v="0.4375"/>
    <x v="2"/>
  </r>
  <r>
    <s v="ГДТ"/>
    <s v="КРС"/>
    <s v="Казанское"/>
    <n v="1"/>
    <x v="2"/>
    <x v="3"/>
    <m/>
    <x v="0"/>
    <m/>
    <m/>
    <m/>
    <x v="1"/>
    <s v="Штатно"/>
    <x v="0"/>
    <x v="0"/>
    <x v="23"/>
    <s v="Орг_логист_объекты"/>
    <x v="16"/>
    <m/>
    <s v="Устранение пунктов, выписанных пусковой комиссией"/>
    <n v="8"/>
    <m/>
    <m/>
    <x v="1"/>
    <m/>
    <m/>
    <m/>
    <m/>
    <m/>
    <m/>
    <n v="0"/>
    <d v="2026-05-26T00:00:00"/>
    <x v="103"/>
    <n v="0.33333333333333331"/>
    <n v="23.499999999999989"/>
    <x v="2"/>
    <n v="0"/>
    <n v="0"/>
    <n v="8"/>
    <n v="13.5"/>
    <n v="9.76"/>
    <x v="24"/>
    <d v="1899-12-31T00:00:00"/>
    <d v="2026-05-26T00:00:00"/>
    <d v="1899-12-30T08:00:00"/>
    <x v="6"/>
    <s v="851 ОК– ПР Рабочая комиссия Разрешительная документация "/>
    <x v="40"/>
    <n v="0.33333333333333331"/>
    <x v="30"/>
  </r>
  <r>
    <s v="ГДТ"/>
    <s v="КРС"/>
    <s v="Казанское"/>
    <n v="1"/>
    <x v="2"/>
    <x v="2"/>
    <m/>
    <x v="3"/>
    <m/>
    <m/>
    <m/>
    <x v="1"/>
    <s v="Орг_простой"/>
    <x v="0"/>
    <x v="10"/>
    <x v="22"/>
    <s v="Орг_логист_объекты"/>
    <x v="17"/>
    <m/>
    <s v="Запрет на рубку кабеля, ожидание завоза НКТ-73 (5 шт.), получение разрешения на демонтаж ФА и монтаж ПВО"/>
    <n v="10"/>
    <m/>
    <m/>
    <x v="1"/>
    <m/>
    <m/>
    <m/>
    <m/>
    <m/>
    <m/>
    <n v="0"/>
    <d v="2026-05-26T08:00:00"/>
    <x v="104"/>
    <n v="0.41666666666666669"/>
    <n v="23.916666666666657"/>
    <x v="2"/>
    <n v="0"/>
    <n v="0"/>
    <n v="10"/>
    <n v="23.5"/>
    <n v="9.76"/>
    <x v="24"/>
    <d v="1899-12-30T08:00:00"/>
    <d v="2026-05-26T00:00:00"/>
    <d v="1899-12-30T18:00:00"/>
    <x v="5"/>
    <s v="851 ОК– ПР Орг_простой  Ожидание МТР "/>
    <x v="41"/>
    <n v="0.41666666666666669"/>
    <x v="31"/>
  </r>
  <r>
    <s v="ГДТ"/>
    <s v="КРС"/>
    <s v="Казанское"/>
    <n v="1"/>
    <x v="2"/>
    <x v="2"/>
    <m/>
    <x v="3"/>
    <m/>
    <m/>
    <m/>
    <x v="2"/>
    <s v="Штатно"/>
    <x v="0"/>
    <x v="1"/>
    <x v="10"/>
    <s v="Объекты_устье"/>
    <x v="8"/>
    <m/>
    <s v="Получение разрешения на демонтаж ФА, монтаж ПВО. Подрыв ПШ (G=43 тн). Демонтаж КВ, протаскивание кабеля, демонтаж ФА"/>
    <n v="2.5"/>
    <m/>
    <m/>
    <x v="1"/>
    <m/>
    <m/>
    <m/>
    <m/>
    <m/>
    <m/>
    <n v="0"/>
    <d v="2026-05-26T18:00:00"/>
    <x v="105"/>
    <n v="0.10416666666666667"/>
    <n v="24.020833333333325"/>
    <x v="1"/>
    <n v="2.29"/>
    <n v="0.20999999999999996"/>
    <n v="0"/>
    <n v="23.5"/>
    <n v="9.9699999999999989"/>
    <x v="24"/>
    <d v="1899-12-30T18:00:00"/>
    <d v="2026-05-26T00:00:00"/>
    <d v="1899-12-30T20:30:00"/>
    <x v="5"/>
    <s v="851 ОК– КРС Демонтаж Фонтанная арматура "/>
    <x v="42"/>
    <n v="0.10416666666666667"/>
    <x v="32"/>
  </r>
  <r>
    <s v="ГДТ"/>
    <s v="КРС"/>
    <s v="Казанское"/>
    <n v="1"/>
    <x v="2"/>
    <x v="2"/>
    <m/>
    <x v="3"/>
    <m/>
    <m/>
    <m/>
    <x v="2"/>
    <s v="Штатно"/>
    <x v="0"/>
    <x v="1"/>
    <x v="1"/>
    <s v="Объекты_устье"/>
    <x v="12"/>
    <m/>
    <s v="Монтаж 2 отбойных щитов, штурвалов, подключение СУП, монтаж выносного пульта, монтаж ПВО (100%)"/>
    <n v="1.5"/>
    <m/>
    <m/>
    <x v="1"/>
    <m/>
    <m/>
    <m/>
    <m/>
    <m/>
    <m/>
    <n v="0"/>
    <d v="2026-05-26T20:30:00"/>
    <x v="106"/>
    <n v="6.25E-2"/>
    <n v="24.083333333333325"/>
    <x v="1"/>
    <n v="1.35"/>
    <n v="0.14999999999999991"/>
    <n v="0"/>
    <n v="23.5"/>
    <n v="10.119999999999999"/>
    <x v="24"/>
    <d v="1899-12-30T20:30:00"/>
    <d v="2026-05-26T00:00:00"/>
    <d v="1899-12-30T22:00:00"/>
    <x v="5"/>
    <s v="851 ОК– КРС Монтаж ПВО "/>
    <x v="43"/>
    <n v="6.25E-2"/>
    <x v="33"/>
  </r>
  <r>
    <s v="ГДТ"/>
    <s v="КРС"/>
    <s v="Казанское"/>
    <n v="1"/>
    <x v="2"/>
    <x v="3"/>
    <m/>
    <x v="0"/>
    <m/>
    <m/>
    <m/>
    <x v="2"/>
    <s v="Штатно"/>
    <x v="0"/>
    <x v="3"/>
    <x v="9"/>
    <s v="Технологический_инструмент"/>
    <x v="14"/>
    <m/>
    <s v="Спуск пакера на глубину 30 м. Подготовка к опрессовке ПВО"/>
    <n v="2"/>
    <m/>
    <m/>
    <x v="1"/>
    <m/>
    <m/>
    <m/>
    <m/>
    <m/>
    <m/>
    <n v="0"/>
    <d v="2026-05-26T22:00:00"/>
    <x v="107"/>
    <n v="8.3333333333333329E-2"/>
    <n v="24.166666666666657"/>
    <x v="1"/>
    <n v="0.97"/>
    <n v="1.03"/>
    <n v="0"/>
    <n v="23.5"/>
    <n v="11.149999999999999"/>
    <x v="24"/>
    <d v="1899-12-30T22:00:00"/>
    <d v="2026-05-27T00:00:00"/>
    <d v="1899-12-31T00:00:00"/>
    <x v="6"/>
    <s v="851 ОК– КРС Спуск Пакер "/>
    <x v="31"/>
    <n v="8.3333333333333329E-2"/>
    <x v="26"/>
  </r>
  <r>
    <s v="ГДТ"/>
    <s v="КРС"/>
    <s v="Казанское"/>
    <n v="1"/>
    <x v="2"/>
    <x v="3"/>
    <m/>
    <x v="0"/>
    <m/>
    <m/>
    <m/>
    <x v="2"/>
    <s v="Орг_простой"/>
    <x v="0"/>
    <x v="10"/>
    <x v="22"/>
    <s v="Орг_логист_объекты"/>
    <x v="18"/>
    <m/>
    <s v="Ожидание спецтехники (ЦА-320) для опрессовки"/>
    <n v="4"/>
    <m/>
    <m/>
    <x v="1"/>
    <m/>
    <m/>
    <m/>
    <m/>
    <m/>
    <m/>
    <n v="0"/>
    <d v="2026-05-27T00:00:00"/>
    <x v="108"/>
    <n v="0.16666666666666666"/>
    <n v="24.333333333333325"/>
    <x v="2"/>
    <n v="0"/>
    <n v="0"/>
    <n v="4"/>
    <n v="27.5"/>
    <n v="11.149999999999999"/>
    <x v="25"/>
    <d v="1899-12-31T00:00:00"/>
    <d v="2026-05-27T00:00:00"/>
    <d v="1899-12-30T04:00:00"/>
    <x v="6"/>
    <s v="851 ОК– КРС Орг_простой  Ожидание Техника "/>
    <x v="44"/>
    <n v="0.16666666666666666"/>
    <x v="34"/>
  </r>
  <r>
    <s v="ГДТ"/>
    <s v="КРС"/>
    <s v="Казанское"/>
    <n v="1"/>
    <x v="2"/>
    <x v="3"/>
    <m/>
    <x v="0"/>
    <m/>
    <m/>
    <m/>
    <x v="2"/>
    <s v="Штатно"/>
    <x v="0"/>
    <x v="8"/>
    <x v="24"/>
    <s v="Объекты_устье"/>
    <x v="12"/>
    <m/>
    <s v="Устранение негерметичности (замена уплотнений на трубных плашках 73 мм). Опрессовка трубных плашек на 23 МПа (+). Получение разрешения на дальнейшие работы"/>
    <n v="6"/>
    <m/>
    <m/>
    <x v="1"/>
    <m/>
    <m/>
    <m/>
    <m/>
    <m/>
    <m/>
    <n v="0"/>
    <d v="2026-05-27T04:00:00"/>
    <x v="109"/>
    <n v="0.25"/>
    <n v="24.583333333333325"/>
    <x v="2"/>
    <n v="0"/>
    <n v="0"/>
    <n v="6"/>
    <n v="33.5"/>
    <n v="11.149999999999999"/>
    <x v="25"/>
    <d v="1899-12-30T04:00:00"/>
    <d v="2026-05-27T00:00:00"/>
    <d v="1899-12-30T10:00:00"/>
    <x v="6"/>
    <s v="851 ОК– КРС Ремонт ПВО "/>
    <x v="45"/>
    <n v="0.25"/>
    <x v="35"/>
  </r>
  <r>
    <s v="ГДТ"/>
    <s v="КРС"/>
    <s v="Казанское"/>
    <n v="1"/>
    <x v="2"/>
    <x v="2"/>
    <m/>
    <x v="3"/>
    <m/>
    <m/>
    <m/>
    <x v="2"/>
    <s v="Штатно"/>
    <x v="0"/>
    <x v="8"/>
    <x v="15"/>
    <s v="Объекты_устье"/>
    <x v="10"/>
    <m/>
    <s v="Опрессовка ЗД №2,3,9,10 на 23 МПа (негерметичность №3,10). Замена ЗД №3, опрессовка фланцев (+). Срыв и подъём пакера с 30 м. Подготовка к промывке"/>
    <n v="6"/>
    <m/>
    <m/>
    <x v="1"/>
    <m/>
    <m/>
    <m/>
    <m/>
    <m/>
    <m/>
    <n v="0"/>
    <d v="2026-05-27T10:00:00"/>
    <x v="110"/>
    <n v="0.25"/>
    <n v="24.833333333333325"/>
    <x v="1"/>
    <n v="2.41"/>
    <n v="3.59"/>
    <n v="0"/>
    <n v="33.5"/>
    <n v="14.739999999999998"/>
    <x v="25"/>
    <d v="1899-12-30T10:00:00"/>
    <d v="2026-05-27T00:00:00"/>
    <d v="1899-12-30T16:00:00"/>
    <x v="5"/>
    <s v="851 ОК– КРС Замена Запорная арматура "/>
    <x v="46"/>
    <n v="0.25"/>
    <x v="17"/>
  </r>
  <r>
    <s v="ГДТ"/>
    <s v="КРС"/>
    <s v="Казанское"/>
    <n v="1"/>
    <x v="2"/>
    <x v="2"/>
    <m/>
    <x v="3"/>
    <m/>
    <m/>
    <m/>
    <x v="2"/>
    <s v="Штатно"/>
    <x v="0"/>
    <x v="9"/>
    <x v="19"/>
    <s v="Скважина_ствол"/>
    <x v="13"/>
    <m/>
    <s v="Подготовка к промывке. Обратная промывка скважины раствором 1,01 г/см³ V=37,5 м³, циркуляция (+). Разрядка (+). Подготовка к подъёму ЭЦН"/>
    <n v="4"/>
    <m/>
    <m/>
    <x v="1"/>
    <m/>
    <m/>
    <m/>
    <m/>
    <m/>
    <m/>
    <n v="0"/>
    <d v="2026-05-27T16:00:00"/>
    <x v="111"/>
    <n v="0.16666666666666666"/>
    <n v="24.999999999999993"/>
    <x v="1"/>
    <n v="1.7800000000000002"/>
    <n v="2.2199999999999998"/>
    <n v="0"/>
    <n v="33.5"/>
    <n v="16.959999999999997"/>
    <x v="25"/>
    <d v="1899-12-30T16:00:00"/>
    <d v="2026-05-27T00:00:00"/>
    <d v="1899-12-30T20:00:00"/>
    <x v="5"/>
    <s v="851 ОК– КРС Обратная промывка Скважина "/>
    <x v="38"/>
    <n v="0.16666666666666666"/>
    <x v="24"/>
  </r>
  <r>
    <s v="ГДТ"/>
    <s v="КРС"/>
    <s v="Казанское"/>
    <n v="1"/>
    <x v="2"/>
    <x v="2"/>
    <m/>
    <x v="3"/>
    <m/>
    <m/>
    <m/>
    <x v="2"/>
    <s v="Штатно"/>
    <x v="0"/>
    <x v="3"/>
    <x v="4"/>
    <s v="Технологический_инструмент"/>
    <x v="4"/>
    <m/>
    <s v="Подъём ЭЦН с 2859,88 м до 2600 м (20 шт НКТП-73 мм). Долив 3 м³"/>
    <n v="4"/>
    <m/>
    <m/>
    <x v="1"/>
    <m/>
    <m/>
    <m/>
    <m/>
    <m/>
    <m/>
    <n v="0"/>
    <d v="2026-05-27T20:00:00"/>
    <x v="112"/>
    <n v="0.16666666666666666"/>
    <n v="25.166666666666661"/>
    <x v="1"/>
    <n v="4"/>
    <n v="0"/>
    <n v="0"/>
    <n v="33.5"/>
    <n v="16.959999999999997"/>
    <x v="25"/>
    <d v="1899-12-30T20:00:00"/>
    <d v="2026-05-28T00:00:00"/>
    <d v="1899-12-31T00:00:00"/>
    <x v="5"/>
    <s v="851 ОК– КРС Подъем УЭЦН "/>
    <x v="6"/>
    <n v="1.625"/>
    <x v="5"/>
  </r>
  <r>
    <s v="ГДТ"/>
    <s v="КРС"/>
    <s v="Казанское"/>
    <n v="1"/>
    <x v="2"/>
    <x v="3"/>
    <m/>
    <x v="0"/>
    <m/>
    <m/>
    <m/>
    <x v="2"/>
    <s v="Штатно"/>
    <x v="0"/>
    <x v="3"/>
    <x v="4"/>
    <s v="Технологический_инструмент"/>
    <x v="4"/>
    <m/>
    <s v="Подъём ЭЦН с 2600 м до 1819 м (106 шт). Долив 2 м³"/>
    <n v="8"/>
    <m/>
    <m/>
    <x v="1"/>
    <m/>
    <m/>
    <m/>
    <m/>
    <m/>
    <m/>
    <n v="0"/>
    <d v="2026-05-28T00:00:00"/>
    <x v="113"/>
    <n v="0.33333333333333331"/>
    <n v="25.499999999999993"/>
    <x v="1"/>
    <n v="8"/>
    <n v="0"/>
    <n v="0"/>
    <n v="33.5"/>
    <n v="16.959999999999997"/>
    <x v="26"/>
    <d v="1899-12-31T00:00:00"/>
    <d v="2026-05-28T00:00:00"/>
    <d v="1899-12-30T08:00:00"/>
    <x v="6"/>
    <s v="851 ОК– КРС Подъем УЭЦН "/>
    <x v="6"/>
    <n v="1.625"/>
    <x v="5"/>
  </r>
  <r>
    <s v="ГДТ"/>
    <s v="КРС"/>
    <s v="Казанское"/>
    <n v="1"/>
    <x v="2"/>
    <x v="2"/>
    <m/>
    <x v="3"/>
    <m/>
    <m/>
    <m/>
    <x v="2"/>
    <s v="Орг_простой"/>
    <x v="0"/>
    <x v="10"/>
    <x v="22"/>
    <s v="Орг_логист_объекты"/>
    <x v="15"/>
    <m/>
    <s v="Остановка работ по неполному составу вахты"/>
    <n v="9"/>
    <m/>
    <m/>
    <x v="1"/>
    <m/>
    <m/>
    <m/>
    <m/>
    <m/>
    <m/>
    <n v="0"/>
    <d v="2026-05-28T08:00:00"/>
    <x v="114"/>
    <n v="0.375"/>
    <n v="25.874999999999993"/>
    <x v="2"/>
    <n v="0"/>
    <n v="0"/>
    <n v="9"/>
    <n v="42.5"/>
    <n v="16.959999999999997"/>
    <x v="26"/>
    <d v="1899-12-30T08:00:00"/>
    <d v="2026-05-28T00:00:00"/>
    <d v="1899-12-30T17:00:00"/>
    <x v="5"/>
    <s v="851 ОК– КРС Орг_простой  Ожидание Персонал "/>
    <x v="39"/>
    <n v="0.875"/>
    <x v="29"/>
  </r>
  <r>
    <s v="ГДТ"/>
    <s v="КРС"/>
    <s v="Казанское"/>
    <n v="1"/>
    <x v="2"/>
    <x v="2"/>
    <m/>
    <x v="3"/>
    <m/>
    <m/>
    <m/>
    <x v="2"/>
    <s v="Штатно"/>
    <x v="0"/>
    <x v="3"/>
    <x v="4"/>
    <s v="Технологический_инструмент"/>
    <x v="4"/>
    <m/>
    <s v="Подъём ЭЦН с 1819 м до 1365 м, ВИК первого ряда. Долив 30 м³"/>
    <n v="7"/>
    <m/>
    <m/>
    <x v="1"/>
    <m/>
    <m/>
    <m/>
    <m/>
    <m/>
    <m/>
    <n v="0"/>
    <d v="2026-05-28T17:00:00"/>
    <x v="115"/>
    <n v="0.29166666666666669"/>
    <n v="26.166666666666661"/>
    <x v="1"/>
    <n v="7"/>
    <n v="0"/>
    <n v="0"/>
    <n v="42.5"/>
    <n v="16.959999999999997"/>
    <x v="26"/>
    <d v="1899-12-30T17:00:00"/>
    <d v="2026-05-29T00:00:00"/>
    <d v="1899-12-31T00:00:00"/>
    <x v="5"/>
    <s v="851 ОК– КРС Подъем УЭЦН "/>
    <x v="6"/>
    <n v="1.625"/>
    <x v="5"/>
  </r>
  <r>
    <s v="ГДТ"/>
    <s v="КРС"/>
    <s v="Казанское"/>
    <n v="1"/>
    <x v="2"/>
    <x v="3"/>
    <m/>
    <x v="0"/>
    <m/>
    <m/>
    <m/>
    <x v="2"/>
    <s v="Штатно"/>
    <x v="0"/>
    <x v="3"/>
    <x v="4"/>
    <s v="Технологический_инструмент"/>
    <x v="4"/>
    <m/>
    <s v="Подъём ЭЦН с 1365 м до 672,31 м (устойчивый уровень – «зеркало»), ВИК, опрессовка лифта 6 МПа (+), замер изоляции (отсутствует), сброс спецштанги Ø25 мм L=1,2 м (+). Подъём до 0 м"/>
    <n v="20"/>
    <m/>
    <m/>
    <x v="1"/>
    <m/>
    <m/>
    <m/>
    <m/>
    <m/>
    <m/>
    <n v="0"/>
    <d v="2026-05-29T00:00:00"/>
    <x v="116"/>
    <n v="0.83333333333333337"/>
    <n v="26.999999999999993"/>
    <x v="1"/>
    <n v="4.4499999999999993"/>
    <n v="15.55"/>
    <n v="0"/>
    <n v="42.5"/>
    <n v="32.51"/>
    <x v="27"/>
    <d v="1899-12-31T00:00:00"/>
    <d v="2026-05-29T00:00:00"/>
    <d v="1899-12-30T20:00:00"/>
    <x v="6"/>
    <s v="851 ОК– КРС Подъем УЭЦН "/>
    <x v="6"/>
    <n v="1.625"/>
    <x v="5"/>
  </r>
  <r>
    <s v="ГДТ"/>
    <s v="КРС"/>
    <s v="Казанское"/>
    <n v="1"/>
    <x v="2"/>
    <x v="2"/>
    <m/>
    <x v="3"/>
    <m/>
    <m/>
    <m/>
    <x v="2"/>
    <s v="Штатно"/>
    <x v="0"/>
    <x v="4"/>
    <x v="5"/>
    <s v="Технологический_инструмент"/>
    <x v="4"/>
    <m/>
    <s v="Комиссионный демонтаж ЭЦН"/>
    <n v="2.5"/>
    <m/>
    <m/>
    <x v="1"/>
    <m/>
    <m/>
    <m/>
    <m/>
    <m/>
    <m/>
    <n v="0"/>
    <d v="2026-05-29T20:00:00"/>
    <x v="117"/>
    <n v="0.10416666666666667"/>
    <n v="27.104166666666661"/>
    <x v="0"/>
    <n v="2.5"/>
    <n v="0"/>
    <n v="0"/>
    <n v="42.5"/>
    <n v="32.51"/>
    <x v="27"/>
    <d v="1899-12-30T20:00:00"/>
    <d v="2026-05-29T00:00:00"/>
    <d v="1899-12-30T22:30:00"/>
    <x v="5"/>
    <s v="851 ОК– КРС Разборка УЭЦН "/>
    <x v="7"/>
    <n v="0.10416666666666667"/>
    <x v="6"/>
  </r>
  <r>
    <s v="ГДТ"/>
    <s v="КРС"/>
    <s v="Казанское"/>
    <n v="1"/>
    <x v="2"/>
    <x v="3"/>
    <m/>
    <x v="0"/>
    <m/>
    <m/>
    <m/>
    <x v="2"/>
    <s v="Штатно"/>
    <x v="0"/>
    <x v="2"/>
    <x v="7"/>
    <s v="Технологический_инструмент"/>
    <x v="4"/>
    <m/>
    <s v="Центровка мачты, разгрузка оборудования ЭЦН, подготовка к опрессовке подклапанных НКТП-73 (6 шт.)"/>
    <n v="1.5"/>
    <m/>
    <m/>
    <x v="1"/>
    <m/>
    <m/>
    <m/>
    <m/>
    <m/>
    <m/>
    <n v="0"/>
    <d v="2026-05-29T22:30:00"/>
    <x v="118"/>
    <n v="6.25E-2"/>
    <n v="27.166666666666661"/>
    <x v="1"/>
    <n v="0.98"/>
    <n v="0.52"/>
    <n v="0"/>
    <n v="42.5"/>
    <n v="33.03"/>
    <x v="27"/>
    <d v="1899-12-30T22:30:00"/>
    <d v="2026-05-30T00:00:00"/>
    <d v="1899-12-31T00:00:00"/>
    <x v="6"/>
    <s v="851 ОК– КРС Подготовка УЭЦН "/>
    <x v="9"/>
    <n v="6.25E-2"/>
    <x v="8"/>
  </r>
  <r>
    <s v="ГДТ"/>
    <s v="КРС"/>
    <s v="Казанское"/>
    <n v="1"/>
    <x v="2"/>
    <x v="3"/>
    <m/>
    <x v="0"/>
    <m/>
    <m/>
    <m/>
    <x v="2"/>
    <s v="Штатно"/>
    <x v="0"/>
    <x v="4"/>
    <x v="8"/>
    <s v="Технологический_инструмент"/>
    <x v="4"/>
    <m/>
    <s v="Опрессовка подклапанных НКТ-73 (6 шт.) на 25 МПа (+). Монтаж дополнительного оборудования + ЭЦН (ЭЦНМТ5-80/2260/8ЭДРТ-56-117)"/>
    <n v="6"/>
    <m/>
    <m/>
    <x v="1"/>
    <m/>
    <m/>
    <m/>
    <m/>
    <m/>
    <m/>
    <n v="0"/>
    <d v="2026-05-30T00:00:00"/>
    <x v="119"/>
    <n v="0.25"/>
    <n v="27.416666666666661"/>
    <x v="0"/>
    <n v="6"/>
    <n v="0"/>
    <n v="0"/>
    <n v="42.5"/>
    <n v="33.03"/>
    <x v="28"/>
    <d v="1899-12-31T00:00:00"/>
    <d v="2026-05-30T00:00:00"/>
    <d v="1899-12-30T06:00:00"/>
    <x v="6"/>
    <s v="851 ОК– КРС Сборка УЭЦН "/>
    <x v="36"/>
    <n v="0.25"/>
    <x v="9"/>
  </r>
  <r>
    <s v="ГДТ"/>
    <s v="КРС"/>
    <s v="Казанское"/>
    <n v="1"/>
    <x v="2"/>
    <x v="2"/>
    <m/>
    <x v="3"/>
    <m/>
    <m/>
    <m/>
    <x v="2"/>
    <s v="Орг_простой"/>
    <x v="0"/>
    <x v="10"/>
    <x v="22"/>
    <s v="Орг_логист_объекты"/>
    <x v="17"/>
    <m/>
    <s v="Ожидание завоза клямсевателя"/>
    <n v="3.5"/>
    <m/>
    <m/>
    <x v="1"/>
    <m/>
    <m/>
    <m/>
    <m/>
    <m/>
    <m/>
    <n v="0"/>
    <d v="2026-05-30T06:00:00"/>
    <x v="120"/>
    <n v="0.14583333333333334"/>
    <n v="27.562499999999993"/>
    <x v="2"/>
    <n v="0"/>
    <n v="0"/>
    <n v="3.5"/>
    <n v="46"/>
    <n v="33.03"/>
    <x v="28"/>
    <d v="1899-12-30T06:00:00"/>
    <d v="2026-05-30T00:00:00"/>
    <d v="1899-12-30T09:30:00"/>
    <x v="5"/>
    <s v="851 ОК– КРС Орг_простой  Ожидание МТР "/>
    <x v="41"/>
    <n v="0.14583333333333334"/>
    <x v="31"/>
  </r>
  <r>
    <s v="ГДТ"/>
    <s v="КРС"/>
    <s v="Казанское"/>
    <n v="1"/>
    <x v="2"/>
    <x v="2"/>
    <m/>
    <x v="3"/>
    <m/>
    <m/>
    <m/>
    <x v="2"/>
    <s v="Штатно"/>
    <x v="0"/>
    <x v="3"/>
    <x v="9"/>
    <s v="Технологический_инструмент"/>
    <x v="4"/>
    <m/>
    <s v="Спуск ЭЦН до глубины 877,66 м (92 шт НКТП-73 мм). Долив 38,3 м³"/>
    <n v="14.5"/>
    <m/>
    <m/>
    <x v="1"/>
    <m/>
    <m/>
    <m/>
    <m/>
    <m/>
    <m/>
    <n v="0"/>
    <d v="2026-05-30T09:30:00"/>
    <x v="121"/>
    <n v="0.60416666666666663"/>
    <n v="28.166666666666661"/>
    <x v="1"/>
    <n v="14.5"/>
    <n v="0"/>
    <n v="0"/>
    <n v="46"/>
    <n v="33.03"/>
    <x v="28"/>
    <d v="1899-12-30T09:30:00"/>
    <d v="2026-05-31T00:00:00"/>
    <d v="1899-12-31T00:00:00"/>
    <x v="5"/>
    <s v="851 ОК– КРС Спуск УЭЦН "/>
    <x v="11"/>
    <n v="1.4583333333333335"/>
    <x v="10"/>
  </r>
  <r>
    <s v="ГДТ"/>
    <s v="КРС"/>
    <s v="Казанское"/>
    <n v="1"/>
    <x v="2"/>
    <x v="3"/>
    <m/>
    <x v="0"/>
    <m/>
    <m/>
    <m/>
    <x v="2"/>
    <s v="Штатно"/>
    <x v="0"/>
    <x v="3"/>
    <x v="9"/>
    <s v="Технологический_инструмент"/>
    <x v="4"/>
    <m/>
    <s v="Спуск ЭЦН до 1532,37 м (всего 160 шт). Опрессовка лифта через 600 м (6 МПа). Долив 40 м³"/>
    <n v="8"/>
    <m/>
    <m/>
    <x v="1"/>
    <m/>
    <m/>
    <m/>
    <m/>
    <m/>
    <m/>
    <n v="0"/>
    <d v="2026-05-31T00:00:00"/>
    <x v="122"/>
    <n v="0.33333333333333331"/>
    <n v="28.499999999999993"/>
    <x v="1"/>
    <n v="8"/>
    <n v="0"/>
    <n v="0"/>
    <n v="46"/>
    <n v="33.03"/>
    <x v="29"/>
    <d v="1899-12-31T00:00:00"/>
    <d v="2026-05-31T00:00:00"/>
    <d v="1899-12-30T08:00:00"/>
    <x v="6"/>
    <s v="851 ОК– КРС Спуск УЭЦН "/>
    <x v="11"/>
    <n v="1.4583333333333335"/>
    <x v="10"/>
  </r>
  <r>
    <s v="ГДТ"/>
    <s v="КРС"/>
    <s v="Казанское"/>
    <n v="1"/>
    <x v="2"/>
    <x v="2"/>
    <m/>
    <x v="3"/>
    <m/>
    <m/>
    <m/>
    <x v="2"/>
    <s v="Орг_простой"/>
    <x v="0"/>
    <x v="10"/>
    <x v="22"/>
    <s v="Орг_логист_объекты"/>
    <x v="15"/>
    <m/>
    <s v="Перевахтовка, оформление и получение наряда-допуска. Долив 55 м³"/>
    <n v="12"/>
    <m/>
    <m/>
    <x v="1"/>
    <m/>
    <m/>
    <m/>
    <m/>
    <m/>
    <m/>
    <n v="0"/>
    <d v="2026-05-31T08:00:00"/>
    <x v="123"/>
    <n v="0.5"/>
    <n v="28.999999999999993"/>
    <x v="2"/>
    <n v="0"/>
    <n v="0"/>
    <n v="12"/>
    <n v="58"/>
    <n v="33.03"/>
    <x v="29"/>
    <d v="1899-12-30T08:00:00"/>
    <d v="2026-05-31T00:00:00"/>
    <d v="1899-12-30T20:00:00"/>
    <x v="5"/>
    <s v="851 ОК– КРС Орг_простой  Ожидание Персонал "/>
    <x v="39"/>
    <n v="0.875"/>
    <x v="29"/>
  </r>
  <r>
    <s v="ГДТ"/>
    <s v="КРС"/>
    <s v="Казанское"/>
    <n v="1"/>
    <x v="2"/>
    <x v="2"/>
    <m/>
    <x v="3"/>
    <m/>
    <m/>
    <m/>
    <x v="2"/>
    <s v="Штатно"/>
    <x v="0"/>
    <x v="3"/>
    <x v="9"/>
    <s v="Технологический_инструмент"/>
    <x v="4"/>
    <m/>
    <s v="Спуск ЭЦН до 1933,38 м (всего 202 шт). Долив 59 м³"/>
    <n v="4"/>
    <m/>
    <m/>
    <x v="1"/>
    <m/>
    <m/>
    <m/>
    <m/>
    <m/>
    <m/>
    <n v="0"/>
    <d v="2026-05-31T20:00:00"/>
    <x v="124"/>
    <n v="0.16666666666666666"/>
    <n v="29.166666666666661"/>
    <x v="1"/>
    <n v="4"/>
    <n v="0"/>
    <n v="0"/>
    <n v="58"/>
    <n v="33.03"/>
    <x v="29"/>
    <d v="1899-12-30T20:00:00"/>
    <d v="2026-06-01T00:00:00"/>
    <d v="1899-12-31T00:00:00"/>
    <x v="5"/>
    <s v="851 ОК– КРС Спуск УЭЦН "/>
    <x v="11"/>
    <n v="1.4583333333333335"/>
    <x v="10"/>
  </r>
  <r>
    <s v="ГДТ"/>
    <s v="КРС"/>
    <s v="Казанское"/>
    <n v="1"/>
    <x v="2"/>
    <x v="3"/>
    <m/>
    <x v="0"/>
    <m/>
    <m/>
    <m/>
    <x v="2"/>
    <s v="Штатно"/>
    <x v="0"/>
    <x v="3"/>
    <x v="9"/>
    <s v="Технологический_инструмент"/>
    <x v="4"/>
    <m/>
    <s v="Спуск ЭЦН до 2226 м (всего 232 шт). Долив 62 м³"/>
    <n v="3"/>
    <m/>
    <m/>
    <x v="1"/>
    <m/>
    <m/>
    <m/>
    <m/>
    <m/>
    <m/>
    <n v="0"/>
    <d v="2026-06-01T00:00:00"/>
    <x v="125"/>
    <n v="0.125"/>
    <n v="29.291666666666661"/>
    <x v="1"/>
    <n v="0.69999999999999929"/>
    <n v="2.3000000000000007"/>
    <n v="0"/>
    <n v="58"/>
    <n v="35.33"/>
    <x v="30"/>
    <d v="1899-12-31T00:00:00"/>
    <d v="2026-06-01T00:00:00"/>
    <d v="1899-12-30T03:00:00"/>
    <x v="6"/>
    <s v="851 ОК– КРС Спуск УЭЦН "/>
    <x v="11"/>
    <n v="1.4583333333333335"/>
    <x v="10"/>
  </r>
  <r>
    <s v="ГДТ"/>
    <s v="КРС"/>
    <s v="Казанское"/>
    <n v="1"/>
    <x v="2"/>
    <x v="3"/>
    <m/>
    <x v="0"/>
    <m/>
    <m/>
    <m/>
    <x v="2"/>
    <s v="Штатно"/>
    <x v="0"/>
    <x v="8"/>
    <x v="24"/>
    <s v="Оборудование"/>
    <x v="0"/>
    <m/>
    <s v="Ремонт УБРСП-80 (замена ремня компрессора)"/>
    <n v="1.5"/>
    <m/>
    <m/>
    <x v="1"/>
    <m/>
    <m/>
    <m/>
    <m/>
    <m/>
    <m/>
    <n v="0"/>
    <d v="2026-06-01T03:00:00"/>
    <x v="126"/>
    <n v="6.25E-2"/>
    <n v="29.354166666666661"/>
    <x v="2"/>
    <n v="0"/>
    <n v="0"/>
    <n v="1.5"/>
    <n v="59.5"/>
    <n v="35.33"/>
    <x v="30"/>
    <d v="1899-12-30T03:00:00"/>
    <d v="2026-06-01T00:00:00"/>
    <d v="1899-12-30T04:30:00"/>
    <x v="6"/>
    <s v="851 ОК– КРС Ремонт УПА "/>
    <x v="47"/>
    <n v="6.25E-2"/>
    <x v="36"/>
  </r>
  <r>
    <s v="ГДТ"/>
    <s v="КРС"/>
    <s v="Казанское"/>
    <n v="1"/>
    <x v="2"/>
    <x v="3"/>
    <m/>
    <x v="0"/>
    <m/>
    <m/>
    <m/>
    <x v="2"/>
    <s v="Штатно"/>
    <x v="0"/>
    <x v="3"/>
    <x v="9"/>
    <s v="Технологический_инструмент"/>
    <x v="4"/>
    <m/>
    <s v="Спуск ЭЦН до 2859,73 м (всего 296 шт). Установка стоп-кольца Ø35 мм на 203-й трубе (гл. 799,3 м). Замер изоляции через 300 м (200 МОм), опрессовка лифта через 600 м (6 МПа). Долив 68 м³"/>
    <n v="5.5"/>
    <m/>
    <m/>
    <x v="1"/>
    <m/>
    <m/>
    <m/>
    <m/>
    <m/>
    <m/>
    <n v="0"/>
    <d v="2026-06-01T04:30:00"/>
    <x v="127"/>
    <n v="0.22916666666666666"/>
    <n v="29.583333333333329"/>
    <x v="1"/>
    <n v="0"/>
    <n v="5.5"/>
    <n v="0"/>
    <n v="59.5"/>
    <n v="40.83"/>
    <x v="30"/>
    <d v="1899-12-30T04:30:00"/>
    <d v="2026-06-01T00:00:00"/>
    <d v="1899-12-30T10:00:00"/>
    <x v="6"/>
    <s v="851 ОК– КРС Спуск УЭЦН "/>
    <x v="11"/>
    <n v="1.4583333333333335"/>
    <x v="10"/>
  </r>
  <r>
    <s v="ГДТ"/>
    <s v="КРС"/>
    <s v="Казанское"/>
    <n v="1"/>
    <x v="2"/>
    <x v="4"/>
    <m/>
    <x v="2"/>
    <m/>
    <m/>
    <m/>
    <x v="4"/>
    <s v="Штатно"/>
    <x v="0"/>
    <x v="1"/>
    <x v="12"/>
    <s v="Объекты_устье"/>
    <x v="8"/>
    <m/>
    <s v="Демонтаж ГКШ-1500, СУ-80, отбойных щитов и штурвалов, линии долива, демонтаж ПВО с протаскиванием кабеля (≈35 м). Монтаж ФА и кабельного ввода, опрессовка КВ на 11 МПа (герметично). Монтаж обвязки ФА, укладка кабеля (≈35 м). Контрольный замер изоляции"/>
    <n v="6"/>
    <m/>
    <m/>
    <x v="1"/>
    <m/>
    <m/>
    <m/>
    <m/>
    <m/>
    <m/>
    <n v="0"/>
    <d v="2026-06-01T10:00:00"/>
    <x v="128"/>
    <n v="0.25"/>
    <n v="29.833333333333329"/>
    <x v="1"/>
    <n v="4.53"/>
    <n v="1.4699999999999998"/>
    <n v="0"/>
    <n v="59.5"/>
    <n v="42.3"/>
    <x v="30"/>
    <d v="1899-12-30T10:00:00"/>
    <d v="2026-06-01T00:00:00"/>
    <d v="1899-12-30T16:00:00"/>
    <x v="7"/>
    <s v="851 ОК– Заканчивание Перемонтаж Фонтанная арматура "/>
    <x v="14"/>
    <n v="0.25"/>
    <x v="13"/>
  </r>
  <r>
    <s v="ГДТ"/>
    <s v="КРС"/>
    <s v="Казанское"/>
    <n v="1"/>
    <x v="2"/>
    <x v="4"/>
    <m/>
    <x v="2"/>
    <m/>
    <m/>
    <m/>
    <x v="0"/>
    <s v="Штатно"/>
    <x v="0"/>
    <x v="1"/>
    <x v="10"/>
    <s v="Оборудование"/>
    <x v="0"/>
    <m/>
    <s v="Демонтаж РП, ИВЭ-50"/>
    <n v="1.5"/>
    <m/>
    <m/>
    <x v="1"/>
    <m/>
    <m/>
    <m/>
    <m/>
    <m/>
    <m/>
    <n v="0"/>
    <d v="2026-06-01T16:00:00"/>
    <x v="129"/>
    <n v="6.25E-2"/>
    <n v="29.895833333333329"/>
    <x v="0"/>
    <n v="1.5"/>
    <n v="0"/>
    <n v="0"/>
    <n v="59.5"/>
    <n v="42.3"/>
    <x v="30"/>
    <d v="1899-12-30T16:00:00"/>
    <d v="2026-06-01T00:00:00"/>
    <d v="1899-12-30T17:30:00"/>
    <x v="7"/>
    <s v="851 ОК– ДПМ Демонтаж УПА "/>
    <x v="48"/>
    <n v="0.1875"/>
    <x v="15"/>
  </r>
  <r>
    <s v="ГДТ"/>
    <s v="КРС"/>
    <s v="Казанское"/>
    <n v="1"/>
    <x v="2"/>
    <x v="4"/>
    <m/>
    <x v="2"/>
    <m/>
    <m/>
    <m/>
    <x v="4"/>
    <s v="Штатно"/>
    <x v="0"/>
    <x v="6"/>
    <x v="16"/>
    <s v="Объекты_устье"/>
    <x v="8"/>
    <m/>
    <s v="Опрессовка ОК ФА и обвязки на 4 МПа (герметично), опрессовка лифта НКТП на 6 МПа (герметично)"/>
    <n v="1"/>
    <m/>
    <m/>
    <x v="1"/>
    <m/>
    <m/>
    <m/>
    <m/>
    <m/>
    <m/>
    <n v="0"/>
    <d v="2026-06-01T17:30:00"/>
    <x v="130"/>
    <n v="4.1666666666666664E-2"/>
    <n v="29.937499999999996"/>
    <x v="1"/>
    <n v="0.9"/>
    <n v="9.9999999999999978E-2"/>
    <n v="0"/>
    <n v="59.5"/>
    <n v="42.4"/>
    <x v="30"/>
    <d v="1899-12-30T17:30:00"/>
    <d v="2026-06-01T00:00:00"/>
    <d v="1899-12-30T18:30:00"/>
    <x v="7"/>
    <s v="851 ОК– Заканчивание Опрессовка Фонтанная арматура "/>
    <x v="20"/>
    <n v="4.1666666666666664E-2"/>
    <x v="18"/>
  </r>
  <r>
    <s v="ГДТ"/>
    <s v="КРС"/>
    <s v="Казанское"/>
    <n v="1"/>
    <x v="2"/>
    <x v="4"/>
    <m/>
    <x v="2"/>
    <m/>
    <m/>
    <m/>
    <x v="4"/>
    <s v="Штатно"/>
    <x v="0"/>
    <x v="7"/>
    <x v="13"/>
    <s v="Технологический_инструмент"/>
    <x v="4"/>
    <m/>
    <s v="Замер изоляции перед запуском (200 МОм). Запуск ЭЦНМТ5-80/2260/8ЭДРТ-56-117. Iпуск=19,8А, Iраб=18,2А, частота 40 Гц, загрузка 41%, Рпр=181 атм, Tпр=75°С, дебит 115 м³/сут"/>
    <n v="0.5"/>
    <m/>
    <m/>
    <x v="1"/>
    <m/>
    <m/>
    <m/>
    <m/>
    <m/>
    <m/>
    <n v="0"/>
    <d v="2026-06-01T18:30:00"/>
    <x v="131"/>
    <n v="2.0833333333333332E-2"/>
    <n v="29.958333333333329"/>
    <x v="0"/>
    <n v="0.5"/>
    <n v="0"/>
    <n v="0"/>
    <n v="59.5"/>
    <n v="42.4"/>
    <x v="30"/>
    <d v="1899-12-30T18:30:00"/>
    <d v="2026-06-01T00:00:00"/>
    <d v="1899-12-30T19:00:00"/>
    <x v="7"/>
    <s v="851 ОК– Заканчивание Запуск в работу УЭЦН "/>
    <x v="15"/>
    <n v="2.0833333333333332E-2"/>
    <x v="14"/>
  </r>
  <r>
    <s v="ГДТ"/>
    <s v="КРС"/>
    <s v="Казанское"/>
    <n v="1"/>
    <x v="2"/>
    <x v="4"/>
    <m/>
    <x v="2"/>
    <m/>
    <m/>
    <m/>
    <x v="0"/>
    <s v="Штатно"/>
    <x v="0"/>
    <x v="1"/>
    <x v="10"/>
    <s v="Оборудование"/>
    <x v="0"/>
    <m/>
    <s v="Демонтаж УБРСП-80, пригрузов, якорей, приёмного моста, 3 стеллажей. Монтаж дублирующей ЗД №2, опрессовка фланцевого соединения"/>
    <n v="3"/>
    <m/>
    <m/>
    <x v="1"/>
    <m/>
    <m/>
    <m/>
    <m/>
    <m/>
    <m/>
    <n v="0"/>
    <d v="2026-06-01T19:00:00"/>
    <x v="132"/>
    <n v="0.125"/>
    <n v="30.083333333333329"/>
    <x v="0"/>
    <n v="3"/>
    <n v="0"/>
    <n v="0"/>
    <n v="59.5"/>
    <n v="42.4"/>
    <x v="30"/>
    <d v="1899-12-30T19:00:00"/>
    <d v="2026-06-01T00:00:00"/>
    <d v="1899-12-30T22:00:00"/>
    <x v="7"/>
    <s v="851 ОК– ДПМ Демонтаж УПА "/>
    <x v="48"/>
    <n v="0.1875"/>
    <x v="15"/>
  </r>
  <r>
    <s v="ГДТ"/>
    <s v="КРС"/>
    <s v="Казанское"/>
    <n v="1"/>
    <x v="2"/>
    <x v="4"/>
    <m/>
    <x v="2"/>
    <m/>
    <m/>
    <m/>
    <x v="0"/>
    <s v="Штатно"/>
    <x v="0"/>
    <x v="1"/>
    <x v="10"/>
    <s v="Оборудование"/>
    <x v="1"/>
    <m/>
    <s v="Демонтаж 1 защитного колпака, монтаж 2 лубрикаторных площадок"/>
    <n v="2"/>
    <m/>
    <m/>
    <x v="1"/>
    <m/>
    <m/>
    <m/>
    <m/>
    <m/>
    <m/>
    <n v="0"/>
    <d v="2026-06-01T22:00:00"/>
    <x v="133"/>
    <n v="8.3333333333333329E-2"/>
    <n v="30.166666666666661"/>
    <x v="1"/>
    <n v="2"/>
    <n v="0"/>
    <n v="0"/>
    <n v="59.5"/>
    <n v="42.4"/>
    <x v="30"/>
    <d v="1899-12-30T22:00:00"/>
    <d v="2026-06-02T00:00:00"/>
    <d v="1899-12-31T00:00:00"/>
    <x v="7"/>
    <s v="851 ОК– ДПМ Демонтаж БО "/>
    <x v="49"/>
    <n v="0.375"/>
    <x v="37"/>
  </r>
  <r>
    <s v="ГДТ"/>
    <s v="КРС"/>
    <s v="Казанское"/>
    <n v="1"/>
    <x v="2"/>
    <x v="4"/>
    <m/>
    <x v="2"/>
    <m/>
    <m/>
    <m/>
    <x v="0"/>
    <s v="Штатно"/>
    <x v="0"/>
    <x v="1"/>
    <x v="10"/>
    <s v="Оборудование"/>
    <x v="1"/>
    <m/>
    <s v="Демонтаж заземлений (9 шт.), отключение оборудования (4 шт.), демонтаж подставок под кабель (5 шт.), уборка территории"/>
    <n v="1"/>
    <m/>
    <m/>
    <x v="1"/>
    <m/>
    <m/>
    <m/>
    <m/>
    <m/>
    <m/>
    <n v="0"/>
    <d v="2026-06-02T00:00:00"/>
    <x v="134"/>
    <n v="4.1666666666666664E-2"/>
    <n v="30.208333333333329"/>
    <x v="1"/>
    <n v="0.83999999999999986"/>
    <n v="0.16000000000000014"/>
    <n v="0"/>
    <n v="59.5"/>
    <n v="42.56"/>
    <x v="31"/>
    <d v="1899-12-31T00:00:00"/>
    <d v="2026-06-02T00:00:00"/>
    <d v="1899-12-30T01:00:00"/>
    <x v="7"/>
    <s v="851 ОК– ДПМ Демонтаж БО "/>
    <x v="49"/>
    <n v="0.375"/>
    <x v="37"/>
  </r>
  <r>
    <s v="ГДТ"/>
    <s v="КРС"/>
    <s v="Казанское"/>
    <n v="1"/>
    <x v="2"/>
    <x v="4"/>
    <m/>
    <x v="2"/>
    <m/>
    <m/>
    <m/>
    <x v="0"/>
    <s v="Штатно"/>
    <x v="0"/>
    <x v="1"/>
    <x v="10"/>
    <s v="Оборудование"/>
    <x v="1"/>
    <m/>
    <s v="Демонтаж оборудования"/>
    <n v="6"/>
    <n v="0"/>
    <s v="Работы окончены"/>
    <x v="1"/>
    <m/>
    <m/>
    <m/>
    <m/>
    <m/>
    <m/>
    <n v="0"/>
    <d v="2026-06-02T01:00:00"/>
    <x v="135"/>
    <n v="0.25"/>
    <n v="30.458333333333329"/>
    <x v="1"/>
    <n v="0"/>
    <n v="6"/>
    <n v="0"/>
    <n v="59.5"/>
    <n v="48.56"/>
    <x v="31"/>
    <d v="1899-12-30T01:00:00"/>
    <d v="2026-06-02T00:00:00"/>
    <d v="1899-12-30T07:00:00"/>
    <x v="7"/>
    <s v="851 ОК– ДПМ Демонтаж БО "/>
    <x v="49"/>
    <n v="0.375"/>
    <x v="37"/>
  </r>
  <r>
    <s v="ГДТ"/>
    <s v="ЗБС"/>
    <s v="Казанское НГКМ"/>
    <s v="6"/>
    <x v="3"/>
    <x v="4"/>
    <m/>
    <x v="4"/>
    <n v="9"/>
    <s v="9.2"/>
    <m/>
    <x v="0"/>
    <s v="Штатно"/>
    <x v="0"/>
    <x v="1"/>
    <x v="25"/>
    <s v="Оборудование"/>
    <x v="19"/>
    <m/>
    <s v="Переезд на скв. №600 кп №6 (со скв. №851 кп №26, 2 рейса, L=15,9 км)."/>
    <n v="5"/>
    <n v="2758.16"/>
    <s v="Работы окончены"/>
    <x v="1"/>
    <m/>
    <m/>
    <m/>
    <m/>
    <m/>
    <m/>
    <n v="2758.16"/>
    <d v="2026-06-02T07:00:00"/>
    <x v="136"/>
    <n v="0.20833333333333334"/>
    <n v="30.666666666666661"/>
    <x v="0"/>
    <n v="5"/>
    <n v="0"/>
    <n v="0"/>
    <n v="0"/>
    <n v="0"/>
    <x v="31"/>
    <d v="1899-12-30T07:00:00"/>
    <d v="2026-06-02T00:00:00"/>
    <d v="1899-12-30T12:00:00"/>
    <x v="8"/>
    <s v="600 ОК– ДПМ Переезд Буровая установка "/>
    <x v="50"/>
    <n v="0.20833333333333334"/>
    <x v="38"/>
  </r>
  <r>
    <s v="ГДТ"/>
    <s v="ЗБС"/>
    <s v="Казанское НГКМ"/>
    <s v="6"/>
    <x v="3"/>
    <x v="4"/>
    <m/>
    <x v="4"/>
    <n v="9"/>
    <s v="9.3"/>
    <m/>
    <x v="0"/>
    <s v="Штатно"/>
    <x v="0"/>
    <x v="1"/>
    <x v="25"/>
    <s v="Оборудование"/>
    <x v="19"/>
    <m/>
    <s v="Переезд на скв. №600 кп №6 (Ʃ5 рейсов, L=15,9 км)."/>
    <n v="4"/>
    <n v="2758.16"/>
    <s v="Работы окончены"/>
    <x v="1"/>
    <m/>
    <m/>
    <m/>
    <m/>
    <m/>
    <m/>
    <n v="0"/>
    <d v="2026-06-02T12:00:00"/>
    <x v="137"/>
    <n v="0.16666666666666666"/>
    <n v="30.833333333333329"/>
    <x v="0"/>
    <n v="4"/>
    <n v="0"/>
    <n v="0"/>
    <n v="0"/>
    <n v="0"/>
    <x v="31"/>
    <d v="1899-12-30T12:00:00"/>
    <d v="2026-06-02T00:00:00"/>
    <d v="1899-12-30T16:00:00"/>
    <x v="8"/>
    <s v="600 ОК– ДПМ Переезд Буровая установка "/>
    <x v="50"/>
    <n v="0.375"/>
    <x v="38"/>
  </r>
  <r>
    <s v="ГДТ"/>
    <s v="ЗБС"/>
    <s v="Казанское НГКМ"/>
    <s v="6"/>
    <x v="3"/>
    <x v="4"/>
    <m/>
    <x v="4"/>
    <n v="9"/>
    <s v="9.4"/>
    <m/>
    <x v="0"/>
    <s v="Штатно"/>
    <x v="0"/>
    <x v="1"/>
    <x v="25"/>
    <s v="Оборудование"/>
    <x v="19"/>
    <m/>
    <s v="Переезд на скв. №600 кп №6 (Ʃ8 рейсов, L=15,9 км)."/>
    <n v="4"/>
    <n v="2758.16"/>
    <s v="Работы окончены"/>
    <x v="1"/>
    <m/>
    <m/>
    <m/>
    <m/>
    <m/>
    <m/>
    <n v="0"/>
    <d v="2026-06-02T16:00:00"/>
    <x v="138"/>
    <n v="0.16666666666666666"/>
    <n v="30.999999999999996"/>
    <x v="0"/>
    <n v="4"/>
    <n v="0"/>
    <n v="0"/>
    <n v="0"/>
    <n v="0"/>
    <x v="31"/>
    <d v="1899-12-30T16:00:00"/>
    <d v="2026-06-02T00:00:00"/>
    <d v="1899-12-30T20:00:00"/>
    <x v="8"/>
    <s v="600 ОК– ДПМ Переезд Буровая установка "/>
    <x v="50"/>
    <n v="0.54166666666666663"/>
    <x v="38"/>
  </r>
  <r>
    <s v="ГДТ"/>
    <s v="ЗБС"/>
    <s v="Казанское НГКМ"/>
    <s v="6"/>
    <x v="3"/>
    <x v="4"/>
    <m/>
    <x v="4"/>
    <n v="9"/>
    <s v="9.5"/>
    <m/>
    <x v="0"/>
    <s v="Штатно"/>
    <x v="0"/>
    <x v="1"/>
    <x v="25"/>
    <s v="Оборудование"/>
    <x v="19"/>
    <m/>
    <s v="Переезд на скв. №600 кп №6 (Ʃ10 рейсов, L=15,9 км)."/>
    <n v="4"/>
    <n v="2758.16"/>
    <s v="Работы окончены"/>
    <x v="1"/>
    <m/>
    <m/>
    <m/>
    <m/>
    <m/>
    <m/>
    <n v="0"/>
    <d v="2026-06-02T20:00:00"/>
    <x v="139"/>
    <n v="0.16666666666666666"/>
    <n v="31.166666666666664"/>
    <x v="0"/>
    <n v="4"/>
    <n v="0"/>
    <n v="0"/>
    <n v="0"/>
    <n v="0"/>
    <x v="31"/>
    <d v="1899-12-30T20:00:00"/>
    <d v="2026-06-03T00:00:00"/>
    <d v="1899-12-31T00:00:00"/>
    <x v="8"/>
    <s v="600 ОК– ДПМ Переезд Буровая установка "/>
    <x v="50"/>
    <n v="0.70833333333333326"/>
    <x v="38"/>
  </r>
  <r>
    <s v="ГДТ"/>
    <s v="ЗБС"/>
    <s v="Казанское НГКМ"/>
    <s v="6"/>
    <x v="3"/>
    <x v="3"/>
    <m/>
    <x v="5"/>
    <n v="10"/>
    <s v="10.1"/>
    <m/>
    <x v="0"/>
    <s v="Штатно"/>
    <x v="0"/>
    <x v="1"/>
    <x v="25"/>
    <s v="Оборудование"/>
    <x v="19"/>
    <m/>
    <s v="Переезд на скв. №600 кп №6 (Ʃ14 рейсов, L=15,9 км). Расстановка и подключение оборудования, установка подставок под кабель."/>
    <n v="7"/>
    <n v="2758.16"/>
    <s v="Работы окончены"/>
    <x v="1"/>
    <m/>
    <m/>
    <m/>
    <m/>
    <m/>
    <m/>
    <n v="0"/>
    <d v="2026-06-03T00:00:00"/>
    <x v="140"/>
    <n v="0.29166666666666669"/>
    <n v="31.458333333333332"/>
    <x v="1"/>
    <n v="2.3299999999999983"/>
    <n v="4.6700000000000017"/>
    <n v="0"/>
    <n v="0"/>
    <n v="4.6700000000000017"/>
    <x v="32"/>
    <d v="1899-12-31T00:00:00"/>
    <d v="2026-06-03T00:00:00"/>
    <d v="1899-12-30T07:00:00"/>
    <x v="9"/>
    <s v="600 ОК– ДПМ Переезд Буровая установка "/>
    <x v="51"/>
    <n v="1"/>
    <x v="38"/>
  </r>
  <r>
    <s v="ГДТ"/>
    <s v="ЗБС"/>
    <s v="Казанское НГКМ"/>
    <s v="6"/>
    <x v="3"/>
    <x v="3"/>
    <m/>
    <x v="4"/>
    <n v="10"/>
    <s v="10.2"/>
    <m/>
    <x v="0"/>
    <s v="Штатно"/>
    <x v="0"/>
    <x v="1"/>
    <x v="10"/>
    <s v="Объекты_устье"/>
    <x v="20"/>
    <m/>
    <s v="Монтаж заземлений 14шт. Демонтаж лубрикаторных площадок. Монтаж линии набора тех. воды. Набор и обработка тех. воды γ-1,01 г/см³ V=19м³."/>
    <n v="5"/>
    <n v="2758.16"/>
    <s v="Работы окончены"/>
    <x v="1"/>
    <m/>
    <m/>
    <m/>
    <m/>
    <m/>
    <m/>
    <n v="0"/>
    <d v="2026-06-03T07:00:00"/>
    <x v="141"/>
    <n v="0.20833333333333334"/>
    <n v="31.666666666666664"/>
    <x v="1"/>
    <n v="0.5"/>
    <n v="4.5"/>
    <n v="0"/>
    <n v="0"/>
    <n v="9.1700000000000017"/>
    <x v="32"/>
    <d v="1899-12-30T07:00:00"/>
    <d v="2026-06-03T00:00:00"/>
    <d v="1899-12-30T12:00:00"/>
    <x v="10"/>
    <s v="600 ОК– ДПМ Демонтаж ФА "/>
    <x v="52"/>
    <n v="0.20833333333333334"/>
    <x v="39"/>
  </r>
  <r>
    <s v="ГДТ"/>
    <s v="ЗБС"/>
    <s v="Казанское НГКМ"/>
    <s v="6"/>
    <x v="3"/>
    <x v="3"/>
    <m/>
    <x v="4"/>
    <n v="10"/>
    <s v="10.3"/>
    <m/>
    <x v="2"/>
    <s v="Орг_простой"/>
    <x v="1"/>
    <x v="2"/>
    <x v="26"/>
    <s v="Оборудование"/>
    <x v="21"/>
    <m/>
    <s v="Набор и обработка тех. воды γ-1,01 г/см³ ƩV=43м³. Приостановление работ (ингибиторная обработка на скв. №342)."/>
    <n v="4"/>
    <n v="2758.16"/>
    <s v="Работы окончены"/>
    <x v="1"/>
    <m/>
    <m/>
    <m/>
    <m/>
    <m/>
    <m/>
    <n v="0"/>
    <d v="2026-06-03T12:00:00"/>
    <x v="142"/>
    <n v="0.16666666666666666"/>
    <n v="31.833333333333332"/>
    <x v="2"/>
    <n v="0"/>
    <n v="0"/>
    <n v="4"/>
    <n v="4"/>
    <n v="9.1700000000000017"/>
    <x v="32"/>
    <d v="1899-12-30T12:00:00"/>
    <d v="2026-06-03T00:00:00"/>
    <d v="1899-12-30T16:00:00"/>
    <x v="10"/>
    <s v="600 ОК– КРС Орг_простой Ожидание разрешения Тех. дежурство Бригада КРС "/>
    <x v="53"/>
    <n v="0.16666666666666666"/>
    <x v="40"/>
  </r>
  <r>
    <s v="ГДТ"/>
    <s v="ЗБС"/>
    <s v="Казанское НГКМ"/>
    <s v="6"/>
    <x v="3"/>
    <x v="3"/>
    <m/>
    <x v="4"/>
    <n v="10"/>
    <s v="10.4"/>
    <m/>
    <x v="2"/>
    <s v="Орг_простой"/>
    <x v="1"/>
    <x v="2"/>
    <x v="26"/>
    <s v="Оборудование"/>
    <x v="21"/>
    <m/>
    <s v="Приостановление работ (ингибиторная обработка, 16:00–19:30ч). Набор тех. воды γ-1,01 г/см³ ƩV=46м³."/>
    <n v="4"/>
    <n v="2758.16"/>
    <s v="Работы окончены"/>
    <x v="1"/>
    <m/>
    <m/>
    <m/>
    <m/>
    <m/>
    <m/>
    <n v="0"/>
    <d v="2026-06-03T16:00:00"/>
    <x v="143"/>
    <n v="0.16666666666666666"/>
    <n v="32"/>
    <x v="2"/>
    <n v="0"/>
    <n v="0"/>
    <n v="4"/>
    <n v="8"/>
    <n v="9.1700000000000017"/>
    <x v="32"/>
    <d v="1899-12-30T16:00:00"/>
    <d v="2026-06-03T00:00:00"/>
    <d v="1899-12-30T20:00:00"/>
    <x v="10"/>
    <s v="600 ОК– КРС Орг_простой Ожидание разрешения Тех. дежурство Бригада КРС "/>
    <x v="53"/>
    <n v="0.33333333333333331"/>
    <x v="40"/>
  </r>
  <r>
    <s v="ГДТ"/>
    <s v="ЗБС"/>
    <s v="Казанское НГКМ"/>
    <s v="6"/>
    <x v="3"/>
    <x v="3"/>
    <m/>
    <x v="4"/>
    <n v="10"/>
    <s v="10.5"/>
    <m/>
    <x v="2"/>
    <s v="Штатно"/>
    <x v="0"/>
    <x v="9"/>
    <x v="18"/>
    <s v="Объекты_промывка_СО"/>
    <x v="13"/>
    <m/>
    <s v="Набор и обработка тех. воды γ-1,01 г/см³ ƩV=59,4м³. Отбор пробы р-ра на анализ. Приготовление р-ра 1,15 г/см³ V=4м³."/>
    <n v="4"/>
    <n v="2758.16"/>
    <s v="Работы окончены"/>
    <x v="1"/>
    <m/>
    <m/>
    <m/>
    <m/>
    <m/>
    <m/>
    <n v="0"/>
    <d v="2026-06-03T20:00:00"/>
    <x v="144"/>
    <n v="0.16666666666666666"/>
    <n v="32.166666666666664"/>
    <x v="0"/>
    <n v="4"/>
    <n v="0"/>
    <n v="0"/>
    <n v="8"/>
    <n v="9.1700000000000017"/>
    <x v="32"/>
    <d v="1899-12-30T20:00:00"/>
    <d v="2026-06-04T00:00:00"/>
    <d v="1899-12-31T00:00:00"/>
    <x v="10"/>
    <s v="600 ОК– КРС Глушение Скважина "/>
    <x v="26"/>
    <n v="0.16666666666666666"/>
    <x v="23"/>
  </r>
  <r>
    <s v="ГДТ"/>
    <s v="ЗБС"/>
    <s v="Казанское НГКМ"/>
    <s v="6"/>
    <x v="3"/>
    <x v="4"/>
    <m/>
    <x v="5"/>
    <n v="11"/>
    <s v="11.1"/>
    <m/>
    <x v="1"/>
    <s v="Штатно"/>
    <x v="0"/>
    <x v="9"/>
    <x v="27"/>
    <s v="Объекты_промывка_СО"/>
    <x v="22"/>
    <m/>
    <s v="Приготовление р-ра глушения 1,15 г/см³, ƩV=18м³."/>
    <n v="7"/>
    <n v="2758.16"/>
    <s v="Работы окончены"/>
    <x v="1"/>
    <m/>
    <m/>
    <m/>
    <m/>
    <m/>
    <m/>
    <n v="0"/>
    <d v="2026-06-04T00:00:00"/>
    <x v="145"/>
    <n v="0.29166666666666669"/>
    <n v="32.458333333333329"/>
    <x v="0"/>
    <n v="7"/>
    <n v="0"/>
    <n v="0"/>
    <n v="8"/>
    <n v="9.1700000000000017"/>
    <x v="33"/>
    <d v="1899-12-31T00:00:00"/>
    <d v="2026-06-04T00:00:00"/>
    <d v="1899-12-30T07:00:00"/>
    <x v="11"/>
    <s v="600 ОК– ПР Приготовление раствора Раствор глушения "/>
    <x v="54"/>
    <n v="0.29166666666666669"/>
    <x v="41"/>
  </r>
  <r>
    <s v="ГДТ"/>
    <s v="ЗБС"/>
    <s v="Казанское НГКМ"/>
    <s v="6"/>
    <x v="3"/>
    <x v="4"/>
    <m/>
    <x v="4"/>
    <n v="11"/>
    <s v="11.2"/>
    <m/>
    <x v="1"/>
    <s v="Штатно"/>
    <x v="0"/>
    <x v="9"/>
    <x v="27"/>
    <s v="Объекты_промывка_СО"/>
    <x v="22"/>
    <m/>
    <s v="Приготовление р-ра глушения 1,15 г/см³, ƩV=28м³."/>
    <n v="5"/>
    <n v="2758.16"/>
    <s v="Работы окончены"/>
    <x v="1"/>
    <m/>
    <m/>
    <m/>
    <m/>
    <m/>
    <m/>
    <n v="0"/>
    <d v="2026-06-04T07:00:00"/>
    <x v="146"/>
    <n v="0.20833333333333334"/>
    <n v="32.666666666666664"/>
    <x v="0"/>
    <n v="5"/>
    <n v="0"/>
    <n v="0"/>
    <n v="8"/>
    <n v="9.1700000000000017"/>
    <x v="33"/>
    <d v="1899-12-30T07:00:00"/>
    <d v="2026-06-04T00:00:00"/>
    <d v="1899-12-30T12:00:00"/>
    <x v="8"/>
    <s v="600 ОК– ПР Приготовление раствора Раствор глушения "/>
    <x v="54"/>
    <n v="0.5"/>
    <x v="41"/>
  </r>
  <r>
    <s v="ГДТ"/>
    <s v="ЗБС"/>
    <s v="Казанское НГКМ"/>
    <s v="6"/>
    <x v="3"/>
    <x v="4"/>
    <m/>
    <x v="4"/>
    <n v="11"/>
    <s v="11.3"/>
    <m/>
    <x v="1"/>
    <s v="Штатно"/>
    <x v="0"/>
    <x v="9"/>
    <x v="27"/>
    <s v="Объекты_промывка_СО"/>
    <x v="22"/>
    <m/>
    <s v="Приготовление р-ра глушения 1,15 г/см³, ƩV=36м³."/>
    <n v="4"/>
    <n v="2758.16"/>
    <s v="Работы окончены"/>
    <x v="1"/>
    <m/>
    <m/>
    <m/>
    <m/>
    <m/>
    <m/>
    <n v="0"/>
    <d v="2026-06-04T12:00:00"/>
    <x v="147"/>
    <n v="0.16666666666666666"/>
    <n v="32.833333333333329"/>
    <x v="0"/>
    <n v="4"/>
    <n v="0"/>
    <n v="0"/>
    <n v="8"/>
    <n v="9.1700000000000017"/>
    <x v="33"/>
    <d v="1899-12-30T12:00:00"/>
    <d v="2026-06-04T00:00:00"/>
    <d v="1899-12-30T16:00:00"/>
    <x v="8"/>
    <s v="600 ОК– ПР Приготовление раствора Раствор глушения "/>
    <x v="54"/>
    <n v="0.66666666666666663"/>
    <x v="41"/>
  </r>
  <r>
    <s v="ГДТ"/>
    <s v="ЗБС"/>
    <s v="Казанское НГКМ"/>
    <s v="6"/>
    <x v="3"/>
    <x v="4"/>
    <m/>
    <x v="4"/>
    <n v="11"/>
    <s v="11.4"/>
    <m/>
    <x v="1"/>
    <s v="Штатно"/>
    <x v="0"/>
    <x v="9"/>
    <x v="27"/>
    <s v="Объекты_промывка_СО"/>
    <x v="22"/>
    <m/>
    <s v="Приготовление р-ра глушения 1,15 г/см³, ƩV=44м³."/>
    <n v="4"/>
    <n v="2758.16"/>
    <s v="Работы окончены"/>
    <x v="1"/>
    <m/>
    <m/>
    <m/>
    <m/>
    <m/>
    <m/>
    <n v="0"/>
    <d v="2026-06-04T16:00:00"/>
    <x v="148"/>
    <n v="0.16666666666666666"/>
    <n v="32.999999999999993"/>
    <x v="0"/>
    <n v="4"/>
    <n v="0"/>
    <n v="0"/>
    <n v="8"/>
    <n v="9.1700000000000017"/>
    <x v="33"/>
    <d v="1899-12-30T16:00:00"/>
    <d v="2026-06-04T00:00:00"/>
    <d v="1899-12-30T20:00:00"/>
    <x v="8"/>
    <s v="600 ОК– ПР Приготовление раствора Раствор глушения "/>
    <x v="54"/>
    <n v="0.83333333333333326"/>
    <x v="41"/>
  </r>
  <r>
    <s v="ГДТ"/>
    <s v="ЗБС"/>
    <s v="Казанское НГКМ"/>
    <s v="6"/>
    <x v="3"/>
    <x v="4"/>
    <m/>
    <x v="4"/>
    <n v="11"/>
    <s v="11.5"/>
    <m/>
    <x v="1"/>
    <s v="Штатно"/>
    <x v="0"/>
    <x v="9"/>
    <x v="27"/>
    <s v="Объекты_промывка_СО"/>
    <x v="22"/>
    <m/>
    <s v="Приготовление р-ра глушения 1,15 г/см³, ƩV=52м³."/>
    <n v="4"/>
    <n v="2758.16"/>
    <s v="Работы окончены"/>
    <x v="1"/>
    <m/>
    <m/>
    <m/>
    <m/>
    <m/>
    <m/>
    <n v="0"/>
    <d v="2026-06-04T20:00:00"/>
    <x v="149"/>
    <n v="0.16666666666666666"/>
    <n v="33.166666666666657"/>
    <x v="0"/>
    <n v="4"/>
    <n v="0"/>
    <n v="0"/>
    <n v="8"/>
    <n v="9.1700000000000017"/>
    <x v="33"/>
    <d v="1899-12-30T20:00:00"/>
    <d v="2026-06-05T00:00:00"/>
    <d v="1899-12-31T00:00:00"/>
    <x v="8"/>
    <s v="600 ОК– ПР Приготовление раствора Раствор глушения "/>
    <x v="54"/>
    <n v="0.99999999999999989"/>
    <x v="41"/>
  </r>
  <r>
    <s v="ГДТ"/>
    <s v="ЗБС"/>
    <s v="Казанское НГКМ"/>
    <s v="6"/>
    <x v="3"/>
    <x v="3"/>
    <m/>
    <x v="5"/>
    <n v="12"/>
    <s v="12.1"/>
    <m/>
    <x v="1"/>
    <s v="Штатно"/>
    <x v="0"/>
    <x v="9"/>
    <x v="27"/>
    <s v="Объекты_промывка_СО"/>
    <x v="22"/>
    <m/>
    <s v="Приготовление р-ра глушения 1,15 г/см³, ƩV=66м³."/>
    <n v="7"/>
    <n v="2758.16"/>
    <s v="Работы окончены"/>
    <x v="1"/>
    <m/>
    <m/>
    <m/>
    <m/>
    <m/>
    <m/>
    <n v="0"/>
    <d v="2026-06-05T00:00:00"/>
    <x v="150"/>
    <n v="0.29166666666666669"/>
    <n v="33.458333333333321"/>
    <x v="0"/>
    <n v="7"/>
    <n v="0"/>
    <n v="0"/>
    <n v="8"/>
    <n v="9.1700000000000017"/>
    <x v="34"/>
    <d v="1899-12-31T00:00:00"/>
    <d v="2026-06-05T00:00:00"/>
    <d v="1899-12-30T07:00:00"/>
    <x v="9"/>
    <s v="600 ОК– ПР Приготовление раствора Раствор глушения "/>
    <x v="54"/>
    <n v="1.2916666666666665"/>
    <x v="41"/>
  </r>
  <r>
    <s v="ГДТ"/>
    <s v="ЗБС"/>
    <s v="Казанское НГКМ"/>
    <s v="6"/>
    <x v="3"/>
    <x v="3"/>
    <m/>
    <x v="4"/>
    <n v="12"/>
    <s v="12.2"/>
    <m/>
    <x v="1"/>
    <s v="Штатно"/>
    <x v="0"/>
    <x v="9"/>
    <x v="27"/>
    <s v="Объекты_промывка_СО"/>
    <x v="22"/>
    <m/>
    <s v="Приготовление р-ра глушения 1,15 г/см³, ƩV=76м³."/>
    <n v="5"/>
    <n v="2758.16"/>
    <s v="Работы окончены"/>
    <x v="1"/>
    <m/>
    <m/>
    <m/>
    <m/>
    <m/>
    <m/>
    <n v="0"/>
    <d v="2026-06-05T07:00:00"/>
    <x v="151"/>
    <n v="0.20833333333333334"/>
    <n v="33.666666666666657"/>
    <x v="0"/>
    <n v="5"/>
    <n v="0"/>
    <n v="0"/>
    <n v="8"/>
    <n v="9.1700000000000017"/>
    <x v="34"/>
    <d v="1899-12-30T07:00:00"/>
    <d v="2026-06-05T00:00:00"/>
    <d v="1899-12-30T12:00:00"/>
    <x v="10"/>
    <s v="600 ОК– ПР Приготовление раствора Раствор глушения "/>
    <x v="54"/>
    <n v="1.4999999999999998"/>
    <x v="41"/>
  </r>
  <r>
    <s v="ГДТ"/>
    <s v="ЗБС"/>
    <s v="Казанское НГКМ"/>
    <s v="6"/>
    <x v="3"/>
    <x v="3"/>
    <m/>
    <x v="4"/>
    <n v="12"/>
    <s v="12.3"/>
    <m/>
    <x v="1"/>
    <s v="Штатно"/>
    <x v="0"/>
    <x v="9"/>
    <x v="27"/>
    <s v="Объекты_промывка_СО"/>
    <x v="22"/>
    <m/>
    <s v="Приготовление р-ра глушения 1,15 г/см³, ƩV=84м³."/>
    <n v="4"/>
    <n v="2758.16"/>
    <s v="Работы окончены"/>
    <x v="1"/>
    <m/>
    <m/>
    <m/>
    <m/>
    <m/>
    <m/>
    <n v="0"/>
    <d v="2026-06-05T12:00:00"/>
    <x v="152"/>
    <n v="0.16666666666666666"/>
    <n v="33.833333333333321"/>
    <x v="0"/>
    <n v="4"/>
    <n v="0"/>
    <n v="0"/>
    <n v="8"/>
    <n v="9.1700000000000017"/>
    <x v="34"/>
    <d v="1899-12-30T12:00:00"/>
    <d v="2026-06-05T00:00:00"/>
    <d v="1899-12-30T16:00:00"/>
    <x v="10"/>
    <s v="600 ОК– ПР Приготовление раствора Раствор глушения "/>
    <x v="54"/>
    <n v="1.6666666666666665"/>
    <x v="41"/>
  </r>
  <r>
    <s v="ГДТ"/>
    <s v="ЗБС"/>
    <s v="Казанское НГКМ"/>
    <s v="6"/>
    <x v="3"/>
    <x v="3"/>
    <m/>
    <x v="4"/>
    <n v="12"/>
    <s v="12.4"/>
    <m/>
    <x v="2"/>
    <s v="Орг_простой"/>
    <x v="1"/>
    <x v="2"/>
    <x v="26"/>
    <s v="Оборудование"/>
    <x v="21"/>
    <m/>
    <s v="Приготовление р-ра глушения 1,15 г/см³, ƩV=95,4м³. Монтаж и опрессовка нагнет. линий на 18МПа. Начало доукомплектации БД."/>
    <n v="4"/>
    <n v="2758.16"/>
    <s v="Работы окончены"/>
    <x v="1"/>
    <m/>
    <m/>
    <m/>
    <m/>
    <m/>
    <m/>
    <n v="0"/>
    <d v="2026-06-05T16:00:00"/>
    <x v="153"/>
    <n v="0.16666666666666666"/>
    <n v="33.999999999999986"/>
    <x v="2"/>
    <n v="0"/>
    <n v="0"/>
    <n v="4"/>
    <n v="12"/>
    <n v="9.1700000000000017"/>
    <x v="34"/>
    <d v="1899-12-30T16:00:00"/>
    <d v="2026-06-05T00:00:00"/>
    <d v="1899-12-30T20:00:00"/>
    <x v="10"/>
    <s v="600 ОК– КРС Орг_простой Ожидание разрешения Тех. дежурство Бригада КРС "/>
    <x v="53"/>
    <n v="0.5"/>
    <x v="40"/>
  </r>
  <r>
    <s v="ГДТ"/>
    <s v="ЗБС"/>
    <s v="Казанское НГКМ"/>
    <s v="6"/>
    <x v="3"/>
    <x v="3"/>
    <m/>
    <x v="4"/>
    <n v="12"/>
    <s v="12.5"/>
    <m/>
    <x v="2"/>
    <s v="Орг_простой"/>
    <x v="1"/>
    <x v="2"/>
    <x v="26"/>
    <s v="Оборудование"/>
    <x v="21"/>
    <m/>
    <s v="Доукомплектация БД (ожидание оборудования)."/>
    <n v="4"/>
    <n v="2758.16"/>
    <s v="Работы окончены"/>
    <x v="1"/>
    <m/>
    <m/>
    <m/>
    <m/>
    <m/>
    <m/>
    <n v="0"/>
    <d v="2026-06-05T20:00:00"/>
    <x v="154"/>
    <n v="0.16666666666666666"/>
    <n v="34.16666666666665"/>
    <x v="2"/>
    <n v="0"/>
    <n v="0"/>
    <n v="4"/>
    <n v="16"/>
    <n v="9.1700000000000017"/>
    <x v="34"/>
    <d v="1899-12-30T20:00:00"/>
    <d v="2026-06-06T00:00:00"/>
    <d v="1899-12-31T00:00:00"/>
    <x v="10"/>
    <s v="600 ОК– КРС Орг_простой Ожидание разрешения Тех. дежурство Бригада КРС "/>
    <x v="53"/>
    <n v="0.66666666666666663"/>
    <x v="40"/>
  </r>
  <r>
    <s v="ГДТ"/>
    <s v="ЗБС"/>
    <s v="Казанское НГКМ"/>
    <s v="6"/>
    <x v="3"/>
    <x v="4"/>
    <m/>
    <x v="5"/>
    <n v="13"/>
    <s v="13.1"/>
    <m/>
    <x v="2"/>
    <s v="Орг_простой"/>
    <x v="1"/>
    <x v="2"/>
    <x v="26"/>
    <s v="Оборудование"/>
    <x v="21"/>
    <m/>
    <s v="Доукомплектация БД (ожидание оборудования)."/>
    <n v="7"/>
    <n v="2758.16"/>
    <s v="Работы окончены"/>
    <x v="1"/>
    <m/>
    <m/>
    <m/>
    <m/>
    <m/>
    <m/>
    <n v="0"/>
    <d v="2026-06-06T00:00:00"/>
    <x v="155"/>
    <n v="0.29166666666666669"/>
    <n v="34.458333333333314"/>
    <x v="2"/>
    <n v="0"/>
    <n v="0"/>
    <n v="7"/>
    <n v="23"/>
    <n v="9.1700000000000017"/>
    <x v="35"/>
    <d v="1899-12-31T00:00:00"/>
    <d v="2026-06-06T00:00:00"/>
    <d v="1899-12-30T07:00:00"/>
    <x v="11"/>
    <s v="600 ОК– КРС Орг_простой Ожидание разрешения Тех. дежурство Бригада КРС "/>
    <x v="53"/>
    <n v="0.95833333333333326"/>
    <x v="40"/>
  </r>
  <r>
    <s v="ГДТ"/>
    <s v="ЗБС"/>
    <s v="Казанское НГКМ"/>
    <s v="6"/>
    <x v="3"/>
    <x v="4"/>
    <m/>
    <x v="4"/>
    <n v="13"/>
    <s v="13.2"/>
    <m/>
    <x v="2"/>
    <s v="Орг_простой"/>
    <x v="1"/>
    <x v="2"/>
    <x v="26"/>
    <s v="Оборудование"/>
    <x v="21"/>
    <m/>
    <s v="Доукомплектация БД (продолжается)."/>
    <n v="5"/>
    <n v="2758.16"/>
    <s v="Работы окончены"/>
    <x v="1"/>
    <m/>
    <m/>
    <m/>
    <m/>
    <m/>
    <m/>
    <n v="0"/>
    <d v="2026-06-06T07:00:00"/>
    <x v="156"/>
    <n v="0.20833333333333334"/>
    <n v="34.66666666666665"/>
    <x v="2"/>
    <n v="0"/>
    <n v="0"/>
    <n v="5"/>
    <n v="28"/>
    <n v="9.1700000000000017"/>
    <x v="35"/>
    <d v="1899-12-30T07:00:00"/>
    <d v="2026-06-06T00:00:00"/>
    <d v="1899-12-30T12:00:00"/>
    <x v="8"/>
    <s v="600 ОК– КРС Орг_простой Ожидание разрешения Тех. дежурство Бригада КРС "/>
    <x v="53"/>
    <n v="1.1666666666666665"/>
    <x v="40"/>
  </r>
  <r>
    <s v="ГДТ"/>
    <s v="ЗБС"/>
    <s v="Казанское НГКМ"/>
    <s v="6"/>
    <x v="3"/>
    <x v="4"/>
    <m/>
    <x v="4"/>
    <n v="13"/>
    <s v="13.3"/>
    <m/>
    <x v="2"/>
    <s v="Орг_простой"/>
    <x v="1"/>
    <x v="2"/>
    <x v="26"/>
    <s v="Оборудование"/>
    <x v="21"/>
    <m/>
    <s v="Доукомплектация БД (продолжается)."/>
    <n v="4"/>
    <n v="2758.16"/>
    <s v="Работы окончены"/>
    <x v="1"/>
    <m/>
    <m/>
    <m/>
    <m/>
    <m/>
    <m/>
    <n v="0"/>
    <d v="2026-06-06T12:00:00"/>
    <x v="157"/>
    <n v="0.16666666666666666"/>
    <n v="34.833333333333314"/>
    <x v="2"/>
    <n v="0"/>
    <n v="0"/>
    <n v="4"/>
    <n v="32"/>
    <n v="9.1700000000000017"/>
    <x v="35"/>
    <d v="1899-12-30T12:00:00"/>
    <d v="2026-06-06T00:00:00"/>
    <d v="1899-12-30T16:00:00"/>
    <x v="8"/>
    <s v="600 ОК– КРС Орг_простой Ожидание разрешения Тех. дежурство Бригада КРС "/>
    <x v="53"/>
    <n v="1.3333333333333333"/>
    <x v="40"/>
  </r>
  <r>
    <s v="ГДТ"/>
    <s v="ЗБС"/>
    <s v="Казанское НГКМ"/>
    <s v="6"/>
    <x v="3"/>
    <x v="4"/>
    <m/>
    <x v="4"/>
    <n v="13"/>
    <s v="13.4"/>
    <m/>
    <x v="2"/>
    <s v="Орг_простой"/>
    <x v="1"/>
    <x v="2"/>
    <x v="26"/>
    <s v="Оборудование"/>
    <x v="21"/>
    <m/>
    <s v="Доукомплектация БД. С 19:30ч монтаж выкидной линии."/>
    <n v="4"/>
    <n v="2758.16"/>
    <s v="Работы окончены"/>
    <x v="1"/>
    <m/>
    <m/>
    <m/>
    <m/>
    <m/>
    <m/>
    <n v="0"/>
    <d v="2026-06-06T16:00:00"/>
    <x v="158"/>
    <n v="0.16666666666666666"/>
    <n v="34.999999999999979"/>
    <x v="2"/>
    <n v="0"/>
    <n v="0"/>
    <n v="4"/>
    <n v="36"/>
    <n v="9.1700000000000017"/>
    <x v="35"/>
    <d v="1899-12-30T16:00:00"/>
    <d v="2026-06-06T00:00:00"/>
    <d v="1899-12-30T20:00:00"/>
    <x v="8"/>
    <s v="600 ОК– КРС Орг_простой Ожидание разрешения Тех. дежурство Бригада КРС "/>
    <x v="53"/>
    <n v="1.5"/>
    <x v="40"/>
  </r>
  <r>
    <s v="ГДТ"/>
    <s v="ЗБС"/>
    <s v="Казанское НГКМ"/>
    <s v="6"/>
    <x v="3"/>
    <x v="4"/>
    <m/>
    <x v="4"/>
    <n v="13"/>
    <s v="13.5"/>
    <m/>
    <x v="1"/>
    <s v="Штатно"/>
    <x v="0"/>
    <x v="1"/>
    <x v="1"/>
    <s v="Объекты_устье"/>
    <x v="23"/>
    <m/>
    <s v="Монтаж выкидной линии ƩL=30м."/>
    <n v="4"/>
    <n v="2758.16"/>
    <s v="Работы окончены"/>
    <x v="1"/>
    <m/>
    <m/>
    <m/>
    <m/>
    <m/>
    <m/>
    <n v="0"/>
    <d v="2026-06-06T20:00:00"/>
    <x v="159"/>
    <n v="0.16666666666666666"/>
    <n v="35.166666666666643"/>
    <x v="0"/>
    <n v="4"/>
    <n v="0"/>
    <n v="0"/>
    <n v="36"/>
    <n v="9.1700000000000017"/>
    <x v="35"/>
    <d v="1899-12-30T20:00:00"/>
    <d v="2026-06-07T00:00:00"/>
    <d v="1899-12-31T00:00:00"/>
    <x v="8"/>
    <s v="600 ОК– ПР Монтаж Блок дросселирования "/>
    <x v="55"/>
    <n v="0.16666666666666666"/>
    <x v="42"/>
  </r>
  <r>
    <s v="ГДТ"/>
    <s v="ЗБС"/>
    <s v="Казанское НГКМ"/>
    <s v="6"/>
    <x v="3"/>
    <x v="3"/>
    <m/>
    <x v="5"/>
    <n v="14"/>
    <s v="14.1"/>
    <m/>
    <x v="1"/>
    <s v="Штатно"/>
    <x v="0"/>
    <x v="1"/>
    <x v="1"/>
    <s v="Объекты_устье"/>
    <x v="23"/>
    <m/>
    <s v="Монтаж выкидной линии ƩL=100м."/>
    <n v="7"/>
    <n v="2758.16"/>
    <s v="Работы окончены"/>
    <x v="1"/>
    <m/>
    <m/>
    <m/>
    <m/>
    <m/>
    <m/>
    <n v="0"/>
    <d v="2026-06-07T00:00:00"/>
    <x v="160"/>
    <n v="0.29166666666666669"/>
    <n v="35.458333333333307"/>
    <x v="0"/>
    <n v="7"/>
    <n v="0"/>
    <n v="0"/>
    <n v="36"/>
    <n v="9.1700000000000017"/>
    <x v="36"/>
    <d v="1899-12-31T00:00:00"/>
    <d v="2026-06-07T00:00:00"/>
    <d v="1899-12-30T07:00:00"/>
    <x v="9"/>
    <s v="600 ОК– ПР Монтаж Блок дросселирования "/>
    <x v="55"/>
    <n v="0.45833333333333337"/>
    <x v="42"/>
  </r>
  <r>
    <s v="ГДТ"/>
    <s v="ЗБС"/>
    <s v="Казанское НГКМ"/>
    <s v="6"/>
    <x v="3"/>
    <x v="3"/>
    <m/>
    <x v="4"/>
    <n v="14"/>
    <s v="14.2"/>
    <m/>
    <x v="1"/>
    <s v="Штатно"/>
    <x v="0"/>
    <x v="1"/>
    <x v="1"/>
    <s v="Объекты_устье"/>
    <x v="23"/>
    <m/>
    <s v="Монтаж выкидной линии ƩL=170м."/>
    <n v="5"/>
    <n v="2758.16"/>
    <s v="Работы окончены"/>
    <x v="1"/>
    <m/>
    <m/>
    <m/>
    <m/>
    <m/>
    <m/>
    <n v="0"/>
    <d v="2026-06-07T07:00:00"/>
    <x v="161"/>
    <n v="0.20833333333333334"/>
    <n v="35.666666666666643"/>
    <x v="0"/>
    <n v="5"/>
    <n v="0"/>
    <n v="0"/>
    <n v="36"/>
    <n v="9.1700000000000017"/>
    <x v="36"/>
    <d v="1899-12-30T07:00:00"/>
    <d v="2026-06-07T00:00:00"/>
    <d v="1899-12-30T12:00:00"/>
    <x v="10"/>
    <s v="600 ОК– ПР Монтаж Блок дросселирования "/>
    <x v="55"/>
    <n v="0.66666666666666674"/>
    <x v="42"/>
  </r>
  <r>
    <s v="ГДТ"/>
    <s v="ЗБС"/>
    <s v="Казанское НГКМ"/>
    <s v="6"/>
    <x v="3"/>
    <x v="3"/>
    <m/>
    <x v="4"/>
    <n v="14"/>
    <s v="14.3"/>
    <m/>
    <x v="1"/>
    <s v="Штатно"/>
    <x v="0"/>
    <x v="1"/>
    <x v="1"/>
    <s v="Объекты_устье"/>
    <x v="23"/>
    <m/>
    <s v="Монтаж выкидной линии ƩL=210м."/>
    <n v="4"/>
    <n v="2758.16"/>
    <s v="Работы окончены"/>
    <x v="1"/>
    <m/>
    <m/>
    <m/>
    <m/>
    <m/>
    <m/>
    <n v="0"/>
    <d v="2026-06-07T12:00:00"/>
    <x v="162"/>
    <n v="0.16666666666666666"/>
    <n v="35.833333333333307"/>
    <x v="1"/>
    <n v="3.0000000000001137E-2"/>
    <n v="3.9699999999999989"/>
    <n v="0"/>
    <n v="36"/>
    <n v="13.14"/>
    <x v="36"/>
    <d v="1899-12-30T12:00:00"/>
    <d v="2026-06-07T00:00:00"/>
    <d v="1899-12-30T16:00:00"/>
    <x v="10"/>
    <s v="600 ОК– ПР Монтаж Блок дросселирования "/>
    <x v="56"/>
    <n v="0.83333333333333337"/>
    <x v="42"/>
  </r>
  <r>
    <s v="ГДТ"/>
    <s v="ЗБС"/>
    <s v="Казанское НГКМ"/>
    <s v="6"/>
    <x v="3"/>
    <x v="3"/>
    <m/>
    <x v="4"/>
    <n v="14"/>
    <s v="14.4"/>
    <m/>
    <x v="1"/>
    <s v="Штатно"/>
    <x v="0"/>
    <x v="1"/>
    <x v="1"/>
    <s v="Объекты_устье"/>
    <x v="23"/>
    <m/>
    <s v="Монтаж выкидной линии ƩL=235м."/>
    <n v="4"/>
    <n v="2758.16"/>
    <s v="Работы окончены"/>
    <x v="1"/>
    <m/>
    <m/>
    <m/>
    <m/>
    <m/>
    <m/>
    <n v="0"/>
    <d v="2026-06-07T16:00:00"/>
    <x v="163"/>
    <n v="0.16666666666666666"/>
    <n v="35.999999999999972"/>
    <x v="1"/>
    <n v="0"/>
    <n v="4"/>
    <n v="0"/>
    <n v="36"/>
    <n v="17.14"/>
    <x v="36"/>
    <d v="1899-12-30T16:00:00"/>
    <d v="2026-06-07T00:00:00"/>
    <d v="1899-12-30T20:00:00"/>
    <x v="10"/>
    <s v="600 ОК– ПР Монтаж Блок дросселирования "/>
    <x v="56"/>
    <n v="1"/>
    <x v="42"/>
  </r>
  <r>
    <s v="ГДТ"/>
    <s v="ЗБС"/>
    <s v="Казанское НГКМ"/>
    <s v="6"/>
    <x v="3"/>
    <x v="3"/>
    <m/>
    <x v="4"/>
    <n v="14"/>
    <s v="14.5"/>
    <m/>
    <x v="1"/>
    <s v="Штатно"/>
    <x v="0"/>
    <x v="1"/>
    <x v="1"/>
    <s v="Объекты_устье"/>
    <x v="23"/>
    <m/>
    <s v="Монтаж БД (продолжается)."/>
    <n v="4"/>
    <n v="2758.16"/>
    <s v="Работы окончены"/>
    <x v="1"/>
    <m/>
    <m/>
    <m/>
    <m/>
    <m/>
    <m/>
    <n v="0"/>
    <d v="2026-06-07T20:00:00"/>
    <x v="164"/>
    <n v="0.16666666666666666"/>
    <n v="36.166666666666636"/>
    <x v="1"/>
    <n v="0"/>
    <n v="4"/>
    <n v="0"/>
    <n v="36"/>
    <n v="21.14"/>
    <x v="36"/>
    <d v="1899-12-30T20:00:00"/>
    <d v="2026-06-08T00:00:00"/>
    <d v="1899-12-31T00:00:00"/>
    <x v="10"/>
    <s v="600 ОК– ПР Монтаж Блок дросселирования "/>
    <x v="56"/>
    <n v="1.1666666666666667"/>
    <x v="42"/>
  </r>
  <r>
    <s v="ГДТ"/>
    <s v="ЗБС"/>
    <s v="Казанское НГКМ"/>
    <s v="6"/>
    <x v="3"/>
    <x v="4"/>
    <m/>
    <x v="5"/>
    <n v="15"/>
    <s v="15.1"/>
    <m/>
    <x v="1"/>
    <s v="Штатно"/>
    <x v="0"/>
    <x v="9"/>
    <x v="16"/>
    <s v="Объекты_устье"/>
    <x v="23"/>
    <m/>
    <s v="Опрессовка выкидной линии 5МПа — герметично. Монтаж БД (продолжается)."/>
    <n v="7"/>
    <n v="2758.16"/>
    <s v="Работы окончены"/>
    <x v="1"/>
    <m/>
    <m/>
    <m/>
    <m/>
    <m/>
    <m/>
    <n v="0"/>
    <d v="2026-06-08T00:00:00"/>
    <x v="165"/>
    <n v="0.29166666666666669"/>
    <n v="36.4583333333333"/>
    <x v="2"/>
    <n v="0"/>
    <n v="0"/>
    <n v="7"/>
    <n v="43"/>
    <n v="21.14"/>
    <x v="37"/>
    <d v="1899-12-31T00:00:00"/>
    <d v="2026-06-08T00:00:00"/>
    <d v="1899-12-30T07:00:00"/>
    <x v="11"/>
    <s v="600 ОК– ПР Опрессовка Блок дросселирования "/>
    <x v="57"/>
    <n v="0.29166666666666669"/>
    <x v="43"/>
  </r>
  <r>
    <s v="ГДТ"/>
    <s v="ЗБС"/>
    <s v="Казанское НГКМ"/>
    <s v="6"/>
    <x v="3"/>
    <x v="4"/>
    <m/>
    <x v="4"/>
    <n v="15"/>
    <s v="15.2"/>
    <m/>
    <x v="1"/>
    <s v="Штатно"/>
    <x v="0"/>
    <x v="1"/>
    <x v="1"/>
    <s v="Объекты_устье"/>
    <x v="23"/>
    <m/>
    <s v="Монтаж БД (продолжается)."/>
    <n v="5"/>
    <n v="2758.16"/>
    <s v="Работы окончены"/>
    <x v="1"/>
    <m/>
    <m/>
    <m/>
    <m/>
    <m/>
    <m/>
    <n v="0"/>
    <d v="2026-06-08T07:00:00"/>
    <x v="166"/>
    <n v="0.20833333333333334"/>
    <n v="36.666666666666636"/>
    <x v="1"/>
    <n v="0"/>
    <n v="5"/>
    <n v="0"/>
    <n v="43"/>
    <n v="26.14"/>
    <x v="37"/>
    <d v="1899-12-30T07:00:00"/>
    <d v="2026-06-08T00:00:00"/>
    <d v="1899-12-30T12:00:00"/>
    <x v="8"/>
    <s v="600 ОК– ПР Монтаж Блок дросселирования "/>
    <x v="56"/>
    <n v="1.375"/>
    <x v="42"/>
  </r>
  <r>
    <s v="ГДТ"/>
    <s v="ЗБС"/>
    <s v="Казанское НГКМ"/>
    <s v="6"/>
    <x v="3"/>
    <x v="4"/>
    <m/>
    <x v="4"/>
    <n v="15"/>
    <s v="15.3"/>
    <m/>
    <x v="1"/>
    <s v="Штатно"/>
    <x v="0"/>
    <x v="1"/>
    <x v="1"/>
    <s v="Объекты_устье"/>
    <x v="23"/>
    <m/>
    <s v="Монтаж БД (продолжается)."/>
    <n v="4"/>
    <n v="2758.16"/>
    <s v="Работы окончены"/>
    <x v="1"/>
    <m/>
    <m/>
    <m/>
    <m/>
    <m/>
    <m/>
    <n v="0"/>
    <d v="2026-06-08T12:00:00"/>
    <x v="167"/>
    <n v="0.16666666666666666"/>
    <n v="36.8333333333333"/>
    <x v="1"/>
    <n v="0"/>
    <n v="4"/>
    <n v="0"/>
    <n v="43"/>
    <n v="30.14"/>
    <x v="37"/>
    <d v="1899-12-30T12:00:00"/>
    <d v="2026-06-08T00:00:00"/>
    <d v="1899-12-30T16:00:00"/>
    <x v="8"/>
    <s v="600 ОК– ПР Монтаж Блок дросселирования "/>
    <x v="56"/>
    <n v="1.5416666666666667"/>
    <x v="42"/>
  </r>
  <r>
    <s v="ГДТ"/>
    <s v="ЗБС"/>
    <s v="Казанское НГКМ"/>
    <s v="6"/>
    <x v="3"/>
    <x v="4"/>
    <m/>
    <x v="4"/>
    <n v="15"/>
    <s v="15.4"/>
    <m/>
    <x v="1"/>
    <s v="Штатно"/>
    <x v="0"/>
    <x v="1"/>
    <x v="1"/>
    <s v="Объекты_устье"/>
    <x v="23"/>
    <m/>
    <s v="Монтаж БД (продолжается)."/>
    <n v="4"/>
    <n v="2758.16"/>
    <s v="Работы окончены"/>
    <x v="1"/>
    <m/>
    <m/>
    <m/>
    <m/>
    <m/>
    <m/>
    <n v="0"/>
    <d v="2026-06-08T16:00:00"/>
    <x v="168"/>
    <n v="0.16666666666666666"/>
    <n v="36.999999999999964"/>
    <x v="1"/>
    <n v="0"/>
    <n v="4"/>
    <n v="0"/>
    <n v="43"/>
    <n v="34.14"/>
    <x v="37"/>
    <d v="1899-12-30T16:00:00"/>
    <d v="2026-06-08T00:00:00"/>
    <d v="1899-12-30T20:00:00"/>
    <x v="8"/>
    <s v="600 ОК– ПР Монтаж Блок дросселирования "/>
    <x v="56"/>
    <n v="1.7083333333333335"/>
    <x v="42"/>
  </r>
  <r>
    <s v="ГДТ"/>
    <s v="ЗБС"/>
    <s v="Казанское НГКМ"/>
    <s v="6"/>
    <x v="3"/>
    <x v="4"/>
    <m/>
    <x v="4"/>
    <n v="15"/>
    <s v="15.5"/>
    <m/>
    <x v="1"/>
    <s v="Штатно"/>
    <x v="0"/>
    <x v="1"/>
    <x v="1"/>
    <s v="Объекты_устье"/>
    <x v="23"/>
    <m/>
    <s v="Монтаж БД (продолжается)."/>
    <n v="4"/>
    <n v="2758.16"/>
    <s v="Работы окончены"/>
    <x v="1"/>
    <m/>
    <m/>
    <m/>
    <m/>
    <m/>
    <m/>
    <n v="0"/>
    <d v="2026-06-08T20:00:00"/>
    <x v="169"/>
    <n v="0.16666666666666666"/>
    <n v="37.166666666666629"/>
    <x v="1"/>
    <n v="0"/>
    <n v="4"/>
    <n v="0"/>
    <n v="43"/>
    <n v="38.14"/>
    <x v="37"/>
    <d v="1899-12-30T20:00:00"/>
    <d v="2026-06-09T00:00:00"/>
    <d v="1899-12-31T00:00:00"/>
    <x v="8"/>
    <s v="600 ОК– ПР Монтаж Блок дросселирования "/>
    <x v="56"/>
    <n v="1.8750000000000002"/>
    <x v="42"/>
  </r>
  <r>
    <s v="ГДТ"/>
    <s v="ЗБС"/>
    <s v="Казанское НГКМ"/>
    <s v="6"/>
    <x v="3"/>
    <x v="3"/>
    <m/>
    <x v="5"/>
    <n v="16"/>
    <s v="16.1"/>
    <m/>
    <x v="1"/>
    <s v="Штатно"/>
    <x v="0"/>
    <x v="1"/>
    <x v="1"/>
    <s v="Объекты_устье"/>
    <x v="23"/>
    <m/>
    <s v="Монтаж БД (продолжается)."/>
    <n v="7"/>
    <n v="2758.16"/>
    <s v="Работы окончены"/>
    <x v="1"/>
    <m/>
    <m/>
    <m/>
    <m/>
    <m/>
    <m/>
    <n v="0"/>
    <d v="2026-06-09T00:00:00"/>
    <x v="170"/>
    <n v="0.29166666666666669"/>
    <n v="37.458333333333293"/>
    <x v="1"/>
    <n v="0"/>
    <n v="7"/>
    <n v="0"/>
    <n v="43"/>
    <n v="45.14"/>
    <x v="38"/>
    <d v="1899-12-31T00:00:00"/>
    <d v="2026-06-09T00:00:00"/>
    <d v="1899-12-30T07:00:00"/>
    <x v="9"/>
    <s v="600 ОК– ПР Монтаж Блок дросселирования "/>
    <x v="56"/>
    <n v="2.166666666666667"/>
    <x v="42"/>
  </r>
  <r>
    <s v="ГДТ"/>
    <s v="ЗБС"/>
    <s v="Казанское НГКМ"/>
    <s v="6"/>
    <x v="3"/>
    <x v="3"/>
    <m/>
    <x v="4"/>
    <n v="16"/>
    <s v="16.2"/>
    <m/>
    <x v="1"/>
    <s v="Штатно"/>
    <x v="0"/>
    <x v="1"/>
    <x v="1"/>
    <s v="Объекты_устье"/>
    <x v="23"/>
    <m/>
    <s v="Монтаж БД (продолжается)."/>
    <n v="5"/>
    <n v="2758.16"/>
    <s v="Работы окончены"/>
    <x v="1"/>
    <m/>
    <m/>
    <m/>
    <m/>
    <m/>
    <m/>
    <n v="0"/>
    <d v="2026-06-09T07:00:00"/>
    <x v="171"/>
    <n v="0.20833333333333334"/>
    <n v="37.666666666666629"/>
    <x v="1"/>
    <n v="0"/>
    <n v="5"/>
    <n v="0"/>
    <n v="43"/>
    <n v="50.14"/>
    <x v="38"/>
    <d v="1899-12-30T07:00:00"/>
    <d v="2026-06-09T00:00:00"/>
    <d v="1899-12-30T12:00:00"/>
    <x v="10"/>
    <s v="600 ОК– ПР Монтаж Блок дросселирования "/>
    <x v="56"/>
    <n v="2.3750000000000004"/>
    <x v="42"/>
  </r>
  <r>
    <s v="ГДТ"/>
    <s v="ЗБС"/>
    <s v="Казанское НГКМ"/>
    <s v="6"/>
    <x v="3"/>
    <x v="3"/>
    <m/>
    <x v="4"/>
    <n v="16"/>
    <s v="16.3"/>
    <m/>
    <x v="1"/>
    <s v="Штатно"/>
    <x v="0"/>
    <x v="1"/>
    <x v="1"/>
    <s v="Объекты_устье"/>
    <x v="23"/>
    <m/>
    <s v="Монтаж БД (продолжается)."/>
    <n v="4"/>
    <n v="2758.16"/>
    <s v="Работы окончены"/>
    <x v="1"/>
    <m/>
    <m/>
    <m/>
    <m/>
    <m/>
    <m/>
    <n v="0"/>
    <d v="2026-06-09T12:00:00"/>
    <x v="172"/>
    <n v="0.16666666666666666"/>
    <n v="37.833333333333293"/>
    <x v="1"/>
    <n v="0"/>
    <n v="4"/>
    <n v="0"/>
    <n v="43"/>
    <n v="54.14"/>
    <x v="38"/>
    <d v="1899-12-30T12:00:00"/>
    <d v="2026-06-09T00:00:00"/>
    <d v="1899-12-30T16:00:00"/>
    <x v="10"/>
    <s v="600 ОК– ПР Монтаж Блок дросселирования "/>
    <x v="56"/>
    <n v="2.541666666666667"/>
    <x v="42"/>
  </r>
  <r>
    <s v="ГДТ"/>
    <s v="ЗБС"/>
    <s v="Казанское НГКМ"/>
    <s v="6"/>
    <x v="3"/>
    <x v="3"/>
    <m/>
    <x v="4"/>
    <n v="16"/>
    <s v="16.4"/>
    <m/>
    <x v="1"/>
    <s v="Штатно"/>
    <x v="0"/>
    <x v="1"/>
    <x v="1"/>
    <s v="Объекты_устье"/>
    <x v="23"/>
    <m/>
    <s v="Монтаж БД (продолжается)."/>
    <n v="4"/>
    <n v="2758.16"/>
    <s v="Работы окончены"/>
    <x v="1"/>
    <m/>
    <m/>
    <m/>
    <m/>
    <m/>
    <m/>
    <n v="0"/>
    <d v="2026-06-09T16:00:00"/>
    <x v="173"/>
    <n v="0.16666666666666666"/>
    <n v="37.999999999999957"/>
    <x v="1"/>
    <n v="0"/>
    <n v="4"/>
    <n v="0"/>
    <n v="43"/>
    <n v="58.14"/>
    <x v="38"/>
    <d v="1899-12-30T16:00:00"/>
    <d v="2026-06-09T00:00:00"/>
    <d v="1899-12-30T20:00:00"/>
    <x v="10"/>
    <s v="600 ОК– ПР Монтаж Блок дросселирования "/>
    <x v="56"/>
    <n v="2.7083333333333335"/>
    <x v="42"/>
  </r>
  <r>
    <s v="ГДТ"/>
    <s v="ЗБС"/>
    <s v="Казанское НГКМ"/>
    <s v="6"/>
    <x v="3"/>
    <x v="3"/>
    <m/>
    <x v="4"/>
    <n v="16"/>
    <s v="16.5"/>
    <m/>
    <x v="2"/>
    <s v="Штатно"/>
    <x v="0"/>
    <x v="9"/>
    <x v="18"/>
    <s v="Объекты_промывка_СО"/>
    <x v="13"/>
    <m/>
    <s v="Монтаж БД. Разрядка МКП (+), опрессовка МКП 4,4МПа — герметично, МПУ 21МПа — герметично. Начало глушения обратной промывкой γ-1,15 г/см³, покачали V=1,5м³, рост давления."/>
    <n v="4"/>
    <n v="2758.16"/>
    <s v="Работы окончены"/>
    <x v="1"/>
    <m/>
    <m/>
    <m/>
    <m/>
    <m/>
    <m/>
    <n v="0"/>
    <d v="2026-06-09T20:00:00"/>
    <x v="174"/>
    <n v="0.16666666666666666"/>
    <n v="38.166666666666622"/>
    <x v="0"/>
    <n v="4"/>
    <n v="0"/>
    <n v="0"/>
    <n v="43"/>
    <n v="58.14"/>
    <x v="38"/>
    <d v="1899-12-30T20:00:00"/>
    <d v="2026-06-10T00:00:00"/>
    <d v="1899-12-31T00:00:00"/>
    <x v="10"/>
    <s v="600 ОК– КРС Глушение Скважина "/>
    <x v="26"/>
    <n v="0.33333333333333331"/>
    <x v="23"/>
  </r>
  <r>
    <s v="ГДТ"/>
    <s v="ЗБС"/>
    <s v="Казанское НГКМ"/>
    <s v="6"/>
    <x v="3"/>
    <x v="4"/>
    <m/>
    <x v="5"/>
    <n v="17"/>
    <s v="17.1"/>
    <m/>
    <x v="2"/>
    <s v="Штатно"/>
    <x v="0"/>
    <x v="9"/>
    <x v="18"/>
    <s v="Объекты_промывка_СО"/>
    <x v="13"/>
    <m/>
    <s v="Глушение скважины обратной промывкой γ-1,15 г/см³, ƩV=17м³, Рраб.тр=10атм, Рзатр=130атм."/>
    <n v="7"/>
    <n v="2758.16"/>
    <s v="Работы окончены"/>
    <x v="1"/>
    <m/>
    <m/>
    <m/>
    <m/>
    <m/>
    <m/>
    <n v="0"/>
    <d v="2026-06-10T00:00:00"/>
    <x v="175"/>
    <n v="0.29166666666666669"/>
    <n v="38.458333333333286"/>
    <x v="1"/>
    <n v="1.3200000000000003"/>
    <n v="5.68"/>
    <n v="0"/>
    <n v="43"/>
    <n v="63.82"/>
    <x v="39"/>
    <d v="1899-12-31T00:00:00"/>
    <d v="2026-06-10T00:00:00"/>
    <d v="1899-12-30T07:00:00"/>
    <x v="11"/>
    <s v="600 ОК– КРС Глушение Скважина "/>
    <x v="27"/>
    <n v="0.625"/>
    <x v="23"/>
  </r>
  <r>
    <s v="ГДТ"/>
    <s v="ЗБС"/>
    <s v="Казанское НГКМ"/>
    <s v="6"/>
    <x v="3"/>
    <x v="4"/>
    <m/>
    <x v="5"/>
    <n v="17"/>
    <s v="17.2"/>
    <m/>
    <x v="2"/>
    <s v="Штатно"/>
    <x v="0"/>
    <x v="9"/>
    <x v="18"/>
    <s v="Объекты_промывка_СО"/>
    <x v="13"/>
    <m/>
    <s v="Глушение скважины обратной промывкой γ-1,15 г/см³, ƩV=28м³, Рраб.тр=10атм, Рзатр=130атм."/>
    <n v="5"/>
    <n v="2758.16"/>
    <s v="Работы окончены"/>
    <x v="1"/>
    <m/>
    <m/>
    <m/>
    <m/>
    <m/>
    <m/>
    <n v="0"/>
    <d v="2026-06-10T07:00:00"/>
    <x v="176"/>
    <n v="0.20833333333333334"/>
    <n v="38.666666666666622"/>
    <x v="1"/>
    <n v="0"/>
    <n v="5"/>
    <n v="0"/>
    <n v="43"/>
    <n v="68.819999999999993"/>
    <x v="39"/>
    <d v="1899-12-30T07:00:00"/>
    <d v="2026-06-10T00:00:00"/>
    <d v="1899-12-30T12:00:00"/>
    <x v="11"/>
    <s v="600 ОК– КРС Глушение Скважина "/>
    <x v="27"/>
    <n v="0.83333333333333337"/>
    <x v="23"/>
  </r>
  <r>
    <s v="ГДТ"/>
    <s v="ЗБС"/>
    <s v="Казанское НГКМ"/>
    <s v="6"/>
    <x v="3"/>
    <x v="4"/>
    <m/>
    <x v="5"/>
    <n v="17"/>
    <s v="17.3"/>
    <m/>
    <x v="2"/>
    <s v="Штатно"/>
    <x v="0"/>
    <x v="9"/>
    <x v="18"/>
    <s v="Объекты_промывка_СО"/>
    <x v="13"/>
    <m/>
    <s v="Глушение скважины обратной промывкой γ-1,15 г/см³, ƩV=33м³, Рраб.тр=10атм, Рзатр=130атм."/>
    <n v="4"/>
    <n v="2758.16"/>
    <s v="Работы окончены"/>
    <x v="1"/>
    <m/>
    <m/>
    <m/>
    <m/>
    <m/>
    <m/>
    <n v="0"/>
    <d v="2026-06-10T12:00:00"/>
    <x v="177"/>
    <n v="0.16666666666666666"/>
    <n v="38.833333333333286"/>
    <x v="1"/>
    <n v="0"/>
    <n v="4"/>
    <n v="0"/>
    <n v="43"/>
    <n v="72.819999999999993"/>
    <x v="39"/>
    <d v="1899-12-30T12:00:00"/>
    <d v="2026-06-10T00:00:00"/>
    <d v="1899-12-30T16:00:00"/>
    <x v="11"/>
    <s v="600 ОК– КРС Глушение Скважина "/>
    <x v="27"/>
    <n v="1"/>
    <x v="23"/>
  </r>
  <r>
    <s v="ГДТ"/>
    <s v="ЗБС"/>
    <s v="Казанское НГКМ"/>
    <s v="6"/>
    <x v="3"/>
    <x v="4"/>
    <m/>
    <x v="5"/>
    <n v="17"/>
    <s v="17.4"/>
    <m/>
    <x v="2"/>
    <s v="Штатно"/>
    <x v="0"/>
    <x v="9"/>
    <x v="18"/>
    <s v="Объекты_промывка_СО"/>
    <x v="13"/>
    <m/>
    <s v="Глушение скважины обратной промывкой γ-1,15 г/см³, ƩV=39м³, Рраб.тр=10атм, Рзатр=130атм."/>
    <n v="4"/>
    <n v="2758.16"/>
    <s v="Работы окончены"/>
    <x v="1"/>
    <m/>
    <m/>
    <m/>
    <m/>
    <m/>
    <m/>
    <n v="0"/>
    <d v="2026-06-10T16:00:00"/>
    <x v="178"/>
    <n v="0.16666666666666666"/>
    <n v="38.99999999999995"/>
    <x v="1"/>
    <n v="0"/>
    <n v="4"/>
    <n v="0"/>
    <n v="43"/>
    <n v="76.819999999999993"/>
    <x v="39"/>
    <d v="1899-12-30T16:00:00"/>
    <d v="2026-06-10T00:00:00"/>
    <d v="1899-12-30T20:00:00"/>
    <x v="11"/>
    <s v="600 ОК– КРС Глушение Скважина "/>
    <x v="27"/>
    <n v="1.1666666666666667"/>
    <x v="23"/>
  </r>
  <r>
    <s v="ГДТ"/>
    <s v="ЗБС"/>
    <s v="Казанское НГКМ"/>
    <s v="6"/>
    <x v="3"/>
    <x v="4"/>
    <m/>
    <x v="5"/>
    <n v="17"/>
    <s v="17.5"/>
    <m/>
    <x v="2"/>
    <s v="Штатно"/>
    <x v="0"/>
    <x v="9"/>
    <x v="18"/>
    <s v="Объекты_промывка_СО"/>
    <x v="13"/>
    <m/>
    <s v="Глушение скважины обратной промывкой γ-1,15 г/см³, ƩV=46м³, Рраб.тр=10атм, Рзатр=130атм."/>
    <n v="4"/>
    <n v="2758.16"/>
    <s v="Работы окончены"/>
    <x v="1"/>
    <m/>
    <m/>
    <m/>
    <m/>
    <m/>
    <m/>
    <n v="0"/>
    <d v="2026-06-10T20:00:00"/>
    <x v="179"/>
    <n v="0.16666666666666666"/>
    <n v="39.166666666666615"/>
    <x v="1"/>
    <n v="0"/>
    <n v="4"/>
    <n v="0"/>
    <n v="43"/>
    <n v="80.819999999999993"/>
    <x v="39"/>
    <d v="1899-12-30T20:00:00"/>
    <d v="2026-06-11T00:00:00"/>
    <d v="1899-12-31T00:00:00"/>
    <x v="11"/>
    <s v="600 ОК– КРС Глушение Скважина "/>
    <x v="27"/>
    <n v="1.3333333333333335"/>
    <x v="23"/>
  </r>
  <r>
    <s v="ГДТ"/>
    <s v="ЗБС"/>
    <s v="Казанское НГКМ"/>
    <s v="6"/>
    <x v="3"/>
    <x v="3"/>
    <m/>
    <x v="4"/>
    <n v="18"/>
    <s v="18.1"/>
    <m/>
    <x v="2"/>
    <s v="Штатно"/>
    <x v="0"/>
    <x v="9"/>
    <x v="18"/>
    <s v="Объекты_промывка_СО"/>
    <x v="13"/>
    <m/>
    <s v="Глушение скважины обратной промывкой γ-1,15 г/см³, ƩV=59,4м³. На выходе газ, нефть, тех. вода. Тех. стоянка."/>
    <n v="7"/>
    <n v="2758.16"/>
    <s v="Работы окончены"/>
    <x v="1"/>
    <m/>
    <m/>
    <m/>
    <m/>
    <m/>
    <m/>
    <n v="0"/>
    <d v="2026-06-11T00:00:00"/>
    <x v="180"/>
    <n v="0.29166666666666669"/>
    <n v="39.458333333333279"/>
    <x v="1"/>
    <n v="0"/>
    <n v="7"/>
    <n v="0"/>
    <n v="43"/>
    <n v="87.82"/>
    <x v="40"/>
    <d v="1899-12-31T00:00:00"/>
    <d v="2026-06-11T00:00:00"/>
    <d v="1899-12-30T07:00:00"/>
    <x v="10"/>
    <s v="600 ОК– КРС Глушение Скважина "/>
    <x v="27"/>
    <n v="1.6250000000000002"/>
    <x v="23"/>
  </r>
  <r>
    <s v="ГДТ"/>
    <s v="ЗБС"/>
    <s v="Казанское НГКМ"/>
    <s v="6"/>
    <x v="3"/>
    <x v="3"/>
    <m/>
    <x v="5"/>
    <n v="18"/>
    <s v="18.2"/>
    <m/>
    <x v="2"/>
    <s v="Штатно"/>
    <x v="0"/>
    <x v="9"/>
    <x v="18"/>
    <s v="Объекты_промывка_СО"/>
    <x v="13"/>
    <m/>
    <s v="Тех. стоянка 3ч. Разрядка скважины (+). Долив р-ром глушения 0,2м³. Опрессовка превентора 2FZ12-35 с запорной компоновкой 35МПа (продолжается)."/>
    <n v="5"/>
    <n v="2758.16"/>
    <s v="Работы окончены"/>
    <x v="1"/>
    <m/>
    <m/>
    <m/>
    <m/>
    <m/>
    <m/>
    <n v="0"/>
    <d v="2026-06-11T07:00:00"/>
    <x v="181"/>
    <n v="0.20833333333333334"/>
    <n v="39.666666666666615"/>
    <x v="1"/>
    <n v="0"/>
    <n v="5"/>
    <n v="0"/>
    <n v="43"/>
    <n v="92.82"/>
    <x v="40"/>
    <d v="1899-12-30T07:00:00"/>
    <d v="2026-06-11T00:00:00"/>
    <d v="1899-12-30T12:00:00"/>
    <x v="9"/>
    <s v="600 ОК– КРС Глушение Скважина "/>
    <x v="27"/>
    <n v="1.8333333333333335"/>
    <x v="23"/>
  </r>
  <r>
    <s v="ГДТ"/>
    <s v="ЗБС"/>
    <s v="Казанское НГКМ"/>
    <s v="6"/>
    <x v="3"/>
    <x v="3"/>
    <m/>
    <x v="5"/>
    <n v="18"/>
    <s v="18.3"/>
    <m/>
    <x v="1"/>
    <s v="Штатно"/>
    <x v="0"/>
    <x v="9"/>
    <x v="16"/>
    <s v="Объекты_устье"/>
    <x v="12"/>
    <m/>
    <s v="Опрессовка превентора 35МПа — герметично. Опрессовка БД 35МПа — не герм., устранение, повторно — герметично. Монтаж УБРСП-80 (продолжается)."/>
    <n v="4"/>
    <n v="2758.16"/>
    <s v="Работы окончены"/>
    <x v="1"/>
    <m/>
    <m/>
    <m/>
    <m/>
    <m/>
    <m/>
    <n v="0"/>
    <d v="2026-06-11T12:00:00"/>
    <x v="182"/>
    <n v="0.16666666666666666"/>
    <n v="39.833333333333279"/>
    <x v="1"/>
    <n v="0"/>
    <n v="4"/>
    <n v="0"/>
    <n v="43"/>
    <n v="96.82"/>
    <x v="40"/>
    <d v="1899-12-30T12:00:00"/>
    <d v="2026-06-11T00:00:00"/>
    <d v="1899-12-30T16:00:00"/>
    <x v="9"/>
    <s v="600 ОК– ПР Опрессовка ПВО "/>
    <x v="23"/>
    <n v="0.16666666666666666"/>
    <x v="20"/>
  </r>
  <r>
    <s v="ГДТ"/>
    <s v="ЗБС"/>
    <s v="Казанское НГКМ"/>
    <s v="6"/>
    <x v="3"/>
    <x v="3"/>
    <m/>
    <x v="5"/>
    <n v="18"/>
    <s v="18.4"/>
    <m/>
    <x v="2"/>
    <s v="Штатно"/>
    <x v="0"/>
    <x v="9"/>
    <x v="18"/>
    <s v="Объекты_промывка_СО"/>
    <x v="13"/>
    <m/>
    <s v="Монтаж УБРСП-80 (100%). Якоря 2шт, пригрузы 2шт. Монтаж РП, СУ-80, ИВЭ-50, ГКШ-1500. Долив р-ром 1,15 г/см³ ƩV=1,5м³."/>
    <n v="4"/>
    <n v="2758.16"/>
    <s v="Работы окончены"/>
    <x v="1"/>
    <m/>
    <m/>
    <m/>
    <m/>
    <m/>
    <m/>
    <n v="0"/>
    <d v="2026-06-11T16:00:00"/>
    <x v="183"/>
    <n v="0.16666666666666666"/>
    <n v="39.999999999999943"/>
    <x v="1"/>
    <n v="0"/>
    <n v="4"/>
    <n v="0"/>
    <n v="43"/>
    <n v="100.82"/>
    <x v="40"/>
    <d v="1899-12-30T16:00:00"/>
    <d v="2026-06-11T00:00:00"/>
    <d v="1899-12-30T20:00:00"/>
    <x v="9"/>
    <s v="600 ОК– КРС Глушение Скважина "/>
    <x v="27"/>
    <n v="2"/>
    <x v="23"/>
  </r>
  <r>
    <s v="ГДТ"/>
    <s v="ЗБС"/>
    <s v="Казанское НГКМ"/>
    <s v="6"/>
    <x v="3"/>
    <x v="3"/>
    <m/>
    <x v="5"/>
    <n v="18"/>
    <s v="18.5"/>
    <m/>
    <x v="2"/>
    <s v="Штатно"/>
    <x v="0"/>
    <x v="9"/>
    <x v="18"/>
    <s v="Объекты_промывка_СО"/>
    <x v="13"/>
    <m/>
    <s v="Монтаж ПМ с 3 стеллажами. Проявление по затрубу Ризб=2атм. Приготовление р-ра 1,15 г/см³ V=4,5м³ для повторного глушения."/>
    <n v="4"/>
    <n v="2758.16"/>
    <s v="Работы окончены"/>
    <x v="1"/>
    <m/>
    <m/>
    <m/>
    <m/>
    <m/>
    <m/>
    <n v="0"/>
    <d v="2026-06-11T20:00:00"/>
    <x v="184"/>
    <n v="0.16666666666666666"/>
    <n v="40.166666666666607"/>
    <x v="1"/>
    <n v="0"/>
    <n v="4"/>
    <n v="0"/>
    <n v="43"/>
    <n v="104.82"/>
    <x v="40"/>
    <d v="1899-12-30T20:00:00"/>
    <d v="2026-06-12T00:00:00"/>
    <d v="1899-12-31T00:00:00"/>
    <x v="9"/>
    <s v="600 ОК– КРС Глушение Скважина "/>
    <x v="27"/>
    <n v="2.1666666666666665"/>
    <x v="23"/>
  </r>
  <r>
    <s v="ГДТ"/>
    <s v="ЗБС"/>
    <s v="Казанское НГКМ"/>
    <s v="6"/>
    <x v="3"/>
    <x v="4"/>
    <m/>
    <x v="4"/>
    <n v="19"/>
    <s v="19.1"/>
    <m/>
    <x v="1"/>
    <s v="Штатно"/>
    <x v="0"/>
    <x v="9"/>
    <x v="27"/>
    <s v="Объекты_промывка_СО"/>
    <x v="22"/>
    <m/>
    <s v="Приготовление р-ра глушения 1,15 г/см³, ƩV=24м³."/>
    <n v="7"/>
    <n v="2758.16"/>
    <s v="Работы окончены"/>
    <x v="1"/>
    <m/>
    <m/>
    <m/>
    <m/>
    <m/>
    <m/>
    <n v="0"/>
    <d v="2026-06-12T00:00:00"/>
    <x v="185"/>
    <n v="0.29166666666666669"/>
    <n v="40.458333333333272"/>
    <x v="0"/>
    <n v="7"/>
    <n v="0"/>
    <n v="0"/>
    <n v="43"/>
    <n v="104.82"/>
    <x v="41"/>
    <d v="1899-12-31T00:00:00"/>
    <d v="2026-06-12T00:00:00"/>
    <d v="1899-12-30T07:00:00"/>
    <x v="8"/>
    <s v="600 ОК– ПР Приготовление раствора Раствор глушения "/>
    <x v="54"/>
    <n v="1.9583333333333333"/>
    <x v="41"/>
  </r>
  <r>
    <s v="ГДТ"/>
    <s v="ЗБС"/>
    <s v="Казанское НГКМ"/>
    <s v="6"/>
    <x v="3"/>
    <x v="4"/>
    <m/>
    <x v="5"/>
    <n v="19"/>
    <s v="19.2"/>
    <m/>
    <x v="1"/>
    <s v="Штатно"/>
    <x v="0"/>
    <x v="9"/>
    <x v="27"/>
    <s v="Объекты_промывка_СО"/>
    <x v="22"/>
    <m/>
    <s v="Приготовление р-ра глушения 1,15 г/см³, ƩV=35м³."/>
    <n v="5"/>
    <n v="2758.16"/>
    <s v="Работы окончены"/>
    <x v="1"/>
    <m/>
    <m/>
    <m/>
    <m/>
    <m/>
    <m/>
    <n v="0"/>
    <d v="2026-06-12T07:00:00"/>
    <x v="186"/>
    <n v="0.20833333333333334"/>
    <n v="40.666666666666607"/>
    <x v="0"/>
    <n v="5"/>
    <n v="0"/>
    <n v="0"/>
    <n v="43"/>
    <n v="104.82"/>
    <x v="41"/>
    <d v="1899-12-30T07:00:00"/>
    <d v="2026-06-12T00:00:00"/>
    <d v="1899-12-30T12:00:00"/>
    <x v="11"/>
    <s v="600 ОК– ПР Приготовление раствора Раствор глушения "/>
    <x v="54"/>
    <n v="2.1666666666666665"/>
    <x v="41"/>
  </r>
  <r>
    <s v="ГДТ"/>
    <s v="ЗБС"/>
    <s v="Казанское НГКМ"/>
    <s v="6"/>
    <x v="3"/>
    <x v="4"/>
    <m/>
    <x v="5"/>
    <n v="19"/>
    <s v="19.3"/>
    <m/>
    <x v="1"/>
    <s v="Штатно"/>
    <x v="0"/>
    <x v="9"/>
    <x v="27"/>
    <s v="Объекты_промывка_СО"/>
    <x v="22"/>
    <m/>
    <s v="Приготовление р-ра глушения 1,15 г/см³, ƩV=44м³."/>
    <n v="4"/>
    <n v="2758.16"/>
    <s v="Работы окончены"/>
    <x v="1"/>
    <m/>
    <m/>
    <m/>
    <m/>
    <m/>
    <m/>
    <n v="0"/>
    <d v="2026-06-12T12:00:00"/>
    <x v="187"/>
    <n v="0.16666666666666666"/>
    <n v="40.833333333333272"/>
    <x v="1"/>
    <n v="0.67000000000000171"/>
    <n v="3.3299999999999983"/>
    <n v="0"/>
    <n v="43"/>
    <n v="108.14999999999999"/>
    <x v="41"/>
    <d v="1899-12-30T12:00:00"/>
    <d v="2026-06-12T00:00:00"/>
    <d v="1899-12-30T16:00:00"/>
    <x v="11"/>
    <s v="600 ОК– ПР Приготовление раствора Раствор глушения "/>
    <x v="58"/>
    <n v="2.333333333333333"/>
    <x v="41"/>
  </r>
  <r>
    <s v="ГДТ"/>
    <s v="ЗБС"/>
    <s v="Казанское НГКМ"/>
    <s v="6"/>
    <x v="3"/>
    <x v="4"/>
    <m/>
    <x v="5"/>
    <n v="19"/>
    <s v="19.4"/>
    <m/>
    <x v="1"/>
    <s v="Штатно"/>
    <x v="0"/>
    <x v="9"/>
    <x v="27"/>
    <s v="Объекты_промывка_СО"/>
    <x v="22"/>
    <m/>
    <s v="Приготовление р-ра глушения 1,15 г/см³, ƩV=54м³."/>
    <n v="4"/>
    <n v="2758.16"/>
    <s v="Работы окончены"/>
    <x v="1"/>
    <m/>
    <m/>
    <m/>
    <m/>
    <m/>
    <m/>
    <n v="0"/>
    <d v="2026-06-12T16:00:00"/>
    <x v="188"/>
    <n v="0.16666666666666666"/>
    <n v="40.999999999999936"/>
    <x v="1"/>
    <n v="0"/>
    <n v="4"/>
    <n v="0"/>
    <n v="43"/>
    <n v="112.14999999999999"/>
    <x v="41"/>
    <d v="1899-12-30T16:00:00"/>
    <d v="2026-06-12T00:00:00"/>
    <d v="1899-12-30T20:00:00"/>
    <x v="11"/>
    <s v="600 ОК– ПР Приготовление раствора Раствор глушения "/>
    <x v="58"/>
    <n v="2.4999999999999996"/>
    <x v="41"/>
  </r>
  <r>
    <s v="ГДТ"/>
    <s v="ЗБС"/>
    <s v="Казанское НГКМ"/>
    <s v="6"/>
    <x v="3"/>
    <x v="4"/>
    <m/>
    <x v="5"/>
    <n v="19"/>
    <s v="19.5"/>
    <m/>
    <x v="2"/>
    <s v="Штатно"/>
    <x v="0"/>
    <x v="9"/>
    <x v="18"/>
    <s v="Объекты_промывка_СО"/>
    <x v="13"/>
    <m/>
    <s v="Приготовление р-ра глушения 1,15 г/см³, ƩV=59,4м³. Начало глушения обратной промывкой, покачали V=0,5м³, рост давления."/>
    <n v="4"/>
    <n v="2758.16"/>
    <s v="Работы окончены"/>
    <x v="1"/>
    <m/>
    <m/>
    <m/>
    <m/>
    <m/>
    <m/>
    <n v="0"/>
    <d v="2026-06-12T20:00:00"/>
    <x v="189"/>
    <n v="0.16666666666666666"/>
    <n v="41.1666666666666"/>
    <x v="1"/>
    <n v="0"/>
    <n v="4"/>
    <n v="0"/>
    <n v="43"/>
    <n v="116.14999999999999"/>
    <x v="41"/>
    <d v="1899-12-30T20:00:00"/>
    <d v="2026-06-13T00:00:00"/>
    <d v="1899-12-31T00:00:00"/>
    <x v="11"/>
    <s v="600 ОК– КРС Глушение Скважина "/>
    <x v="27"/>
    <n v="2.333333333333333"/>
    <x v="23"/>
  </r>
  <r>
    <s v="ГДТ"/>
    <s v="ЗБС"/>
    <s v="Казанское НГКМ"/>
    <s v="6"/>
    <x v="3"/>
    <x v="3"/>
    <m/>
    <x v="4"/>
    <n v="20"/>
    <s v="20.1"/>
    <m/>
    <x v="2"/>
    <s v="Штатно"/>
    <x v="0"/>
    <x v="9"/>
    <x v="18"/>
    <s v="Объекты_промывка_СО"/>
    <x v="13"/>
    <m/>
    <s v="Глушение скважины обратной промывкой γ-1,15 г/см³, ƩV=19м³, Рраб.тр=12атм, Рзатр=130атм."/>
    <n v="7"/>
    <n v="2758.16"/>
    <s v="Работы окончены"/>
    <x v="1"/>
    <m/>
    <m/>
    <m/>
    <m/>
    <m/>
    <m/>
    <n v="0"/>
    <d v="2026-06-13T00:00:00"/>
    <x v="190"/>
    <n v="0.29166666666666669"/>
    <n v="41.458333333333265"/>
    <x v="1"/>
    <n v="0"/>
    <n v="7"/>
    <n v="0"/>
    <n v="43"/>
    <n v="123.14999999999999"/>
    <x v="42"/>
    <d v="1899-12-31T00:00:00"/>
    <d v="2026-06-13T00:00:00"/>
    <d v="1899-12-30T07:00:00"/>
    <x v="10"/>
    <s v="600 ОК– КРС Глушение Скважина "/>
    <x v="27"/>
    <n v="2.6249999999999996"/>
    <x v="23"/>
  </r>
  <r>
    <s v="ГДТ"/>
    <s v="ЗБС"/>
    <s v="Казанское НГКМ"/>
    <s v="6"/>
    <x v="3"/>
    <x v="3"/>
    <m/>
    <x v="5"/>
    <n v="20"/>
    <s v="20.2"/>
    <m/>
    <x v="2"/>
    <s v="Штатно"/>
    <x v="0"/>
    <x v="9"/>
    <x v="18"/>
    <s v="Объекты_промывка_СО"/>
    <x v="13"/>
    <m/>
    <s v="Глушение скважины обратной промывкой γ-1,15 г/см³, ƩV=29м³, Рраб.тр=12атм, Рзатр=130атм."/>
    <n v="5"/>
    <n v="2758.16"/>
    <s v="Работы окончены"/>
    <x v="1"/>
    <m/>
    <m/>
    <m/>
    <m/>
    <m/>
    <m/>
    <n v="0"/>
    <d v="2026-06-13T07:00:00"/>
    <x v="191"/>
    <n v="0.20833333333333334"/>
    <n v="41.6666666666666"/>
    <x v="1"/>
    <n v="0"/>
    <n v="5"/>
    <n v="0"/>
    <n v="43"/>
    <n v="128.14999999999998"/>
    <x v="42"/>
    <d v="1899-12-30T07:00:00"/>
    <d v="2026-06-13T00:00:00"/>
    <d v="1899-12-30T12:00:00"/>
    <x v="9"/>
    <s v="600 ОК– КРС Глушение Скважина "/>
    <x v="27"/>
    <n v="2.833333333333333"/>
    <x v="23"/>
  </r>
  <r>
    <s v="ГДТ"/>
    <s v="ЗБС"/>
    <s v="Казанское НГКМ"/>
    <s v="6"/>
    <x v="3"/>
    <x v="3"/>
    <m/>
    <x v="5"/>
    <n v="20"/>
    <s v="20.3"/>
    <m/>
    <x v="2"/>
    <s v="Штатно"/>
    <x v="0"/>
    <x v="9"/>
    <x v="18"/>
    <s v="Объекты_промывка_СО"/>
    <x v="13"/>
    <m/>
    <s v="Глушение скважины обратной промывкой γ-1,15 г/см³, ƩV=34м³, Рраб.тр=13атм, Рзатр=130атм."/>
    <n v="4"/>
    <n v="2758.16"/>
    <s v="Работы окончены"/>
    <x v="1"/>
    <m/>
    <m/>
    <m/>
    <m/>
    <m/>
    <m/>
    <n v="0"/>
    <d v="2026-06-13T12:00:00"/>
    <x v="192"/>
    <n v="0.16666666666666666"/>
    <n v="41.833333333333265"/>
    <x v="1"/>
    <n v="0"/>
    <n v="4"/>
    <n v="0"/>
    <n v="43"/>
    <n v="132.14999999999998"/>
    <x v="42"/>
    <d v="1899-12-30T12:00:00"/>
    <d v="2026-06-13T00:00:00"/>
    <d v="1899-12-30T16:00:00"/>
    <x v="9"/>
    <s v="600 ОК– КРС Глушение Скважина "/>
    <x v="27"/>
    <n v="2.9999999999999996"/>
    <x v="23"/>
  </r>
  <r>
    <s v="ГДТ"/>
    <s v="ЗБС"/>
    <s v="Казанское НГКМ"/>
    <s v="6"/>
    <x v="3"/>
    <x v="3"/>
    <m/>
    <x v="5"/>
    <n v="20"/>
    <s v="20.4"/>
    <m/>
    <x v="2"/>
    <s v="Штатно"/>
    <x v="0"/>
    <x v="9"/>
    <x v="18"/>
    <s v="Объекты_промывка_СО"/>
    <x v="13"/>
    <m/>
    <s v="Глушение скважины обратной промывкой γ-1,15 г/см³, ƩV=39м³, Рраб.тр=13атм, Рзатр=130атм."/>
    <n v="4"/>
    <n v="2758.16"/>
    <s v="Работы окончены"/>
    <x v="1"/>
    <m/>
    <m/>
    <m/>
    <m/>
    <m/>
    <m/>
    <n v="0"/>
    <d v="2026-06-13T16:00:00"/>
    <x v="193"/>
    <n v="0.16666666666666666"/>
    <n v="41.999999999999929"/>
    <x v="1"/>
    <n v="-7.1054273576010019E-15"/>
    <n v="4.0000000000000071"/>
    <n v="0"/>
    <n v="43"/>
    <n v="136.14999999999998"/>
    <x v="42"/>
    <d v="1899-12-30T16:00:00"/>
    <d v="2026-06-13T00:00:00"/>
    <d v="1899-12-30T20:00:00"/>
    <x v="9"/>
    <s v="600 ОК– КРС Глушение Скважина "/>
    <x v="27"/>
    <n v="3.1666666666666661"/>
    <x v="23"/>
  </r>
  <r>
    <s v="ГДТ"/>
    <s v="ЗБС"/>
    <s v="Казанское НГКМ"/>
    <s v="6"/>
    <x v="3"/>
    <x v="3"/>
    <m/>
    <x v="5"/>
    <n v="20"/>
    <s v="20.5"/>
    <m/>
    <x v="2"/>
    <s v="Штатно"/>
    <x v="0"/>
    <x v="9"/>
    <x v="18"/>
    <s v="Объекты_промывка_СО"/>
    <x v="13"/>
    <m/>
    <s v="Глушение скважины обратной промывкой γ-1,15 г/см³, ƩV=40м³. На выходе газ. Тех. стоянка 3ч. Разрядка скважины."/>
    <n v="4"/>
    <n v="2758.16"/>
    <s v="Работы окончены"/>
    <x v="1"/>
    <m/>
    <m/>
    <m/>
    <m/>
    <m/>
    <m/>
    <n v="0"/>
    <d v="2026-06-13T20:00:00"/>
    <x v="194"/>
    <n v="0.16666666666666666"/>
    <n v="42.166666666666593"/>
    <x v="1"/>
    <n v="0"/>
    <n v="4"/>
    <n v="0"/>
    <n v="43"/>
    <n v="140.14999999999998"/>
    <x v="42"/>
    <d v="1899-12-30T20:00:00"/>
    <d v="2026-06-14T00:00:00"/>
    <d v="1899-12-31T00:00:00"/>
    <x v="9"/>
    <s v="600 ОК– КРС Глушение Скважина "/>
    <x v="27"/>
    <n v="3.3333333333333326"/>
    <x v="23"/>
  </r>
  <r>
    <s v="ГДТ"/>
    <s v="ЗБС"/>
    <s v="Казанское НГКМ"/>
    <s v="6"/>
    <x v="3"/>
    <x v="4"/>
    <m/>
    <x v="4"/>
    <n v="21"/>
    <s v="21.1"/>
    <m/>
    <x v="2"/>
    <s v="Штатно"/>
    <x v="0"/>
    <x v="9"/>
    <x v="18"/>
    <s v="Объекты_промывка_СО"/>
    <x v="13"/>
    <m/>
    <s v="Разрядка скважины (-), Ризб.тр=1атм, излив V=0,3м³/ч. Глушение обратной промывкой γ-1,15 г/см³, ƩV=9м³."/>
    <n v="7"/>
    <n v="2758.16"/>
    <s v="Работы окончены"/>
    <x v="1"/>
    <m/>
    <m/>
    <m/>
    <m/>
    <m/>
    <m/>
    <n v="0"/>
    <d v="2026-06-14T00:00:00"/>
    <x v="195"/>
    <n v="0.29166666666666669"/>
    <n v="42.458333333333258"/>
    <x v="1"/>
    <n v="0"/>
    <n v="7"/>
    <n v="0"/>
    <n v="43"/>
    <n v="147.14999999999998"/>
    <x v="43"/>
    <d v="1899-12-31T00:00:00"/>
    <d v="2026-06-14T00:00:00"/>
    <d v="1899-12-30T07:00:00"/>
    <x v="8"/>
    <s v="600 ОК– КРС Глушение Скважина "/>
    <x v="27"/>
    <n v="3.6249999999999991"/>
    <x v="23"/>
  </r>
  <r>
    <s v="ГДТ"/>
    <s v="ЗБС"/>
    <s v="Казанское НГКМ"/>
    <s v="6"/>
    <x v="3"/>
    <x v="4"/>
    <m/>
    <x v="5"/>
    <n v="21"/>
    <s v="21.2"/>
    <m/>
    <x v="2"/>
    <s v="Штатно"/>
    <x v="0"/>
    <x v="9"/>
    <x v="18"/>
    <s v="Объекты_промывка_СО"/>
    <x v="13"/>
    <m/>
    <s v="Глушение скважины обратной промывкой γ-1,15 г/см³, ƩV=16м³, Рраб.тр=10атм, Рзатр=130атм."/>
    <n v="5"/>
    <n v="2758.16"/>
    <s v="Работы окончены"/>
    <x v="1"/>
    <m/>
    <m/>
    <m/>
    <m/>
    <m/>
    <m/>
    <n v="0"/>
    <d v="2026-06-14T07:00:00"/>
    <x v="196"/>
    <n v="0.20833333333333334"/>
    <n v="42.666666666666593"/>
    <x v="1"/>
    <n v="0"/>
    <n v="5"/>
    <n v="0"/>
    <n v="43"/>
    <n v="152.14999999999998"/>
    <x v="43"/>
    <d v="1899-12-30T07:00:00"/>
    <d v="2026-06-14T00:00:00"/>
    <d v="1899-12-30T12:00:00"/>
    <x v="11"/>
    <s v="600 ОК– КРС Глушение Скважина "/>
    <x v="27"/>
    <n v="3.8333333333333326"/>
    <x v="23"/>
  </r>
  <r>
    <s v="ГДТ"/>
    <s v="ЗБС"/>
    <s v="Казанское НГКМ"/>
    <s v="6"/>
    <x v="3"/>
    <x v="4"/>
    <m/>
    <x v="5"/>
    <n v="21"/>
    <s v="21.3"/>
    <m/>
    <x v="2"/>
    <s v="Штатно"/>
    <x v="0"/>
    <x v="9"/>
    <x v="18"/>
    <s v="Объекты_промывка_СО"/>
    <x v="13"/>
    <m/>
    <s v="Глушение скважины обратной промывкой γ-1,15 г/см³, ƩV=27м³, Рраб.тр=10атм, Рзатр=130атм."/>
    <n v="4"/>
    <n v="2758.16"/>
    <s v="Работы окончены"/>
    <x v="1"/>
    <m/>
    <m/>
    <m/>
    <m/>
    <m/>
    <m/>
    <n v="0"/>
    <d v="2026-06-14T12:00:00"/>
    <x v="197"/>
    <n v="0.16666666666666666"/>
    <n v="42.833333333333258"/>
    <x v="1"/>
    <n v="0"/>
    <n v="4"/>
    <n v="0"/>
    <n v="43"/>
    <n v="156.14999999999998"/>
    <x v="43"/>
    <d v="1899-12-30T12:00:00"/>
    <d v="2026-06-14T00:00:00"/>
    <d v="1899-12-30T16:00:00"/>
    <x v="11"/>
    <s v="600 ОК– КРС Глушение Скважина "/>
    <x v="27"/>
    <n v="3.9999999999999991"/>
    <x v="23"/>
  </r>
  <r>
    <s v="ГДТ"/>
    <s v="ЗБС"/>
    <s v="Казанское НГКМ"/>
    <s v="6"/>
    <x v="3"/>
    <x v="4"/>
    <m/>
    <x v="5"/>
    <n v="21"/>
    <s v="21.4"/>
    <m/>
    <x v="2"/>
    <s v="Штатно"/>
    <x v="0"/>
    <x v="9"/>
    <x v="18"/>
    <s v="Объекты_промывка_СО"/>
    <x v="13"/>
    <m/>
    <s v="Глушение скважины обратной промывкой γ-1,15 г/см³, ƩV=29,7м³. На выходе газ, р-р. Тех. стоянка 3ч."/>
    <n v="4"/>
    <n v="2758.16"/>
    <s v="Работы окончены"/>
    <x v="1"/>
    <m/>
    <m/>
    <m/>
    <m/>
    <m/>
    <m/>
    <n v="0"/>
    <d v="2026-06-14T16:00:00"/>
    <x v="198"/>
    <n v="0.16666666666666666"/>
    <n v="42.999999999999922"/>
    <x v="1"/>
    <n v="0"/>
    <n v="4"/>
    <n v="0"/>
    <n v="43"/>
    <n v="160.14999999999998"/>
    <x v="43"/>
    <d v="1899-12-30T16:00:00"/>
    <d v="2026-06-14T00:00:00"/>
    <d v="1899-12-30T20:00:00"/>
    <x v="11"/>
    <s v="600 ОК– КРС Глушение Скважина "/>
    <x v="27"/>
    <n v="4.1666666666666661"/>
    <x v="23"/>
  </r>
  <r>
    <s v="ГДТ"/>
    <s v="ЗБС"/>
    <s v="Казанское НГКМ"/>
    <s v="6"/>
    <x v="3"/>
    <x v="4"/>
    <m/>
    <x v="5"/>
    <n v="21"/>
    <s v="21.5"/>
    <m/>
    <x v="1"/>
    <s v="Штатно"/>
    <x v="0"/>
    <x v="2"/>
    <x v="28"/>
    <s v="Объекты_устье"/>
    <x v="13"/>
    <m/>
    <s v="Разрядка скважины (+). Запуск бригады КРС пусковой комиссией. Получение разрешений ТВО. Замер Rиз кабеля. Снятие кабеля с эстакады. Рубка КЛ."/>
    <n v="4"/>
    <n v="2758.16"/>
    <s v="Работы окончены"/>
    <x v="1"/>
    <m/>
    <m/>
    <m/>
    <m/>
    <m/>
    <m/>
    <n v="0"/>
    <d v="2026-06-14T20:00:00"/>
    <x v="199"/>
    <n v="0.16666666666666666"/>
    <n v="43.166666666666586"/>
    <x v="2"/>
    <n v="0"/>
    <n v="0"/>
    <n v="4"/>
    <n v="47"/>
    <n v="160.14999999999998"/>
    <x v="43"/>
    <d v="1899-12-30T20:00:00"/>
    <d v="2026-06-15T00:00:00"/>
    <d v="1899-12-31T00:00:00"/>
    <x v="11"/>
    <s v="600 ОК– ПР Работа комиссии Скважина "/>
    <x v="59"/>
    <n v="0.16666666666666666"/>
    <x v="44"/>
  </r>
  <r>
    <s v="ГДТ"/>
    <s v="ЗБС"/>
    <s v="Казанское НГКМ"/>
    <s v="6"/>
    <x v="3"/>
    <x v="3"/>
    <m/>
    <x v="4"/>
    <n v="22"/>
    <s v="22.1"/>
    <m/>
    <x v="2"/>
    <s v="Штатно"/>
    <x v="0"/>
    <x v="9"/>
    <x v="18"/>
    <s v="Объекты_промывка_СО"/>
    <x v="13"/>
    <m/>
    <s v="Подрыв П/Ш (35,8/29,5тн). Демонтаж КВ, ФА. Замер Rиз. Монтаж ПВО, СУП, 2 отбойных щитов. Долив 2м³. Допуск ЭЦНДИ5-45. Опрессовка ПВО пакером 30м — 21МПа герм. Срыв пакера. Обратная промывка (продолжается)."/>
    <n v="7"/>
    <n v="2758.16"/>
    <s v="Работы окончены"/>
    <x v="1"/>
    <m/>
    <m/>
    <m/>
    <m/>
    <m/>
    <m/>
    <n v="0"/>
    <d v="2026-06-15T00:00:00"/>
    <x v="200"/>
    <n v="0.29166666666666669"/>
    <n v="43.45833333333325"/>
    <x v="1"/>
    <n v="0"/>
    <n v="7"/>
    <n v="0"/>
    <n v="47"/>
    <n v="167.14999999999998"/>
    <x v="44"/>
    <d v="1899-12-31T00:00:00"/>
    <d v="2026-06-15T00:00:00"/>
    <d v="1899-12-30T07:00:00"/>
    <x v="10"/>
    <s v="600 ОК– КРС Глушение Скважина "/>
    <x v="27"/>
    <n v="4.458333333333333"/>
    <x v="23"/>
  </r>
  <r>
    <s v="ГДТ"/>
    <s v="ЗБС"/>
    <s v="Казанское НГКМ"/>
    <s v="6"/>
    <x v="3"/>
    <x v="3"/>
    <m/>
    <x v="5"/>
    <n v="22"/>
    <s v="22.2"/>
    <m/>
    <x v="2"/>
    <s v="Штатно"/>
    <x v="0"/>
    <x v="9"/>
    <x v="21"/>
    <s v="Объекты_промывка_СО"/>
    <x v="13"/>
    <m/>
    <s v="Обратная промывка на ёмкость р-ром 1,15 г/см³, V=32,9м³, на выходе газ. Поглощение 12м³. ПР и подъём ЭЦНДИ5-45 с гл.2477,78м 6шт Н=61,8м."/>
    <n v="5"/>
    <n v="2758.16"/>
    <s v="Работы окончены"/>
    <x v="1"/>
    <m/>
    <m/>
    <m/>
    <m/>
    <m/>
    <m/>
    <n v="0"/>
    <d v="2026-06-15T07:00:00"/>
    <x v="201"/>
    <n v="0.20833333333333334"/>
    <n v="43.666666666666586"/>
    <x v="1"/>
    <n v="1.63"/>
    <n v="3.37"/>
    <n v="0"/>
    <n v="47"/>
    <n v="170.51999999999998"/>
    <x v="44"/>
    <d v="1899-12-30T07:00:00"/>
    <d v="2026-06-15T00:00:00"/>
    <d v="1899-12-30T12:00:00"/>
    <x v="9"/>
    <s v="600 ОК– КРС Промывка Скважина "/>
    <x v="60"/>
    <n v="0.20833333333333334"/>
    <x v="28"/>
  </r>
  <r>
    <s v="ГДТ"/>
    <s v="ЗБС"/>
    <s v="Казанское НГКМ"/>
    <s v="6"/>
    <x v="3"/>
    <x v="3"/>
    <m/>
    <x v="5"/>
    <n v="22"/>
    <s v="22.3"/>
    <m/>
    <x v="2"/>
    <s v="Штатно"/>
    <x v="0"/>
    <x v="3"/>
    <x v="4"/>
    <s v="Технологический_инструмент"/>
    <x v="4"/>
    <m/>
    <s v="Подъём ЭЦНДИ5-45 на НКТП-73мм, Ʃ40шт, ƩН=412,18м."/>
    <n v="4"/>
    <n v="2758.16"/>
    <s v="Работы окончены"/>
    <x v="1"/>
    <m/>
    <m/>
    <m/>
    <m/>
    <m/>
    <m/>
    <n v="0"/>
    <d v="2026-06-15T12:00:00"/>
    <x v="202"/>
    <n v="0.16666666666666666"/>
    <n v="43.83333333333325"/>
    <x v="0"/>
    <n v="4"/>
    <n v="0"/>
    <n v="0"/>
    <n v="47"/>
    <n v="170.51999999999998"/>
    <x v="44"/>
    <d v="1899-12-30T12:00:00"/>
    <d v="2026-06-15T00:00:00"/>
    <d v="1899-12-30T16:00:00"/>
    <x v="9"/>
    <s v="600 ОК– КРС Подъем УЭЦН "/>
    <x v="35"/>
    <n v="0.16666666666666666"/>
    <x v="5"/>
  </r>
  <r>
    <s v="ГДТ"/>
    <s v="ЗБС"/>
    <s v="Казанское НГКМ"/>
    <s v="6"/>
    <x v="3"/>
    <x v="3"/>
    <m/>
    <x v="5"/>
    <n v="22"/>
    <s v="22.4"/>
    <m/>
    <x v="2"/>
    <s v="Штатно"/>
    <x v="0"/>
    <x v="9"/>
    <x v="18"/>
    <s v="Объекты_промывка_СО"/>
    <x v="13"/>
    <m/>
    <s v="Подъём ЭЦНДИ5-45 на НКТП-73мм, Ʃ86шт, ƩН=886,66м. Долив р-ром 1,15 г/см³ ƩV=3,5м³."/>
    <n v="4"/>
    <n v="2758.16"/>
    <s v="Работы окончены"/>
    <x v="1"/>
    <m/>
    <m/>
    <m/>
    <m/>
    <m/>
    <m/>
    <n v="0"/>
    <d v="2026-06-15T16:00:00"/>
    <x v="203"/>
    <n v="0.16666666666666666"/>
    <n v="43.999999999999915"/>
    <x v="1"/>
    <n v="0"/>
    <n v="4"/>
    <n v="0"/>
    <n v="47"/>
    <n v="174.51999999999998"/>
    <x v="44"/>
    <d v="1899-12-30T16:00:00"/>
    <d v="2026-06-15T00:00:00"/>
    <d v="1899-12-30T20:00:00"/>
    <x v="9"/>
    <s v="600 ОК– КРС Глушение Скважина "/>
    <x v="27"/>
    <n v="4.625"/>
    <x v="23"/>
  </r>
  <r>
    <s v="ГДТ"/>
    <s v="ЗБС"/>
    <s v="Казанское НГКМ"/>
    <s v="6"/>
    <x v="3"/>
    <x v="3"/>
    <m/>
    <x v="5"/>
    <n v="22"/>
    <s v="22.5"/>
    <m/>
    <x v="2"/>
    <s v="Штатно"/>
    <x v="0"/>
    <x v="9"/>
    <x v="18"/>
    <s v="Объекты_промывка_СО"/>
    <x v="13"/>
    <m/>
    <s v="ПР и подъём ЭЦНДИ5-45 на НКТП-73мм, Ʃ130шт, ƩН=1339м. ВИК 105шт НКТП-73 (отбраковано 105шт). Долив ƩV=4м³."/>
    <n v="4"/>
    <n v="2758.16"/>
    <s v="Работы окончены"/>
    <x v="1"/>
    <m/>
    <m/>
    <m/>
    <m/>
    <m/>
    <m/>
    <n v="0"/>
    <d v="2026-06-15T20:00:00"/>
    <x v="204"/>
    <n v="0.16666666666666666"/>
    <n v="44.166666666666579"/>
    <x v="1"/>
    <n v="0"/>
    <n v="4"/>
    <n v="0"/>
    <n v="47"/>
    <n v="178.51999999999998"/>
    <x v="44"/>
    <d v="1899-12-30T20:00:00"/>
    <d v="2026-06-16T00:00:00"/>
    <d v="1899-12-31T00:00:00"/>
    <x v="9"/>
    <s v="600 ОК– КРС Глушение Скважина "/>
    <x v="27"/>
    <n v="4.791666666666667"/>
    <x v="23"/>
  </r>
  <r>
    <s v="ГДТ"/>
    <s v="ЗБС"/>
    <s v="Казанское НГКМ"/>
    <s v="6"/>
    <x v="3"/>
    <x v="4"/>
    <m/>
    <x v="4"/>
    <n v="23"/>
    <s v="23.1"/>
    <m/>
    <x v="2"/>
    <s v="Штатно"/>
    <x v="0"/>
    <x v="9"/>
    <x v="18"/>
    <s v="Объекты_промывка_СО"/>
    <x v="13"/>
    <m/>
    <s v="Подъём ЭЦНДИ5-45 Ʃ187шт ƩН=1785,63м. Извлечение скребка. Рубка КЛ. Сброс спец. штанги d-30мм (+). Прямая промывка р-ром 1,15 г/см³ V=17,7м³."/>
    <n v="7"/>
    <n v="2758.16"/>
    <s v="Работы окончены"/>
    <x v="1"/>
    <m/>
    <m/>
    <m/>
    <m/>
    <m/>
    <m/>
    <n v="0"/>
    <d v="2026-06-16T00:00:00"/>
    <x v="205"/>
    <n v="0.29166666666666669"/>
    <n v="44.458333333333243"/>
    <x v="1"/>
    <n v="0"/>
    <n v="7"/>
    <n v="0"/>
    <n v="47"/>
    <n v="185.51999999999998"/>
    <x v="45"/>
    <d v="1899-12-31T00:00:00"/>
    <d v="2026-06-16T00:00:00"/>
    <d v="1899-12-30T07:00:00"/>
    <x v="8"/>
    <s v="600 ОК– КРС Глушение Скважина "/>
    <x v="27"/>
    <n v="5.0833333333333339"/>
    <x v="23"/>
  </r>
  <r>
    <s v="ГДТ"/>
    <s v="ЗБС"/>
    <s v="Казанское НГКМ"/>
    <s v="6"/>
    <x v="3"/>
    <x v="4"/>
    <m/>
    <x v="5"/>
    <n v="23"/>
    <s v="23.2"/>
    <m/>
    <x v="2"/>
    <s v="Штатно"/>
    <x v="0"/>
    <x v="9"/>
    <x v="18"/>
    <s v="Объекты_промывка_СО"/>
    <x v="13"/>
    <m/>
    <s v="ВИК НКТП-73мм Ʃ187шт с калибровкой (отбраковано Ʃ187шт). Долив р-ром 1,01 г/см³ ƩV=8,5м³. Переукладка трубы."/>
    <n v="5"/>
    <n v="2758.16"/>
    <s v="Работы окончены"/>
    <x v="1"/>
    <m/>
    <m/>
    <m/>
    <m/>
    <m/>
    <m/>
    <n v="0"/>
    <d v="2026-06-16T07:00:00"/>
    <x v="206"/>
    <n v="0.20833333333333334"/>
    <n v="44.666666666666579"/>
    <x v="1"/>
    <n v="0"/>
    <n v="5"/>
    <n v="0"/>
    <n v="47"/>
    <n v="190.51999999999998"/>
    <x v="45"/>
    <d v="1899-12-30T07:00:00"/>
    <d v="2026-06-16T00:00:00"/>
    <d v="1899-12-30T12:00:00"/>
    <x v="11"/>
    <s v="600 ОК– КРС Глушение Скважина "/>
    <x v="27"/>
    <n v="5.291666666666667"/>
    <x v="23"/>
  </r>
  <r>
    <s v="ГДТ"/>
    <s v="ЗБС"/>
    <s v="Казанское НГКМ"/>
    <s v="6"/>
    <x v="3"/>
    <x v="4"/>
    <m/>
    <x v="5"/>
    <n v="23"/>
    <s v="23.3"/>
    <m/>
    <x v="2"/>
    <s v="Штатно"/>
    <x v="0"/>
    <x v="9"/>
    <x v="18"/>
    <s v="Объекты_промывка_СО"/>
    <x v="13"/>
    <m/>
    <s v="Доподъём ЭЦНДИ5-45 53шт Н=530,1м. ВИК НКТП-73мм 53шт (отбраковано Ʃ240шт). Долив р-ром 1,15 г/см³ ƩV=12м³."/>
    <n v="4"/>
    <n v="2758.16"/>
    <s v="Работы окончены"/>
    <x v="1"/>
    <m/>
    <m/>
    <m/>
    <m/>
    <m/>
    <m/>
    <n v="0"/>
    <d v="2026-06-16T12:00:00"/>
    <x v="207"/>
    <n v="0.16666666666666666"/>
    <n v="44.833333333333243"/>
    <x v="1"/>
    <n v="0"/>
    <n v="4"/>
    <n v="0"/>
    <n v="47"/>
    <n v="194.51999999999998"/>
    <x v="45"/>
    <d v="1899-12-30T12:00:00"/>
    <d v="2026-06-16T00:00:00"/>
    <d v="1899-12-30T16:00:00"/>
    <x v="11"/>
    <s v="600 ОК– КРС Глушение Скважина "/>
    <x v="27"/>
    <n v="5.4583333333333339"/>
    <x v="23"/>
  </r>
  <r>
    <s v="ГДТ"/>
    <s v="ЗБС"/>
    <s v="Казанское НГКМ"/>
    <s v="6"/>
    <x v="3"/>
    <x v="4"/>
    <m/>
    <x v="5"/>
    <n v="23"/>
    <s v="23.4"/>
    <m/>
    <x v="2"/>
    <s v="Штатно"/>
    <x v="0"/>
    <x v="9"/>
    <x v="18"/>
    <s v="Объекты_промывка_СО"/>
    <x v="13"/>
    <m/>
    <s v="Демонтаж ЭЦНДИ5-45: КС-73 сбит, вращение в/с-с/с-н/с есть, вращение газосепаратора клин. Rиз ПЭД 200МОм, КЛ — 0МОм. Замятие брони, частичная коррозия. Долив ƩV=15м³."/>
    <n v="4"/>
    <n v="2758.16"/>
    <s v="Работы окончены"/>
    <x v="1"/>
    <m/>
    <m/>
    <m/>
    <m/>
    <m/>
    <m/>
    <n v="0"/>
    <d v="2026-06-16T16:00:00"/>
    <x v="208"/>
    <n v="0.16666666666666666"/>
    <n v="44.999999999999908"/>
    <x v="1"/>
    <n v="0"/>
    <n v="4"/>
    <n v="0"/>
    <n v="47"/>
    <n v="198.51999999999998"/>
    <x v="45"/>
    <d v="1899-12-30T16:00:00"/>
    <d v="2026-06-16T00:00:00"/>
    <d v="1899-12-30T20:00:00"/>
    <x v="11"/>
    <s v="600 ОК– КРС Глушение Скважина "/>
    <x v="27"/>
    <n v="5.6250000000000009"/>
    <x v="23"/>
  </r>
  <r>
    <s v="ГДТ"/>
    <s v="ЗБС"/>
    <s v="Казанское НГКМ"/>
    <s v="6"/>
    <x v="3"/>
    <x v="4"/>
    <m/>
    <x v="5"/>
    <n v="23"/>
    <s v="23.5"/>
    <m/>
    <x v="3"/>
    <s v="Штатно"/>
    <x v="0"/>
    <x v="5"/>
    <x v="6"/>
    <s v="Объекты_ГИС"/>
    <x v="24"/>
    <m/>
    <s v="ГФР запись ИННК (продолжается)."/>
    <n v="4"/>
    <n v="2758.16"/>
    <s v="Работы окончены"/>
    <x v="1"/>
    <m/>
    <m/>
    <m/>
    <m/>
    <m/>
    <m/>
    <n v="0"/>
    <d v="2026-06-16T20:00:00"/>
    <x v="209"/>
    <n v="0.16666666666666666"/>
    <n v="45.166666666666572"/>
    <x v="0"/>
    <n v="4"/>
    <n v="0"/>
    <n v="0"/>
    <n v="47"/>
    <n v="198.51999999999998"/>
    <x v="45"/>
    <d v="1899-12-30T20:00:00"/>
    <d v="2026-06-17T00:00:00"/>
    <d v="1899-12-31T00:00:00"/>
    <x v="11"/>
    <s v="600 ОК– ГИС ГИС Геофизический прибор "/>
    <x v="61"/>
    <n v="0.16666666666666666"/>
    <x v="45"/>
  </r>
  <r>
    <s v="ГДТ"/>
    <s v="ЗБС"/>
    <s v="Казанское НГКМ"/>
    <s v="6"/>
    <x v="3"/>
    <x v="3"/>
    <m/>
    <x v="4"/>
    <n v="24"/>
    <s v="24.1"/>
    <m/>
    <x v="3"/>
    <s v="Штатно"/>
    <x v="0"/>
    <x v="5"/>
    <x v="6"/>
    <s v="Объекты_ГИС"/>
    <x v="24"/>
    <m/>
    <s v="ГФР запись ИННК."/>
    <n v="7"/>
    <n v="2758.16"/>
    <s v="Работы окончены"/>
    <x v="1"/>
    <m/>
    <m/>
    <m/>
    <m/>
    <m/>
    <m/>
    <n v="0"/>
    <d v="2026-06-17T00:00:00"/>
    <x v="210"/>
    <n v="0.29166666666666669"/>
    <n v="45.458333333333236"/>
    <x v="0"/>
    <n v="7"/>
    <n v="0"/>
    <n v="0"/>
    <n v="47"/>
    <n v="198.51999999999998"/>
    <x v="46"/>
    <d v="1899-12-31T00:00:00"/>
    <d v="2026-06-17T00:00:00"/>
    <d v="1899-12-30T07:00:00"/>
    <x v="10"/>
    <s v="600 ОК– ГИС ГИС Геофизический прибор "/>
    <x v="61"/>
    <n v="0.45833333333333337"/>
    <x v="45"/>
  </r>
  <r>
    <s v="ГДТ"/>
    <s v="ЗБС"/>
    <s v="Казанское НГКМ"/>
    <s v="6"/>
    <x v="3"/>
    <x v="3"/>
    <m/>
    <x v="5"/>
    <n v="24"/>
    <s v="24.2"/>
    <m/>
    <x v="2"/>
    <s v="Орг_простой"/>
    <x v="1"/>
    <x v="2"/>
    <x v="26"/>
    <s v="Оборудование"/>
    <x v="21"/>
    <m/>
    <s v="Перевахтовка (смена персонала)."/>
    <n v="5"/>
    <n v="2758.16"/>
    <s v="Работы окончены"/>
    <x v="1"/>
    <m/>
    <m/>
    <m/>
    <m/>
    <m/>
    <m/>
    <n v="0"/>
    <d v="2026-06-17T07:00:00"/>
    <x v="211"/>
    <n v="0.20833333333333334"/>
    <n v="45.666666666666572"/>
    <x v="2"/>
    <n v="0"/>
    <n v="0"/>
    <n v="5"/>
    <n v="52"/>
    <n v="198.51999999999998"/>
    <x v="46"/>
    <d v="1899-12-30T07:00:00"/>
    <d v="2026-06-17T00:00:00"/>
    <d v="1899-12-30T12:00:00"/>
    <x v="9"/>
    <s v="600 ОК– КРС Орг_простой Ожидание разрешения Тех. дежурство Бригада КРС "/>
    <x v="53"/>
    <n v="1.7083333333333333"/>
    <x v="40"/>
  </r>
  <r>
    <s v="ГДТ"/>
    <s v="ЗБС"/>
    <s v="Казанское НГКМ"/>
    <s v="6"/>
    <x v="3"/>
    <x v="3"/>
    <m/>
    <x v="5"/>
    <n v="24"/>
    <s v="24.3"/>
    <m/>
    <x v="2"/>
    <s v="Орг_простой"/>
    <x v="1"/>
    <x v="2"/>
    <x v="26"/>
    <s v="Оборудование"/>
    <x v="21"/>
    <m/>
    <s v="Перевахтовка. Спуск «воронки» на НКТ-73 28шт L=295м. Долив р-ром 1,15 г/см³ ƩV=20м³."/>
    <n v="4"/>
    <n v="2758.16"/>
    <s v="Работы окончены"/>
    <x v="1"/>
    <m/>
    <m/>
    <m/>
    <m/>
    <m/>
    <m/>
    <n v="0"/>
    <d v="2026-06-17T12:00:00"/>
    <x v="212"/>
    <n v="0.16666666666666666"/>
    <n v="45.833333333333236"/>
    <x v="2"/>
    <n v="0"/>
    <n v="0"/>
    <n v="4"/>
    <n v="56"/>
    <n v="198.51999999999998"/>
    <x v="46"/>
    <d v="1899-12-30T12:00:00"/>
    <d v="2026-06-17T00:00:00"/>
    <d v="1899-12-30T16:00:00"/>
    <x v="9"/>
    <s v="600 ОК– КРС Орг_простой Ожидание разрешения Тех. дежурство Бригада КРС "/>
    <x v="53"/>
    <n v="1.875"/>
    <x v="40"/>
  </r>
  <r>
    <s v="ГДТ"/>
    <s v="ЗБС"/>
    <s v="Казанское НГКМ"/>
    <s v="6"/>
    <x v="3"/>
    <x v="3"/>
    <m/>
    <x v="5"/>
    <n v="24"/>
    <s v="24.4"/>
    <m/>
    <x v="2"/>
    <s v="Орг_простой"/>
    <x v="1"/>
    <x v="2"/>
    <x v="26"/>
    <s v="Оборудование"/>
    <x v="21"/>
    <m/>
    <s v="Спуск «воронки» на НКТ-73 Ʃ38шт ƩL=401м. С 17:00ч герметизация устья. Наблюдение за устьем. Простой — отсутствие мастера."/>
    <n v="4"/>
    <n v="2758.16"/>
    <s v="Работы окончены"/>
    <x v="1"/>
    <m/>
    <m/>
    <m/>
    <m/>
    <m/>
    <m/>
    <n v="0"/>
    <d v="2026-06-17T16:00:00"/>
    <x v="213"/>
    <n v="0.16666666666666666"/>
    <n v="45.999999999999901"/>
    <x v="2"/>
    <n v="0"/>
    <n v="0"/>
    <n v="4"/>
    <n v="60"/>
    <n v="198.51999999999998"/>
    <x v="46"/>
    <d v="1899-12-30T16:00:00"/>
    <d v="2026-06-17T00:00:00"/>
    <d v="1899-12-30T20:00:00"/>
    <x v="9"/>
    <s v="600 ОК– КРС Орг_простой Ожидание разрешения Тех. дежурство Бригада КРС "/>
    <x v="53"/>
    <n v="2.0416666666666665"/>
    <x v="40"/>
  </r>
  <r>
    <s v="ГДТ"/>
    <s v="ЗБС"/>
    <s v="Казанское НГКМ"/>
    <s v="6"/>
    <x v="3"/>
    <x v="3"/>
    <m/>
    <x v="5"/>
    <n v="24"/>
    <s v="24.5"/>
    <m/>
    <x v="2"/>
    <s v="Орг_простой"/>
    <x v="1"/>
    <x v="2"/>
    <x v="26"/>
    <s v="Оборудование"/>
    <x v="21"/>
    <m/>
    <s v="Наблюдение за устьем. Долив р-ром 1,15 г/см³ ƩV=22м³. Простой — отсутствие мастера."/>
    <n v="4"/>
    <n v="2758.16"/>
    <s v="Работы окончены"/>
    <x v="1"/>
    <m/>
    <m/>
    <m/>
    <m/>
    <m/>
    <m/>
    <n v="0"/>
    <d v="2026-06-17T20:00:00"/>
    <x v="214"/>
    <n v="0.16666666666666666"/>
    <n v="46.166666666666565"/>
    <x v="2"/>
    <n v="0"/>
    <n v="0"/>
    <n v="4"/>
    <n v="64"/>
    <n v="198.51999999999998"/>
    <x v="46"/>
    <d v="1899-12-30T20:00:00"/>
    <d v="2026-06-18T00:00:00"/>
    <d v="1899-12-31T00:00:00"/>
    <x v="9"/>
    <s v="600 ОК– КРС Орг_простой Ожидание разрешения Тех. дежурство Бригада КРС "/>
    <x v="53"/>
    <n v="2.208333333333333"/>
    <x v="40"/>
  </r>
  <r>
    <s v="ГДТ"/>
    <s v="ЗБС"/>
    <s v="Казанское НГКМ"/>
    <s v="6"/>
    <x v="3"/>
    <x v="4"/>
    <m/>
    <x v="4"/>
    <n v="25"/>
    <s v="25.1"/>
    <m/>
    <x v="2"/>
    <s v="Орг_простой"/>
    <x v="1"/>
    <x v="2"/>
    <x v="26"/>
    <s v="Оборудование"/>
    <x v="21"/>
    <m/>
    <s v="Простой — отсутствие мастера. Наблюдение за устьем. Долив р-ром 1,15 г/см³ ƩV=23,5м³."/>
    <n v="7"/>
    <n v="2758.16"/>
    <s v="Работы окончены"/>
    <x v="1"/>
    <m/>
    <m/>
    <m/>
    <m/>
    <m/>
    <m/>
    <n v="0"/>
    <d v="2026-06-18T00:00:00"/>
    <x v="215"/>
    <n v="0.29166666666666669"/>
    <n v="46.458333333333229"/>
    <x v="2"/>
    <n v="0"/>
    <n v="0"/>
    <n v="7"/>
    <n v="71"/>
    <n v="198.51999999999998"/>
    <x v="47"/>
    <d v="1899-12-31T00:00:00"/>
    <d v="2026-06-18T00:00:00"/>
    <d v="1899-12-30T07:00:00"/>
    <x v="8"/>
    <s v="600 ОК– КРС Орг_простой Ожидание разрешения Тех. дежурство Бригада КРС "/>
    <x v="53"/>
    <n v="2.4999999999999996"/>
    <x v="40"/>
  </r>
  <r>
    <s v="ГДТ"/>
    <s v="ЗБС"/>
    <s v="Казанское НГКМ"/>
    <s v="6"/>
    <x v="3"/>
    <x v="1"/>
    <m/>
    <x v="6"/>
    <n v="25"/>
    <s v="25.2"/>
    <m/>
    <x v="2"/>
    <s v="Орг_простой"/>
    <x v="1"/>
    <x v="2"/>
    <x v="26"/>
    <s v="Оборудование"/>
    <x v="21"/>
    <m/>
    <s v="Простой — отсутствие мастера. Наблюдение за устьем. Долив р-ром 1,15 г/см³ ƩV=24,5м³."/>
    <n v="5"/>
    <n v="2758.16"/>
    <s v="Работы окончены"/>
    <x v="1"/>
    <m/>
    <m/>
    <m/>
    <m/>
    <m/>
    <m/>
    <n v="0"/>
    <d v="2026-06-18T07:00:00"/>
    <x v="216"/>
    <n v="0.20833333333333334"/>
    <n v="46.666666666666565"/>
    <x v="2"/>
    <n v="0"/>
    <n v="0"/>
    <n v="5"/>
    <n v="76"/>
    <n v="198.51999999999998"/>
    <x v="47"/>
    <d v="1899-12-30T07:00:00"/>
    <d v="2026-06-18T00:00:00"/>
    <d v="1899-12-30T12:00:00"/>
    <x v="12"/>
    <s v="600 ОК– КРС Орг_простой Ожидание разрешения Тех. дежурство Бригада КРС "/>
    <x v="53"/>
    <n v="2.708333333333333"/>
    <x v="40"/>
  </r>
  <r>
    <s v="ГДТ"/>
    <s v="ЗБС"/>
    <s v="Казанское НГКМ"/>
    <s v="6"/>
    <x v="3"/>
    <x v="1"/>
    <m/>
    <x v="6"/>
    <n v="25"/>
    <s v="25.3"/>
    <m/>
    <x v="2"/>
    <s v="Орг_простой"/>
    <x v="1"/>
    <x v="2"/>
    <x v="26"/>
    <s v="Оборудование"/>
    <x v="21"/>
    <m/>
    <s v="Простой — отсутствие мастера. Наблюдение за устьем. Долив р-ром 1,15 г/см³ ƩV=25,5м³. Приготовление р-ра 1,15 г/см³ V=20м³."/>
    <n v="4"/>
    <n v="2758.16"/>
    <s v="Работы окончены"/>
    <x v="1"/>
    <m/>
    <m/>
    <m/>
    <m/>
    <m/>
    <m/>
    <n v="0"/>
    <d v="2026-06-18T12:00:00"/>
    <x v="217"/>
    <n v="0.16666666666666666"/>
    <n v="46.833333333333229"/>
    <x v="2"/>
    <n v="0"/>
    <n v="0"/>
    <n v="4"/>
    <n v="80"/>
    <n v="198.51999999999998"/>
    <x v="47"/>
    <d v="1899-12-30T12:00:00"/>
    <d v="2026-06-18T00:00:00"/>
    <d v="1899-12-30T16:00:00"/>
    <x v="12"/>
    <s v="600 ОК– КРС Орг_простой Ожидание разрешения Тех. дежурство Бригада КРС "/>
    <x v="53"/>
    <n v="2.8749999999999996"/>
    <x v="40"/>
  </r>
  <r>
    <s v="ГДТ"/>
    <s v="ЗБС"/>
    <s v="Казанское НГКМ"/>
    <s v="6"/>
    <x v="3"/>
    <x v="1"/>
    <m/>
    <x v="6"/>
    <n v="25"/>
    <s v="25.4"/>
    <m/>
    <x v="2"/>
    <s v="Орг_простой"/>
    <x v="1"/>
    <x v="2"/>
    <x v="26"/>
    <s v="Оборудование"/>
    <x v="21"/>
    <m/>
    <s v="Простой — отсутствие мастера. Наблюдение за устьем. Долив р-ром 1,15 г/см³ ƩV=26,3м³."/>
    <n v="4"/>
    <n v="2758.16"/>
    <s v="Работы окончены"/>
    <x v="1"/>
    <m/>
    <m/>
    <m/>
    <m/>
    <m/>
    <m/>
    <n v="0"/>
    <d v="2026-06-18T16:00:00"/>
    <x v="218"/>
    <n v="0.16666666666666666"/>
    <n v="46.999999999999893"/>
    <x v="2"/>
    <n v="0"/>
    <n v="0"/>
    <n v="4"/>
    <n v="84"/>
    <n v="198.51999999999998"/>
    <x v="47"/>
    <d v="1899-12-30T16:00:00"/>
    <d v="2026-06-18T00:00:00"/>
    <d v="1899-12-30T20:00:00"/>
    <x v="12"/>
    <s v="600 ОК– КРС Орг_простой Ожидание разрешения Тех. дежурство Бригада КРС "/>
    <x v="53"/>
    <n v="3.0416666666666661"/>
    <x v="40"/>
  </r>
  <r>
    <s v="ГДТ"/>
    <s v="ЗБС"/>
    <s v="Казанское НГКМ"/>
    <s v="6"/>
    <x v="3"/>
    <x v="1"/>
    <m/>
    <x v="6"/>
    <n v="25"/>
    <s v="25.5"/>
    <m/>
    <x v="2"/>
    <s v="Орг_простой"/>
    <x v="1"/>
    <x v="2"/>
    <x v="26"/>
    <s v="Оборудование"/>
    <x v="21"/>
    <m/>
    <s v="Простой — отсутствие мастера. Наблюдение за устьем. Долив р-ром 1,15 г/см³ ƩV=27,1м³."/>
    <n v="4"/>
    <n v="2758.16"/>
    <s v="Работы окончены"/>
    <x v="1"/>
    <m/>
    <m/>
    <m/>
    <m/>
    <m/>
    <m/>
    <n v="0"/>
    <d v="2026-06-18T20:00:00"/>
    <x v="219"/>
    <n v="0.16666666666666666"/>
    <n v="47.166666666666558"/>
    <x v="2"/>
    <n v="0"/>
    <n v="0"/>
    <n v="4"/>
    <n v="88"/>
    <n v="198.51999999999998"/>
    <x v="47"/>
    <d v="1899-12-30T20:00:00"/>
    <d v="2026-06-19T00:00:00"/>
    <d v="1899-12-31T00:00:00"/>
    <x v="12"/>
    <s v="600 ОК– КРС Орг_простой Ожидание разрешения Тех. дежурство Бригада КРС "/>
    <x v="53"/>
    <n v="3.2083333333333326"/>
    <x v="40"/>
  </r>
  <r>
    <s v="ГДТ"/>
    <s v="ЗБС"/>
    <s v="Казанское НГКМ"/>
    <s v="6"/>
    <x v="3"/>
    <x v="4"/>
    <m/>
    <x v="7"/>
    <n v="26"/>
    <s v="26.1"/>
    <m/>
    <x v="2"/>
    <s v="Орг_простой"/>
    <x v="1"/>
    <x v="2"/>
    <x v="26"/>
    <s v="Оборудование"/>
    <x v="21"/>
    <m/>
    <s v="Простой — отсутствие мастера. Наблюдение за устьем. Долив р-ром 1,15 г/см³ ƩV=28,5м³."/>
    <n v="7"/>
    <n v="2758.16"/>
    <s v="Работы окончены"/>
    <x v="1"/>
    <m/>
    <m/>
    <m/>
    <m/>
    <m/>
    <m/>
    <n v="0"/>
    <d v="2026-06-19T00:00:00"/>
    <x v="220"/>
    <n v="0.29166666666666669"/>
    <n v="47.458333333333222"/>
    <x v="2"/>
    <n v="0"/>
    <n v="0"/>
    <n v="7"/>
    <n v="95"/>
    <n v="198.51999999999998"/>
    <x v="48"/>
    <d v="1899-12-31T00:00:00"/>
    <d v="2026-06-19T00:00:00"/>
    <d v="1899-12-30T07:00:00"/>
    <x v="13"/>
    <s v="600 ОК– КРС Орг_простой Ожидание разрешения Тех. дежурство Бригада КРС "/>
    <x v="53"/>
    <n v="3.4999999999999991"/>
    <x v="40"/>
  </r>
  <r>
    <s v="ГДТ"/>
    <s v="ЗБС"/>
    <s v="Казанское НГКМ"/>
    <s v="6"/>
    <x v="3"/>
    <x v="4"/>
    <m/>
    <x v="6"/>
    <n v="26"/>
    <s v="26.2"/>
    <m/>
    <x v="2"/>
    <s v="Орг_простой"/>
    <x v="1"/>
    <x v="2"/>
    <x v="26"/>
    <s v="Оборудование"/>
    <x v="21"/>
    <m/>
    <s v="Простой — отсутствие мастера. Наблюдение за устьем. Долив р-ром 1,15 г/см³ ƩV=29,1м³."/>
    <n v="5"/>
    <n v="2758.16"/>
    <s v="Работы окончены"/>
    <x v="1"/>
    <m/>
    <m/>
    <m/>
    <m/>
    <m/>
    <m/>
    <n v="0"/>
    <d v="2026-06-19T07:00:00"/>
    <x v="221"/>
    <n v="0.20833333333333334"/>
    <n v="47.666666666666558"/>
    <x v="2"/>
    <n v="0"/>
    <n v="0"/>
    <n v="5"/>
    <n v="100"/>
    <n v="198.51999999999998"/>
    <x v="48"/>
    <d v="1899-12-30T07:00:00"/>
    <d v="2026-06-19T00:00:00"/>
    <d v="1899-12-30T12:00:00"/>
    <x v="14"/>
    <s v="600 ОК– КРС Орг_простой Ожидание разрешения Тех. дежурство Бригада КРС "/>
    <x v="53"/>
    <n v="3.7083333333333326"/>
    <x v="40"/>
  </r>
  <r>
    <s v="ГДТ"/>
    <s v="ЗБС"/>
    <s v="Казанское НГКМ"/>
    <s v="6"/>
    <x v="3"/>
    <x v="4"/>
    <m/>
    <x v="6"/>
    <n v="26"/>
    <s v="26.3"/>
    <m/>
    <x v="2"/>
    <s v="Орг_простой"/>
    <x v="1"/>
    <x v="2"/>
    <x v="26"/>
    <s v="Оборудование"/>
    <x v="21"/>
    <m/>
    <s v="Простой — отсутствие мастера. Наблюдение за устьем. Долив р-ром 1,15 г/см³ ƩV=29,5м³."/>
    <n v="4"/>
    <n v="2758.16"/>
    <s v="Работы окончены"/>
    <x v="1"/>
    <m/>
    <m/>
    <m/>
    <m/>
    <m/>
    <m/>
    <n v="0"/>
    <d v="2026-06-19T12:00:00"/>
    <x v="222"/>
    <n v="0.16666666666666666"/>
    <n v="47.833333333333222"/>
    <x v="2"/>
    <n v="0"/>
    <n v="0"/>
    <n v="4"/>
    <n v="104"/>
    <n v="198.51999999999998"/>
    <x v="48"/>
    <d v="1899-12-30T12:00:00"/>
    <d v="2026-06-19T00:00:00"/>
    <d v="1899-12-30T16:00:00"/>
    <x v="14"/>
    <s v="600 ОК– КРС Орг_простой Ожидание разрешения Тех. дежурство Бригада КРС "/>
    <x v="53"/>
    <n v="3.8749999999999991"/>
    <x v="40"/>
  </r>
  <r>
    <s v="ГДТ"/>
    <s v="ЗБС"/>
    <s v="Казанское НГКМ"/>
    <s v="6"/>
    <x v="3"/>
    <x v="4"/>
    <m/>
    <x v="6"/>
    <n v="26"/>
    <s v="26.4"/>
    <m/>
    <x v="2"/>
    <s v="Орг_простой"/>
    <x v="1"/>
    <x v="2"/>
    <x v="26"/>
    <s v="Оборудование"/>
    <x v="21"/>
    <m/>
    <s v="Простой — отсутствие мастера. Наблюдение за устьем. Долив р-ром 1,15 г/см³ ƩV=29,8м³."/>
    <n v="4"/>
    <n v="2758.16"/>
    <s v="Работы окончены"/>
    <x v="1"/>
    <m/>
    <m/>
    <m/>
    <m/>
    <m/>
    <m/>
    <n v="0"/>
    <d v="2026-06-19T16:00:00"/>
    <x v="223"/>
    <n v="0.16666666666666666"/>
    <n v="47.999999999999886"/>
    <x v="2"/>
    <n v="0"/>
    <n v="0"/>
    <n v="4"/>
    <n v="108"/>
    <n v="198.51999999999998"/>
    <x v="48"/>
    <d v="1899-12-30T16:00:00"/>
    <d v="2026-06-19T00:00:00"/>
    <d v="1899-12-30T20:00:00"/>
    <x v="14"/>
    <s v="600 ОК– КРС Орг_простой Ожидание разрешения Тех. дежурство Бригада КРС "/>
    <x v="53"/>
    <n v="4.0416666666666661"/>
    <x v="40"/>
  </r>
  <r>
    <s v="ГДТ"/>
    <s v="ЗБС"/>
    <s v="Казанское НГКМ"/>
    <s v="6"/>
    <x v="3"/>
    <x v="4"/>
    <m/>
    <x v="6"/>
    <n v="26"/>
    <s v="26.5"/>
    <m/>
    <x v="2"/>
    <s v="Орг_простой"/>
    <x v="1"/>
    <x v="2"/>
    <x v="26"/>
    <s v="Оборудование"/>
    <x v="21"/>
    <m/>
    <s v="Простой — отсутствие мастера. Наблюдение за устьем. Долив р-ром 1,15 г/см³ ƩV=30м³."/>
    <n v="4"/>
    <n v="2758.16"/>
    <s v="Работы окончены"/>
    <x v="1"/>
    <m/>
    <m/>
    <m/>
    <m/>
    <m/>
    <m/>
    <n v="0"/>
    <d v="2026-06-19T20:00:00"/>
    <x v="224"/>
    <n v="0.16666666666666666"/>
    <n v="48.166666666666551"/>
    <x v="2"/>
    <n v="0"/>
    <n v="0"/>
    <n v="4"/>
    <n v="112"/>
    <n v="198.51999999999998"/>
    <x v="48"/>
    <d v="1899-12-30T20:00:00"/>
    <d v="2026-06-20T00:00:00"/>
    <d v="1899-12-31T00:00:00"/>
    <x v="14"/>
    <s v="600 ОК– КРС Орг_простой Ожидание разрешения Тех. дежурство Бригада КРС "/>
    <x v="53"/>
    <n v="4.208333333333333"/>
    <x v="40"/>
  </r>
  <r>
    <s v="ГДТ"/>
    <s v="ЗБС"/>
    <s v="Казанское НГКМ"/>
    <s v="6"/>
    <x v="3"/>
    <x v="1"/>
    <m/>
    <x v="7"/>
    <n v="27"/>
    <s v="27.1"/>
    <m/>
    <x v="2"/>
    <s v="Орг_простой"/>
    <x v="1"/>
    <x v="2"/>
    <x v="26"/>
    <s v="Оборудование"/>
    <x v="21"/>
    <m/>
    <s v="Простой — отсутствие мастера. Наблюдение за устьем. Долив р-ром 1,15 г/см³ ƩV=30,3м³."/>
    <n v="7"/>
    <n v="2758.16"/>
    <s v="Работы окончены"/>
    <x v="1"/>
    <m/>
    <m/>
    <m/>
    <m/>
    <m/>
    <m/>
    <n v="0"/>
    <d v="2026-06-20T00:00:00"/>
    <x v="225"/>
    <n v="0.29166666666666669"/>
    <n v="48.458333333333215"/>
    <x v="2"/>
    <n v="0"/>
    <n v="0"/>
    <n v="7"/>
    <n v="119"/>
    <n v="198.51999999999998"/>
    <x v="49"/>
    <d v="1899-12-31T00:00:00"/>
    <d v="2026-06-20T00:00:00"/>
    <d v="1899-12-30T07:00:00"/>
    <x v="15"/>
    <s v="600 ОК– КРС Орг_простой Ожидание разрешения Тех. дежурство Бригада КРС "/>
    <x v="53"/>
    <n v="4.5"/>
    <x v="40"/>
  </r>
  <r>
    <s v="ГДТ"/>
    <s v="ЗБС"/>
    <s v="Казанское НГКМ"/>
    <s v="6"/>
    <x v="3"/>
    <x v="1"/>
    <m/>
    <x v="6"/>
    <n v="27"/>
    <s v="27.2"/>
    <m/>
    <x v="2"/>
    <s v="Орг_простой"/>
    <x v="1"/>
    <x v="2"/>
    <x v="26"/>
    <s v="Оборудование"/>
    <x v="21"/>
    <m/>
    <s v="Простой — отсутствие мастера. Наблюдение за устьем. Долив р-ром 1,15 г/см³ ƩV=30,6м³."/>
    <n v="5"/>
    <n v="2758.16"/>
    <s v="Работы окончены"/>
    <x v="1"/>
    <m/>
    <m/>
    <m/>
    <m/>
    <m/>
    <m/>
    <n v="0"/>
    <d v="2026-06-20T07:00:00"/>
    <x v="226"/>
    <n v="0.20833333333333334"/>
    <n v="48.666666666666551"/>
    <x v="2"/>
    <n v="0"/>
    <n v="0"/>
    <n v="5"/>
    <n v="124"/>
    <n v="198.51999999999998"/>
    <x v="49"/>
    <d v="1899-12-30T07:00:00"/>
    <d v="2026-06-20T00:00:00"/>
    <d v="1899-12-30T12:00:00"/>
    <x v="12"/>
    <s v="600 ОК– КРС Орг_простой Ожидание разрешения Тех. дежурство Бригада КРС "/>
    <x v="53"/>
    <n v="4.708333333333333"/>
    <x v="40"/>
  </r>
  <r>
    <s v="ГДТ"/>
    <s v="ЗБС"/>
    <s v="Казанское НГКМ"/>
    <s v="6"/>
    <x v="3"/>
    <x v="1"/>
    <m/>
    <x v="6"/>
    <n v="27"/>
    <s v="27.3"/>
    <m/>
    <x v="2"/>
    <s v="Орг_простой"/>
    <x v="1"/>
    <x v="2"/>
    <x v="26"/>
    <s v="Оборудование"/>
    <x v="21"/>
    <m/>
    <s v="Простой — отсутствие мастера. Наблюдение за устьем. Долив р-ром 1,15 г/см³ ƩV=30,8м³."/>
    <n v="4"/>
    <n v="2758.16"/>
    <s v="Работы окончены"/>
    <x v="1"/>
    <m/>
    <m/>
    <m/>
    <m/>
    <m/>
    <m/>
    <n v="0"/>
    <d v="2026-06-20T12:00:00"/>
    <x v="227"/>
    <n v="0.16666666666666666"/>
    <n v="48.833333333333215"/>
    <x v="2"/>
    <n v="0"/>
    <n v="0"/>
    <n v="4"/>
    <n v="128"/>
    <n v="198.51999999999998"/>
    <x v="49"/>
    <d v="1899-12-30T12:00:00"/>
    <d v="2026-06-20T00:00:00"/>
    <d v="1899-12-30T16:00:00"/>
    <x v="12"/>
    <s v="600 ОК– КРС Орг_простой Ожидание разрешения Тех. дежурство Бригада КРС "/>
    <x v="53"/>
    <n v="4.875"/>
    <x v="40"/>
  </r>
  <r>
    <s v="ГДТ"/>
    <s v="ЗБС"/>
    <s v="Казанское НГКМ"/>
    <s v="6"/>
    <x v="3"/>
    <x v="1"/>
    <m/>
    <x v="6"/>
    <n v="27"/>
    <s v="27.4"/>
    <m/>
    <x v="2"/>
    <s v="Орг_простой"/>
    <x v="1"/>
    <x v="2"/>
    <x v="26"/>
    <s v="Оборудование"/>
    <x v="21"/>
    <m/>
    <s v="Простой — отсутствие мастера. Наблюдение за устьем. Долив р-ром 1,15 г/см³ ƩV=31,1м³."/>
    <n v="4"/>
    <n v="2758.16"/>
    <s v="Работы окончены"/>
    <x v="1"/>
    <m/>
    <m/>
    <m/>
    <m/>
    <m/>
    <m/>
    <n v="0"/>
    <d v="2026-06-20T16:00:00"/>
    <x v="228"/>
    <n v="0.16666666666666666"/>
    <n v="48.999999999999879"/>
    <x v="2"/>
    <n v="0"/>
    <n v="0"/>
    <n v="4"/>
    <n v="132"/>
    <n v="198.51999999999998"/>
    <x v="49"/>
    <d v="1899-12-30T16:00:00"/>
    <d v="2026-06-20T00:00:00"/>
    <d v="1899-12-30T20:00:00"/>
    <x v="12"/>
    <s v="600 ОК– КРС Орг_простой Ожидание разрешения Тех. дежурство Бригада КРС "/>
    <x v="53"/>
    <n v="5.041666666666667"/>
    <x v="40"/>
  </r>
  <r>
    <s v="ГДТ"/>
    <s v="ЗБС"/>
    <s v="Казанское НГКМ"/>
    <s v="6"/>
    <x v="3"/>
    <x v="1"/>
    <m/>
    <x v="6"/>
    <n v="27"/>
    <s v="27.5"/>
    <m/>
    <x v="2"/>
    <s v="Орг_простой"/>
    <x v="1"/>
    <x v="2"/>
    <x v="26"/>
    <s v="Оборудование"/>
    <x v="21"/>
    <m/>
    <s v="Простой — отсутствие мастера. Наблюдение за устьем. Долив р-ром 1,15 г/см³ ƩV=31,3м³."/>
    <n v="4"/>
    <n v="2758.16"/>
    <s v="Работы окончены"/>
    <x v="1"/>
    <m/>
    <m/>
    <m/>
    <m/>
    <m/>
    <m/>
    <n v="0"/>
    <d v="2026-06-20T20:00:00"/>
    <x v="229"/>
    <n v="0.16666666666666666"/>
    <n v="49.166666666666544"/>
    <x v="2"/>
    <n v="0"/>
    <n v="0"/>
    <n v="4"/>
    <n v="136"/>
    <n v="198.51999999999998"/>
    <x v="49"/>
    <d v="1899-12-30T20:00:00"/>
    <d v="2026-06-21T00:00:00"/>
    <d v="1899-12-31T00:00:00"/>
    <x v="12"/>
    <s v="600 ОК– КРС Орг_простой Ожидание разрешения Тех. дежурство Бригада КРС "/>
    <x v="53"/>
    <n v="5.2083333333333339"/>
    <x v="40"/>
  </r>
  <r>
    <s v="ГДТ"/>
    <s v="ЗБС"/>
    <s v="Казанское НГКМ"/>
    <s v="6"/>
    <x v="3"/>
    <x v="4"/>
    <m/>
    <x v="7"/>
    <n v="28"/>
    <s v="28.1"/>
    <m/>
    <x v="2"/>
    <s v="Орг_простой"/>
    <x v="1"/>
    <x v="2"/>
    <x v="26"/>
    <s v="Оборудование"/>
    <x v="21"/>
    <m/>
    <s v="Простой — отсутствие мастера. Наблюдение за устьем. Долив р-ром 1,15 г/см³ ƩV=31,7м³."/>
    <n v="7"/>
    <n v="2758.16"/>
    <s v="Работы окончены"/>
    <x v="1"/>
    <m/>
    <m/>
    <m/>
    <m/>
    <m/>
    <m/>
    <n v="0"/>
    <d v="2026-06-21T00:00:00"/>
    <x v="230"/>
    <n v="0.29166666666666669"/>
    <n v="49.458333333333208"/>
    <x v="2"/>
    <n v="0"/>
    <n v="0"/>
    <n v="7"/>
    <n v="143"/>
    <n v="198.51999999999998"/>
    <x v="50"/>
    <d v="1899-12-31T00:00:00"/>
    <d v="2026-06-21T00:00:00"/>
    <d v="1899-12-30T07:00:00"/>
    <x v="13"/>
    <s v="600 ОК– КРС Орг_простой Ожидание разрешения Тех. дежурство Бригада КРС "/>
    <x v="53"/>
    <n v="5.5000000000000009"/>
    <x v="40"/>
  </r>
  <r>
    <s v="ГДТ"/>
    <s v="ЗБС"/>
    <s v="Казанское НГКМ"/>
    <s v="6"/>
    <x v="3"/>
    <x v="4"/>
    <m/>
    <x v="6"/>
    <n v="28"/>
    <s v="28.2"/>
    <m/>
    <x v="2"/>
    <s v="Орг_простой"/>
    <x v="1"/>
    <x v="2"/>
    <x v="26"/>
    <s v="Оборудование"/>
    <x v="21"/>
    <m/>
    <s v="Простой — отсутствие мастера. Наблюдение за устьем. Долив р-ром 1,15 г/см³ ƩV=32м³."/>
    <n v="5"/>
    <n v="2758.16"/>
    <s v="Работы окончены"/>
    <x v="1"/>
    <m/>
    <m/>
    <m/>
    <m/>
    <m/>
    <m/>
    <n v="0"/>
    <d v="2026-06-21T07:00:00"/>
    <x v="231"/>
    <n v="0.20833333333333334"/>
    <n v="49.666666666666544"/>
    <x v="2"/>
    <n v="0"/>
    <n v="0"/>
    <n v="5"/>
    <n v="148"/>
    <n v="198.51999999999998"/>
    <x v="50"/>
    <d v="1899-12-30T07:00:00"/>
    <d v="2026-06-21T00:00:00"/>
    <d v="1899-12-30T12:00:00"/>
    <x v="14"/>
    <s v="600 ОК– КРС Орг_простой Ожидание разрешения Тех. дежурство Бригада КРС "/>
    <x v="53"/>
    <n v="5.7083333333333339"/>
    <x v="40"/>
  </r>
  <r>
    <s v="ГДТ"/>
    <s v="ЗБС"/>
    <s v="Казанское НГКМ"/>
    <s v="6"/>
    <x v="3"/>
    <x v="4"/>
    <m/>
    <x v="6"/>
    <n v="28"/>
    <s v="28.3"/>
    <m/>
    <x v="2"/>
    <s v="Орг_простой"/>
    <x v="1"/>
    <x v="2"/>
    <x v="26"/>
    <s v="Оборудование"/>
    <x v="21"/>
    <m/>
    <s v="Простой — отсутствие мастера. Наблюдение за устьем. Долив р-ром 1,15 г/см³ ƩV=32,2м³."/>
    <n v="4"/>
    <n v="2758.16"/>
    <s v="Работы окончены"/>
    <x v="1"/>
    <m/>
    <m/>
    <m/>
    <m/>
    <m/>
    <m/>
    <n v="0"/>
    <d v="2026-06-21T12:00:00"/>
    <x v="232"/>
    <n v="0.16666666666666666"/>
    <n v="49.833333333333208"/>
    <x v="2"/>
    <n v="0"/>
    <n v="0"/>
    <n v="4"/>
    <n v="152"/>
    <n v="198.51999999999998"/>
    <x v="50"/>
    <d v="1899-12-30T12:00:00"/>
    <d v="2026-06-21T00:00:00"/>
    <d v="1899-12-30T16:00:00"/>
    <x v="14"/>
    <s v="600 ОК– КРС Орг_простой Ожидание разрешения Тех. дежурство Бригада КРС "/>
    <x v="53"/>
    <n v="5.8750000000000009"/>
    <x v="40"/>
  </r>
  <r>
    <s v="ГДТ"/>
    <s v="ЗБС"/>
    <s v="Казанское НГКМ"/>
    <s v="6"/>
    <x v="3"/>
    <x v="4"/>
    <m/>
    <x v="6"/>
    <n v="28"/>
    <s v="28.4"/>
    <m/>
    <x v="2"/>
    <s v="Орг_простой"/>
    <x v="1"/>
    <x v="2"/>
    <x v="26"/>
    <s v="Оборудование"/>
    <x v="21"/>
    <m/>
    <s v="Простой — отсутствие мастера. Наблюдение за устьем. Долив р-ром 1,15 г/см³ ƩV=32,4м³."/>
    <n v="4"/>
    <n v="2758.16"/>
    <s v="Работы окончены"/>
    <x v="1"/>
    <m/>
    <m/>
    <m/>
    <m/>
    <m/>
    <m/>
    <n v="0"/>
    <d v="2026-06-21T16:00:00"/>
    <x v="233"/>
    <n v="0.16666666666666666"/>
    <n v="49.999999999999872"/>
    <x v="2"/>
    <n v="0"/>
    <n v="0"/>
    <n v="4"/>
    <n v="156"/>
    <n v="198.51999999999998"/>
    <x v="50"/>
    <d v="1899-12-30T16:00:00"/>
    <d v="2026-06-21T00:00:00"/>
    <d v="1899-12-30T20:00:00"/>
    <x v="14"/>
    <s v="600 ОК– КРС Орг_простой Ожидание разрешения Тех. дежурство Бригада КРС "/>
    <x v="53"/>
    <n v="6.0416666666666679"/>
    <x v="40"/>
  </r>
  <r>
    <s v="ГДТ"/>
    <s v="ЗБС"/>
    <s v="Казанское НГКМ"/>
    <s v="6"/>
    <x v="3"/>
    <x v="4"/>
    <m/>
    <x v="6"/>
    <n v="28"/>
    <s v="28.5"/>
    <m/>
    <x v="2"/>
    <s v="Орг_простой"/>
    <x v="1"/>
    <x v="2"/>
    <x v="26"/>
    <s v="Оборудование"/>
    <x v="21"/>
    <m/>
    <s v="Простой — отсутствие мастера. Наблюдение за устьем. Долив р-ром 1,15 г/см³ ƩV=32,6м³."/>
    <n v="4"/>
    <n v="2758.16"/>
    <s v="Работы окончены"/>
    <x v="1"/>
    <m/>
    <m/>
    <m/>
    <m/>
    <m/>
    <m/>
    <n v="0"/>
    <d v="2026-06-21T20:00:00"/>
    <x v="234"/>
    <n v="0.16666666666666666"/>
    <n v="50.166666666666536"/>
    <x v="2"/>
    <n v="0"/>
    <n v="0"/>
    <n v="4"/>
    <n v="160"/>
    <n v="198.51999999999998"/>
    <x v="50"/>
    <d v="1899-12-30T20:00:00"/>
    <d v="2026-06-22T00:00:00"/>
    <d v="1899-12-31T00:00:00"/>
    <x v="14"/>
    <s v="600 ОК– КРС Орг_простой Ожидание разрешения Тех. дежурство Бригада КРС "/>
    <x v="53"/>
    <n v="6.2083333333333348"/>
    <x v="40"/>
  </r>
  <r>
    <s v="ГДТ"/>
    <s v="ЗБС"/>
    <s v="Казанское НГКМ"/>
    <s v="6"/>
    <x v="3"/>
    <x v="1"/>
    <m/>
    <x v="7"/>
    <n v="29"/>
    <s v="29.1"/>
    <m/>
    <x v="2"/>
    <s v="Орг_простой"/>
    <x v="1"/>
    <x v="2"/>
    <x v="26"/>
    <s v="Оборудование"/>
    <x v="21"/>
    <m/>
    <s v="Простой — отсутствие мастера. Наблюдение за устьем. Долив р-ром 1,15 г/см³ ƩV=33м³."/>
    <n v="7"/>
    <n v="2758.16"/>
    <s v="Работы окончены"/>
    <x v="1"/>
    <m/>
    <m/>
    <m/>
    <m/>
    <m/>
    <m/>
    <n v="0"/>
    <d v="2026-06-22T00:00:00"/>
    <x v="235"/>
    <n v="0.29166666666666669"/>
    <n v="50.458333333333201"/>
    <x v="2"/>
    <n v="0"/>
    <n v="0"/>
    <n v="7"/>
    <n v="167"/>
    <n v="198.51999999999998"/>
    <x v="51"/>
    <d v="1899-12-31T00:00:00"/>
    <d v="2026-06-22T00:00:00"/>
    <d v="1899-12-30T07:00:00"/>
    <x v="15"/>
    <s v="600 ОК– КРС Орг_простой Ожидание разрешения Тех. дежурство Бригада КРС "/>
    <x v="53"/>
    <n v="6.5000000000000018"/>
    <x v="40"/>
  </r>
  <r>
    <s v="ГДТ"/>
    <s v="ЗБС"/>
    <s v="Казанское НГКМ"/>
    <s v="6"/>
    <x v="3"/>
    <x v="1"/>
    <m/>
    <x v="6"/>
    <n v="29"/>
    <s v="29.2"/>
    <m/>
    <x v="2"/>
    <s v="Орг_простой"/>
    <x v="1"/>
    <x v="2"/>
    <x v="26"/>
    <s v="Оборудование"/>
    <x v="21"/>
    <m/>
    <s v="Простой — отсутствие мастера. Наблюдение за устьем. Долив р-ром 1,15 г/см³ ƩV=33,2м³."/>
    <n v="5"/>
    <n v="2758.16"/>
    <s v="Работы продолжаются"/>
    <x v="1"/>
    <m/>
    <m/>
    <m/>
    <m/>
    <m/>
    <m/>
    <n v="0"/>
    <d v="2026-06-22T07:00:00"/>
    <x v="236"/>
    <n v="0.20833333333333334"/>
    <n v="50.666666666666536"/>
    <x v="2"/>
    <n v="0"/>
    <n v="0"/>
    <n v="5"/>
    <n v="172"/>
    <n v="198.51999999999998"/>
    <x v="51"/>
    <d v="1899-12-30T07:00:00"/>
    <d v="2026-06-22T00:00:00"/>
    <d v="1899-12-30T12:00:00"/>
    <x v="12"/>
    <s v="600 ОК– КРС Орг_простой Ожидание разрешения Тех. дежурство Бригада КРС "/>
    <x v="53"/>
    <n v="6.7083333333333348"/>
    <x v="4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C00-000001000000}" name="Сводная таблица5" cacheId="62" dataOnRows="1" applyNumberFormats="0" applyBorderFormats="0" applyFontFormats="0" applyPatternFormats="0" applyAlignmentFormats="0" applyWidthHeightFormats="1" dataCaption="Значения" updatedVersion="8" minRefreshableVersion="3" useAutoFormatting="1" itemPrintTitles="1" createdVersion="8" indent="0" outline="1" outlineData="1" multipleFieldFilters="0">
  <location ref="A3:BB7" firstHeaderRow="1" firstDataRow="2" firstDataCol="1"/>
  <pivotFields count="6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numFmtId="164" showAll="0">
      <items count="2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2"/>
        <item x="83"/>
        <item x="84"/>
        <item x="85"/>
        <item x="86"/>
        <item x="88"/>
        <item x="89"/>
        <item x="90"/>
        <item x="91"/>
        <item x="120"/>
        <item x="122"/>
        <item x="81"/>
        <item x="87"/>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1"/>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t="default"/>
      </items>
    </pivotField>
    <pivotField numFmtId="2" showAll="0"/>
    <pivotField numFmtId="2" showAll="0"/>
    <pivotField showAll="0"/>
    <pivotField dataField="1" numFmtId="166" showAll="0"/>
    <pivotField dataField="1" numFmtId="166" showAll="0"/>
    <pivotField dataField="1" numFmtId="166" showAll="0"/>
    <pivotField numFmtId="1" showAll="0"/>
    <pivotField numFmtId="1" showAll="0"/>
    <pivotField axis="axisCol" numFmtId="14"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umFmtId="165" showAll="0"/>
    <pivotField numFmtId="14" showAll="0"/>
    <pivotField numFmtId="165" showAll="0"/>
    <pivotField showAll="0"/>
    <pivotField showAll="0"/>
    <pivotField showAll="0"/>
    <pivotField numFmtId="2" showAll="0"/>
    <pivotField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showAll="0" defaultSubtotal="0">
      <items count="17">
        <item x="0"/>
        <item x="1"/>
        <item x="2"/>
        <item x="3"/>
        <item x="4"/>
        <item x="5"/>
        <item x="6"/>
        <item x="7"/>
        <item x="8"/>
        <item x="9"/>
        <item x="10"/>
        <item x="11"/>
        <item x="12"/>
        <item x="13"/>
        <item x="14"/>
        <item x="15"/>
        <item x="16"/>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2"/>
  </rowFields>
  <rowItems count="3">
    <i>
      <x/>
    </i>
    <i i="1">
      <x v="1"/>
    </i>
    <i i="2">
      <x v="2"/>
    </i>
  </rowItems>
  <colFields count="1">
    <field x="41"/>
  </colFields>
  <colItems count="5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t="grand">
      <x/>
    </i>
  </colItems>
  <dataFields count="3">
    <dataField name="Сумма по полю ПВ" fld="36" baseField="0" baseItem="0" numFmtId="166"/>
    <dataField name="Сумма по полю ПНВ" fld="37" baseField="0" baseItem="0" numFmtId="166"/>
    <dataField name="Сумма по полю НПВ" fld="38" baseField="0" baseItem="0" numFmtId="166"/>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C00-000000000000}" name="Сводная таблица6" cacheId="62" dataOnRows="1" applyNumberFormats="0" applyBorderFormats="0" applyFontFormats="0" applyPatternFormats="0" applyAlignmentFormats="0" applyWidthHeightFormats="1" dataCaption="Значения" updatedVersion="8" minRefreshableVersion="3" useAutoFormatting="1" itemPrintTitles="1" createdVersion="8" indent="0" outline="1" outlineData="1" multipleFieldFilters="0">
  <location ref="A23:BB29" firstHeaderRow="1" firstDataRow="2" firstDataCol="1"/>
  <pivotFields count="60">
    <pivotField showAll="0"/>
    <pivotField showAll="0"/>
    <pivotField showAll="0"/>
    <pivotField showAll="0"/>
    <pivotField axis="axisRow" showAll="0">
      <items count="5">
        <item x="0"/>
        <item x="1"/>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numFmtId="164" showAll="0"/>
    <pivotField numFmtId="164" showAll="0">
      <items count="2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2"/>
        <item x="83"/>
        <item x="84"/>
        <item x="85"/>
        <item x="86"/>
        <item x="88"/>
        <item x="89"/>
        <item x="90"/>
        <item x="91"/>
        <item x="120"/>
        <item x="122"/>
        <item x="81"/>
        <item x="87"/>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1"/>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t="default"/>
      </items>
    </pivotField>
    <pivotField numFmtId="2" showAll="0"/>
    <pivotField numFmtId="2" showAll="0"/>
    <pivotField showAll="0"/>
    <pivotField numFmtId="166" showAll="0"/>
    <pivotField numFmtId="166" showAll="0"/>
    <pivotField numFmtId="166" showAll="0"/>
    <pivotField numFmtId="1" showAll="0"/>
    <pivotField numFmtId="1" showAll="0"/>
    <pivotField axis="axisCol" numFmtId="14"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umFmtId="165" showAll="0"/>
    <pivotField numFmtId="14" showAll="0"/>
    <pivotField numFmtId="165" showAll="0"/>
    <pivotField showAll="0"/>
    <pivotField showAll="0"/>
    <pivotField showAll="0"/>
    <pivotField numFmtId="2" showAll="0"/>
    <pivotField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showAll="0" defaultSubtotal="0">
      <items count="17">
        <item x="0"/>
        <item x="1"/>
        <item x="2"/>
        <item x="3"/>
        <item x="4"/>
        <item x="5"/>
        <item x="6"/>
        <item x="7"/>
        <item x="8"/>
        <item x="9"/>
        <item x="10"/>
        <item x="11"/>
        <item x="12"/>
        <item x="13"/>
        <item x="14"/>
        <item x="15"/>
        <item x="16"/>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4"/>
  </rowFields>
  <rowItems count="5">
    <i>
      <x/>
    </i>
    <i>
      <x v="1"/>
    </i>
    <i>
      <x v="2"/>
    </i>
    <i>
      <x v="3"/>
    </i>
    <i t="grand">
      <x/>
    </i>
  </rowItems>
  <colFields count="1">
    <field x="41"/>
  </colFields>
  <colItems count="5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t="grand">
      <x/>
    </i>
  </colItems>
  <dataFields count="1">
    <dataField name="Сумма по полю Часы" fld="20" baseField="0" baseItem="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D00-000002000000}" name="Топ_НПВ_по_мес" cacheId="62" applyNumberFormats="0" applyBorderFormats="0" applyFontFormats="0" applyPatternFormats="0" applyAlignmentFormats="0" applyWidthHeightFormats="1" dataCaption="Значения" updatedVersion="8" minRefreshableVersion="3" useAutoFormatting="1" itemPrintTitles="1" createdVersion="8" indent="0" outline="1" outlineData="1" multipleFieldFilters="0" chartFormat="24">
  <location ref="A3:B11" firstHeaderRow="1" firstDataRow="1" firstDataCol="1" rowPageCount="1" colPageCount="1"/>
  <pivotFields count="6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measureFilter="1" sortType="de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numFmtId="164" showAll="0">
      <items count="2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2"/>
        <item x="83"/>
        <item x="84"/>
        <item x="85"/>
        <item x="86"/>
        <item x="88"/>
        <item x="89"/>
        <item x="90"/>
        <item x="91"/>
        <item x="120"/>
        <item x="122"/>
        <item x="81"/>
        <item x="87"/>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1"/>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t="default"/>
      </items>
    </pivotField>
    <pivotField numFmtId="2" showAll="0"/>
    <pivotField numFmtId="2" showAll="0"/>
    <pivotField axis="axisPage" multipleItemSelectionAllowed="1" showAll="0">
      <items count="4">
        <item x="2"/>
        <item h="1" x="0"/>
        <item h="1" x="1"/>
        <item t="default"/>
      </items>
    </pivotField>
    <pivotField numFmtId="166" showAll="0"/>
    <pivotField numFmtId="166" showAll="0"/>
    <pivotField dataField="1" numFmtId="166" showAll="0"/>
    <pivotField numFmtId="1" showAll="0"/>
    <pivotField numFmtId="1" showAll="0"/>
    <pivotField numFmtId="14"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umFmtId="165" showAll="0"/>
    <pivotField showAll="0"/>
    <pivotField showAll="0"/>
    <pivotField showAll="0"/>
    <pivotField showAll="0"/>
    <pivotField showAll="0"/>
    <pivotField numFmtId="2" showAll="0"/>
    <pivotField showAll="0"/>
    <pivotField showAll="0" defaultSubtotal="0"/>
    <pivotField axis="axisRow" showAll="0" defaultSubtotal="0">
      <items count="14">
        <item x="0"/>
        <item x="1"/>
        <item x="2"/>
        <item x="3"/>
        <item x="4"/>
        <item x="5"/>
        <item x="6"/>
        <item x="7"/>
        <item x="8"/>
        <item x="9"/>
        <item x="10"/>
        <item x="11"/>
        <item x="12"/>
        <item x="13"/>
      </items>
    </pivotField>
    <pivotField dragToRow="0" dragToCol="0" dragToPage="0" showAll="0" defaultSubtotal="0"/>
    <pivotField showAll="0" defaultSubtotal="0">
      <items count="17">
        <item x="0"/>
        <item x="1"/>
        <item x="2"/>
        <item x="3"/>
        <item x="4"/>
        <item x="5"/>
        <item x="6"/>
        <item x="7"/>
        <item x="8"/>
        <item x="9"/>
        <item x="10"/>
        <item x="11"/>
        <item x="12"/>
        <item x="13"/>
        <item x="14"/>
        <item x="15"/>
        <item x="16"/>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2">
    <field x="51"/>
    <field x="13"/>
  </rowFields>
  <rowItems count="8">
    <i>
      <x v="5"/>
    </i>
    <i r="1">
      <x v="2"/>
    </i>
    <i r="1">
      <x/>
    </i>
    <i r="1">
      <x v="3"/>
    </i>
    <i>
      <x v="6"/>
    </i>
    <i r="1">
      <x v="3"/>
    </i>
    <i r="1">
      <x/>
    </i>
    <i t="grand">
      <x/>
    </i>
  </rowItems>
  <colItems count="1">
    <i/>
  </colItems>
  <pageFields count="1">
    <pageField fld="35" hier="-1"/>
  </pageFields>
  <dataFields count="1">
    <dataField name="Сумма по полю НПВ" fld="38" baseField="0" baseItem="0" numFmtId="166"/>
  </dataFields>
  <formats count="1">
    <format dxfId="23">
      <pivotArea outline="0" collapsedLevelsAreSubtotals="1" fieldPosition="0"/>
    </format>
  </formats>
  <chartFormats count="6">
    <chartFormat chart="3" format="3"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 chart="7" format="12" series="1">
      <pivotArea type="data" outline="0" fieldPosition="0">
        <references count="1">
          <reference field="4294967294" count="1" selected="0">
            <x v="0"/>
          </reference>
        </references>
      </pivotArea>
    </chartFormat>
    <chartFormat chart="7" format="16">
      <pivotArea type="data" outline="0" fieldPosition="0">
        <references count="3">
          <reference field="4294967294" count="1" selected="0">
            <x v="0"/>
          </reference>
          <reference field="13" count="1" selected="0">
            <x v="0"/>
          </reference>
          <reference field="51" count="1" selected="0">
            <x v="5"/>
          </reference>
        </references>
      </pivotArea>
    </chartFormat>
    <chartFormat chart="7" format="17">
      <pivotArea type="data" outline="0" fieldPosition="0">
        <references count="3">
          <reference field="4294967294" count="1" selected="0">
            <x v="0"/>
          </reference>
          <reference field="13" count="1" selected="0">
            <x v="3"/>
          </reference>
          <reference field="51" count="1" selected="0">
            <x v="5"/>
          </reference>
        </references>
      </pivotArea>
    </chartFormat>
    <chartFormat chart="4" format="11">
      <pivotArea type="data" outline="0" fieldPosition="0">
        <references count="3">
          <reference field="4294967294" count="1" selected="0">
            <x v="0"/>
          </reference>
          <reference field="13" count="1" selected="0">
            <x v="0"/>
          </reference>
          <reference field="51" count="1" selected="0">
            <x v="5"/>
          </reference>
        </references>
      </pivotArea>
    </chartFormat>
  </chartFormats>
  <pivotTableStyleInfo name="PivotStyleLight16" showRowHeaders="1" showColHeaders="1" showRowStripes="0" showColStripes="0" showLastColumn="1"/>
  <filters count="1">
    <filter fld="13" type="count" evalOrder="-1" id="6" iMeasureFld="0">
      <autoFilter ref="A1">
        <filterColumn colId="0">
          <top10 val="3" filterVal="3"/>
        </filterColumn>
      </autoFilter>
    </filter>
  </filters>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E00-000003000000}" name="Сводная таблица2" cacheId="62" applyNumberFormats="0" applyBorderFormats="0" applyFontFormats="0" applyPatternFormats="0" applyAlignmentFormats="0" applyWidthHeightFormats="1" dataCaption="Значения" updatedVersion="8" minRefreshableVersion="3" useAutoFormatting="1" itemPrintTitles="1" createdVersion="8" indent="0" outline="1" outlineData="1" multipleFieldFilters="0" chartFormat="16">
  <location ref="A3:D40" firstHeaderRow="1" firstDataRow="2" firstDataCol="1"/>
  <pivotFields count="60">
    <pivotField showAll="0"/>
    <pivotField showAll="0"/>
    <pivotField showAll="0"/>
    <pivotField showAll="0"/>
    <pivotField axis="axisRow" showAll="0">
      <items count="5">
        <item x="0"/>
        <item x="1"/>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numFmtId="164" showAll="0">
      <items count="2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2"/>
        <item x="83"/>
        <item x="84"/>
        <item x="85"/>
        <item x="86"/>
        <item x="88"/>
        <item x="89"/>
        <item x="90"/>
        <item x="91"/>
        <item x="120"/>
        <item x="122"/>
        <item x="81"/>
        <item x="87"/>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1"/>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t="default"/>
      </items>
    </pivotField>
    <pivotField numFmtId="2" showAll="0"/>
    <pivotField numFmtId="2" showAll="0"/>
    <pivotField showAll="0"/>
    <pivotField dataField="1" numFmtId="166" showAll="0"/>
    <pivotField dataField="1" numFmtId="166" showAll="0"/>
    <pivotField dataField="1" numFmtId="166" showAll="0"/>
    <pivotField numFmtId="1" showAll="0"/>
    <pivotField numFmtId="1" showAll="0"/>
    <pivotField axis="axisRow" numFmtId="168" showAll="0" sortType="ascending">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umFmtId="165" showAll="0"/>
    <pivotField showAll="0"/>
    <pivotField showAll="0"/>
    <pivotField showAll="0"/>
    <pivotField showAll="0"/>
    <pivotField showAll="0"/>
    <pivotField numFmtId="2" showAll="0"/>
    <pivotField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showAll="0" defaultSubtotal="0">
      <items count="17">
        <item sd="0" x="0"/>
        <item sd="0" x="1"/>
        <item sd="0" x="2"/>
        <item sd="0" x="3"/>
        <item sd="0" x="4"/>
        <item sd="0" x="5"/>
        <item sd="0" x="6"/>
        <item x="7"/>
        <item x="8"/>
        <item x="9"/>
        <item x="10"/>
        <item x="11"/>
        <item x="12"/>
        <item x="13"/>
        <item x="14"/>
        <item x="15"/>
        <item x="16"/>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2">
    <field x="4"/>
    <field x="41"/>
  </rowFields>
  <rowItems count="36">
    <i>
      <x/>
    </i>
    <i r="1">
      <x/>
    </i>
    <i r="1">
      <x v="1"/>
    </i>
    <i r="1">
      <x v="2"/>
    </i>
    <i r="1">
      <x v="3"/>
    </i>
    <i r="1">
      <x v="4"/>
    </i>
    <i>
      <x v="1"/>
    </i>
    <i r="1">
      <x v="4"/>
    </i>
    <i r="1">
      <x v="5"/>
    </i>
    <i r="1">
      <x v="6"/>
    </i>
    <i r="1">
      <x v="7"/>
    </i>
    <i r="1">
      <x v="8"/>
    </i>
    <i r="1">
      <x v="9"/>
    </i>
    <i r="1">
      <x v="10"/>
    </i>
    <i r="1">
      <x v="11"/>
    </i>
    <i r="1">
      <x v="12"/>
    </i>
    <i r="1">
      <x v="13"/>
    </i>
    <i r="1">
      <x v="14"/>
    </i>
    <i r="1">
      <x v="15"/>
    </i>
    <i r="1">
      <x v="16"/>
    </i>
    <i r="1">
      <x v="17"/>
    </i>
    <i r="1">
      <x v="18"/>
    </i>
    <i r="1">
      <x v="19"/>
    </i>
    <i r="1">
      <x v="20"/>
    </i>
    <i r="1">
      <x v="21"/>
    </i>
    <i r="1">
      <x v="22"/>
    </i>
    <i>
      <x v="2"/>
    </i>
    <i r="1">
      <x v="22"/>
    </i>
    <i r="1">
      <x v="23"/>
    </i>
    <i r="1">
      <x v="24"/>
    </i>
    <i r="1">
      <x v="25"/>
    </i>
    <i r="1">
      <x v="26"/>
    </i>
    <i r="1">
      <x v="27"/>
    </i>
    <i r="1">
      <x v="28"/>
    </i>
    <i r="1">
      <x v="29"/>
    </i>
    <i t="grand">
      <x/>
    </i>
  </rowItems>
  <colFields count="1">
    <field x="-2"/>
  </colFields>
  <colItems count="3">
    <i>
      <x/>
    </i>
    <i i="1">
      <x v="1"/>
    </i>
    <i i="2">
      <x v="2"/>
    </i>
  </colItems>
  <dataFields count="3">
    <dataField name="ПВ " fld="36" baseField="0" baseItem="0" numFmtId="166"/>
    <dataField name="ПНВ " fld="37" baseField="0" baseItem="0" numFmtId="166"/>
    <dataField name="НПВ " fld="38" baseField="0" baseItem="0" numFmtId="166"/>
  </dataFields>
  <chartFormats count="18">
    <chartFormat chart="3" format="3"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1"/>
          </reference>
        </references>
      </pivotArea>
    </chartFormat>
    <chartFormat chart="3" format="5"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1"/>
          </reference>
        </references>
      </pivotArea>
    </chartFormat>
    <chartFormat chart="0" format="5" series="1">
      <pivotArea type="data" outline="0" fieldPosition="0">
        <references count="1">
          <reference field="4294967294" count="1" selected="0">
            <x v="2"/>
          </reference>
        </references>
      </pivotArea>
    </chartFormat>
    <chartFormat chart="5" format="9" series="1">
      <pivotArea type="data" outline="0" fieldPosition="0">
        <references count="1">
          <reference field="4294967294" count="1" selected="0">
            <x v="0"/>
          </reference>
        </references>
      </pivotArea>
    </chartFormat>
    <chartFormat chart="5" format="10" series="1">
      <pivotArea type="data" outline="0" fieldPosition="0">
        <references count="1">
          <reference field="4294967294" count="1" selected="0">
            <x v="1"/>
          </reference>
        </references>
      </pivotArea>
    </chartFormat>
    <chartFormat chart="5" format="11" series="1">
      <pivotArea type="data" outline="0" fieldPosition="0">
        <references count="1">
          <reference field="4294967294" count="1" selected="0">
            <x v="2"/>
          </reference>
        </references>
      </pivotArea>
    </chartFormat>
    <chartFormat chart="8" format="15" series="1">
      <pivotArea type="data" outline="0" fieldPosition="0">
        <references count="1">
          <reference field="4294967294" count="1" selected="0">
            <x v="0"/>
          </reference>
        </references>
      </pivotArea>
    </chartFormat>
    <chartFormat chart="8" format="16" series="1">
      <pivotArea type="data" outline="0" fieldPosition="0">
        <references count="1">
          <reference field="4294967294" count="1" selected="0">
            <x v="1"/>
          </reference>
        </references>
      </pivotArea>
    </chartFormat>
    <chartFormat chart="8" format="17" series="1">
      <pivotArea type="data" outline="0" fieldPosition="0">
        <references count="1">
          <reference field="4294967294" count="1" selected="0">
            <x v="2"/>
          </reference>
        </references>
      </pivotArea>
    </chartFormat>
    <chartFormat chart="9" format="12" series="1">
      <pivotArea type="data" outline="0" fieldPosition="0">
        <references count="1">
          <reference field="4294967294" count="1" selected="0">
            <x v="0"/>
          </reference>
        </references>
      </pivotArea>
    </chartFormat>
    <chartFormat chart="9" format="13" series="1">
      <pivotArea type="data" outline="0" fieldPosition="0">
        <references count="1">
          <reference field="4294967294" count="1" selected="0">
            <x v="1"/>
          </reference>
        </references>
      </pivotArea>
    </chartFormat>
    <chartFormat chart="9" format="14" series="1">
      <pivotArea type="data" outline="0" fieldPosition="0">
        <references count="1">
          <reference field="4294967294" count="1" selected="0">
            <x v="2"/>
          </reference>
        </references>
      </pivotArea>
    </chartFormat>
    <chartFormat chart="10" format="15" series="1">
      <pivotArea type="data" outline="0" fieldPosition="0">
        <references count="1">
          <reference field="4294967294" count="1" selected="0">
            <x v="0"/>
          </reference>
        </references>
      </pivotArea>
    </chartFormat>
    <chartFormat chart="10" format="16" series="1">
      <pivotArea type="data" outline="0" fieldPosition="0">
        <references count="1">
          <reference field="4294967294" count="1" selected="0">
            <x v="1"/>
          </reference>
        </references>
      </pivotArea>
    </chartFormat>
    <chartFormat chart="10" format="17"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filters count="1">
    <filter fld="41" type="dateBetween" evalOrder="-1" id="126" name="Дата начала">
      <autoFilter ref="A1">
        <filterColumn colId="0">
          <customFilters and="1">
            <customFilter operator="greaterThanOrEqual" val="46143"/>
            <customFilter operator="lessThanOrEqual" val="46173"/>
          </customFilters>
        </filterColumn>
      </autoFilter>
    </filter>
  </filters>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F00-000004000000}" name="Топ_НПВ_в_месяце" cacheId="62" applyNumberFormats="0" applyBorderFormats="0" applyFontFormats="0" applyPatternFormats="0" applyAlignmentFormats="0" applyWidthHeightFormats="1" dataCaption="Значения" updatedVersion="8" minRefreshableVersion="3" useAutoFormatting="1" itemPrintTitles="1" createdVersion="8" indent="0" outline="1" outlineData="1" multipleFieldFilters="0" chartFormat="19">
  <location ref="A3:B17" firstHeaderRow="1" firstDataRow="1" firstDataCol="1" rowPageCount="1" colPageCount="1"/>
  <pivotFields count="6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numFmtId="164" showAll="0">
      <items count="2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2"/>
        <item x="83"/>
        <item x="84"/>
        <item x="85"/>
        <item x="86"/>
        <item x="88"/>
        <item x="89"/>
        <item x="90"/>
        <item x="91"/>
        <item x="120"/>
        <item x="122"/>
        <item x="81"/>
        <item x="87"/>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1"/>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t="default"/>
      </items>
    </pivotField>
    <pivotField numFmtId="2" showAll="0"/>
    <pivotField numFmtId="2" showAll="0"/>
    <pivotField axis="axisPage" multipleItemSelectionAllowed="1" showAll="0">
      <items count="4">
        <item x="2"/>
        <item h="1" x="0"/>
        <item h="1" x="1"/>
        <item t="default"/>
      </items>
    </pivotField>
    <pivotField numFmtId="166" showAll="0"/>
    <pivotField numFmtId="166" showAll="0"/>
    <pivotField dataField="1" numFmtId="166" showAll="0"/>
    <pivotField numFmtId="1" showAll="0"/>
    <pivotField numFmtId="1" showAll="0"/>
    <pivotField numFmtId="14"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umFmtId="165" showAll="0"/>
    <pivotField showAll="0"/>
    <pivotField showAll="0"/>
    <pivotField showAll="0"/>
    <pivotField showAll="0"/>
    <pivotField showAll="0"/>
    <pivotField numFmtId="2" showAll="0"/>
    <pivotField axis="axisRow" showAll="0">
      <items count="47">
        <item x="23"/>
        <item x="15"/>
        <item x="16"/>
        <item x="17"/>
        <item x="1"/>
        <item x="19"/>
        <item x="2"/>
        <item x="20"/>
        <item x="18"/>
        <item x="0"/>
        <item x="13"/>
        <item x="8"/>
        <item x="9"/>
        <item x="10"/>
        <item x="5"/>
        <item x="4"/>
        <item x="12"/>
        <item x="14"/>
        <item x="6"/>
        <item x="7"/>
        <item x="11"/>
        <item x="21"/>
        <item x="29"/>
        <item x="3"/>
        <item x="22"/>
        <item x="24"/>
        <item x="25"/>
        <item x="26"/>
        <item x="27"/>
        <item x="28"/>
        <item x="30"/>
        <item x="31"/>
        <item x="32"/>
        <item x="33"/>
        <item x="34"/>
        <item x="35"/>
        <item x="36"/>
        <item x="37"/>
        <item x="38"/>
        <item x="39"/>
        <item x="40"/>
        <item x="41"/>
        <item x="42"/>
        <item x="43"/>
        <item x="44"/>
        <item x="45"/>
        <item t="default"/>
      </items>
    </pivotField>
    <pivotField showAll="0" defaultSubtotal="0">
      <items count="368">
        <item x="1"/>
        <item x="2"/>
        <item x="3"/>
        <item x="4"/>
        <item x="5"/>
        <item x="6"/>
        <item x="7"/>
        <item x="8"/>
        <item x="9"/>
        <item x="10"/>
        <item x="11"/>
        <item x="12"/>
        <item x="13"/>
        <item x="14"/>
        <item x="15"/>
        <item x="16"/>
        <item x="17"/>
        <item x="18"/>
        <item x="19"/>
        <item x="20"/>
        <item x="21"/>
        <item x="22"/>
        <item x="23"/>
        <item x="24"/>
        <item x="25"/>
        <item x="26"/>
        <item x="27"/>
        <item x="28"/>
        <item x="29"/>
        <item x="30"/>
        <item x="3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67"/>
      </items>
    </pivotField>
    <pivotField showAll="0" defaultSubtotal="0">
      <items count="14">
        <item x="0"/>
        <item x="1"/>
        <item x="2"/>
        <item x="3"/>
        <item x="4"/>
        <item x="5"/>
        <item x="6"/>
        <item x="7"/>
        <item x="8"/>
        <item x="9"/>
        <item x="10"/>
        <item x="11"/>
        <item x="12"/>
        <item x="13"/>
      </items>
    </pivotField>
    <pivotField dragToRow="0" dragToCol="0" dragToPage="0" showAll="0" defaultSubtotal="0"/>
    <pivotField showAll="0" defaultSubtotal="0">
      <items count="17">
        <item x="0"/>
        <item x="1"/>
        <item x="2"/>
        <item x="3"/>
        <item x="4"/>
        <item x="5"/>
        <item x="6"/>
        <item x="7"/>
        <item x="8"/>
        <item x="9"/>
        <item x="10"/>
        <item x="11"/>
        <item x="12"/>
        <item x="13"/>
        <item x="14"/>
        <item x="15"/>
        <item x="16"/>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49"/>
  </rowFields>
  <rowItems count="14">
    <i>
      <x v="3"/>
    </i>
    <i>
      <x v="21"/>
    </i>
    <i>
      <x v="22"/>
    </i>
    <i>
      <x v="23"/>
    </i>
    <i>
      <x v="24"/>
    </i>
    <i>
      <x v="30"/>
    </i>
    <i>
      <x v="31"/>
    </i>
    <i>
      <x v="34"/>
    </i>
    <i>
      <x v="35"/>
    </i>
    <i>
      <x v="36"/>
    </i>
    <i>
      <x v="40"/>
    </i>
    <i>
      <x v="43"/>
    </i>
    <i>
      <x v="44"/>
    </i>
    <i t="grand">
      <x/>
    </i>
  </rowItems>
  <colItems count="1">
    <i/>
  </colItems>
  <pageFields count="1">
    <pageField fld="35" hier="-1"/>
  </pageFields>
  <dataFields count="1">
    <dataField name="Сумма по полю НПВ" fld="38" baseField="0" baseItem="0" numFmtId="166"/>
  </dataFields>
  <chartFormats count="3">
    <chartFormat chart="4" format="2" series="1">
      <pivotArea type="data" outline="0" fieldPosition="0">
        <references count="1">
          <reference field="4294967294" count="1" selected="0">
            <x v="0"/>
          </reference>
        </references>
      </pivotArea>
    </chartFormat>
    <chartFormat chart="0"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1" type="dateBetween" evalOrder="-1" id="83" name="Дата начала">
      <autoFilter ref="A1">
        <filterColumn colId="0">
          <customFilters and="1">
            <customFilter operator="greaterThanOrEqual" val="46143"/>
            <customFilter operator="lessThanOrEqual" val="46173"/>
          </customFilters>
        </filterColumn>
      </autoFilter>
    </filter>
  </filters>
  <extLs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1000-000005000000}" name="Динамика_НПВ_ПНВ" cacheId="62" applyNumberFormats="0" applyBorderFormats="0" applyFontFormats="0" applyPatternFormats="0" applyAlignmentFormats="0" applyWidthHeightFormats="1" dataCaption="Значения" updatedVersion="8" minRefreshableVersion="3" useAutoFormatting="1" itemPrintTitles="1" createdVersion="8" indent="0" outline="1" outlineData="1" multipleFieldFilters="0" chartFormat="10">
  <location ref="A3:C35" firstHeaderRow="1" firstDataRow="2" firstDataCol="1"/>
  <pivotFields count="6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numFmtId="164" showAll="0">
      <items count="2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2"/>
        <item x="83"/>
        <item x="84"/>
        <item x="85"/>
        <item x="86"/>
        <item x="88"/>
        <item x="89"/>
        <item x="90"/>
        <item x="91"/>
        <item x="120"/>
        <item x="122"/>
        <item x="81"/>
        <item x="87"/>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1"/>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t="default"/>
      </items>
    </pivotField>
    <pivotField numFmtId="2" showAll="0"/>
    <pivotField numFmtId="2" showAll="0"/>
    <pivotField showAll="0"/>
    <pivotField numFmtId="166" showAll="0"/>
    <pivotField numFmtId="166" showAll="0"/>
    <pivotField numFmtId="166" showAll="0"/>
    <pivotField dataField="1" numFmtId="1" showAll="0"/>
    <pivotField dataField="1" numFmtId="1" showAll="0"/>
    <pivotField axis="axisRow" numFmtId="168"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umFmtId="165" showAll="0"/>
    <pivotField showAll="0"/>
    <pivotField showAll="0"/>
    <pivotField showAll="0"/>
    <pivotField showAll="0"/>
    <pivotField showAll="0"/>
    <pivotField numFmtId="2" showAll="0"/>
    <pivotField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showAll="0" defaultSubtotal="0">
      <items count="17">
        <item sd="0" x="0"/>
        <item sd="0" x="1"/>
        <item sd="0" x="2"/>
        <item sd="0" x="3"/>
        <item sd="0" x="4"/>
        <item sd="0" x="5"/>
        <item sd="0" x="6"/>
        <item x="7"/>
        <item x="8"/>
        <item x="9"/>
        <item x="10"/>
        <item x="11"/>
        <item x="12"/>
        <item x="13"/>
        <item x="14"/>
        <item x="15"/>
        <item x="16"/>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4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Fields count="1">
    <field x="-2"/>
  </colFields>
  <colItems count="2">
    <i>
      <x/>
    </i>
    <i i="1">
      <x v="1"/>
    </i>
  </colItems>
  <dataFields count="2">
    <dataField name="НПВ " fld="39" subtotal="max" baseField="0" baseItem="0" numFmtId="1"/>
    <dataField name="ПНВ " fld="40" subtotal="max" baseField="0" baseItem="0" numFmtId="1"/>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41" type="dateBetween" evalOrder="-1" id="177" name="Дата начала">
      <autoFilter ref="A1">
        <filterColumn colId="0">
          <customFilters and="1">
            <customFilter operator="greaterThanOrEqual" val="46143"/>
            <customFilter operator="lessThanOrEqual" val="46173"/>
          </customFilters>
        </filterColumn>
      </autoFilter>
    </filter>
  </filters>
  <extLs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1100-000006000000}" name="Сводная таблица6" cacheId="62" applyNumberFormats="0" applyBorderFormats="0" applyFontFormats="0" applyPatternFormats="0" applyAlignmentFormats="0" applyWidthHeightFormats="1" dataCaption="Значения" updatedVersion="8" minRefreshableVersion="3" useAutoFormatting="1" itemPrintTitles="1" createdVersion="8" indent="0" outline="1" outlineData="1" multipleFieldFilters="0">
  <location ref="A3:C9" firstHeaderRow="1" firstDataRow="2" firstDataCol="1"/>
  <pivotFields count="60">
    <pivotField showAll="0"/>
    <pivotField showAll="0"/>
    <pivotField showAll="0"/>
    <pivotField showAll="0"/>
    <pivotField axis="axisRow" showAll="0" sortType="ascending">
      <items count="5">
        <item x="0"/>
        <item x="1"/>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numFmtId="164" showAll="0">
      <items count="2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2"/>
        <item x="83"/>
        <item x="84"/>
        <item x="85"/>
        <item x="86"/>
        <item x="88"/>
        <item x="89"/>
        <item x="90"/>
        <item x="91"/>
        <item x="120"/>
        <item x="122"/>
        <item x="81"/>
        <item x="87"/>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1"/>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t="default"/>
      </items>
    </pivotField>
    <pivotField numFmtId="2" showAll="0"/>
    <pivotField numFmtId="2" showAll="0"/>
    <pivotField showAll="0"/>
    <pivotField numFmtId="166" showAll="0"/>
    <pivotField numFmtId="166" showAll="0"/>
    <pivotField numFmtId="166" showAll="0"/>
    <pivotField numFmtId="1" showAll="0"/>
    <pivotField numFmtId="1" showAll="0"/>
    <pivotField dataField="1" numFmtId="14"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umFmtId="165" showAll="0"/>
    <pivotField dataField="1" showAll="0"/>
    <pivotField showAll="0"/>
    <pivotField showAll="0"/>
    <pivotField showAll="0"/>
    <pivotField showAll="0"/>
    <pivotField numFmtId="2" showAll="0"/>
    <pivotField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showAll="0" defaultSubtotal="0">
      <items count="17">
        <item x="0"/>
        <item x="1"/>
        <item x="2"/>
        <item x="3"/>
        <item x="4"/>
        <item x="5"/>
        <item x="6"/>
        <item x="7"/>
        <item x="8"/>
        <item x="9"/>
        <item x="10"/>
        <item x="11"/>
        <item x="12"/>
        <item x="13"/>
        <item x="14"/>
        <item x="15"/>
        <item x="16"/>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4"/>
  </rowFields>
  <rowItems count="5">
    <i>
      <x/>
    </i>
    <i>
      <x v="1"/>
    </i>
    <i>
      <x v="2"/>
    </i>
    <i>
      <x v="3"/>
    </i>
    <i t="grand">
      <x/>
    </i>
  </rowItems>
  <colFields count="1">
    <field x="-2"/>
  </colFields>
  <colItems count="2">
    <i>
      <x/>
    </i>
    <i i="1">
      <x v="1"/>
    </i>
  </colItems>
  <dataFields count="2">
    <dataField name="Минимум по полю Дата начала" fld="41" subtotal="min" baseField="0" baseItem="0"/>
    <dataField name="Максимум по полю Дата окончания" fld="43" subtotal="max" baseField="0" baseItem="0"/>
  </dataFields>
  <formats count="1">
    <format dxfId="22">
      <pivotArea outline="0" collapsedLevelsAreSubtotals="1" fieldPosition="0"/>
    </format>
  </formats>
  <pivotTableStyleInfo name="PivotStyleLight16" showRowHeaders="1" showColHeaders="1" showRowStripes="0" showColStripes="0" showLastColumn="1"/>
  <filters count="1">
    <filter fld="41" type="dateBetween" evalOrder="-1" id="111" name="Дата начала">
      <autoFilter ref="A1">
        <filterColumn colId="0">
          <customFilters and="1">
            <customFilter operator="greaterThanOrEqual" val="46143"/>
            <customFilter operator="lessThanOrEqual" val="46173"/>
          </customFilters>
        </filterColumn>
      </autoFilter>
    </filter>
  </filters>
  <extLs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1200-000007000000}" name="Сводная таблица7" cacheId="62" applyNumberFormats="0" applyBorderFormats="0" applyFontFormats="0" applyPatternFormats="0" applyAlignmentFormats="0" applyWidthHeightFormats="1" dataCaption="Значения" updatedVersion="8" minRefreshableVersion="3" useAutoFormatting="1" itemPrintTitles="1" createdVersion="8" indent="0" outline="1" outlineData="1" multipleFieldFilters="0">
  <location ref="A3:B34" firstHeaderRow="1" firstDataRow="1" firstDataCol="1"/>
  <pivotFields count="6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numFmtId="164" showAll="0">
      <items count="2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2"/>
        <item x="83"/>
        <item x="84"/>
        <item x="85"/>
        <item x="86"/>
        <item x="88"/>
        <item x="89"/>
        <item x="90"/>
        <item x="91"/>
        <item x="120"/>
        <item x="122"/>
        <item x="81"/>
        <item x="87"/>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1"/>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t="default"/>
      </items>
    </pivotField>
    <pivotField numFmtId="2" showAll="0"/>
    <pivotField numFmtId="2" showAll="0"/>
    <pivotField showAll="0"/>
    <pivotField dataField="1" numFmtId="166" showAll="0"/>
    <pivotField numFmtId="166" showAll="0"/>
    <pivotField numFmtId="166" showAll="0"/>
    <pivotField numFmtId="1" showAll="0"/>
    <pivotField numFmtId="1" showAll="0"/>
    <pivotField axis="axisRow" numFmtId="14"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umFmtId="165" showAll="0"/>
    <pivotField showAll="0"/>
    <pivotField showAll="0"/>
    <pivotField showAll="0"/>
    <pivotField showAll="0"/>
    <pivotField showAll="0"/>
    <pivotField numFmtId="2" showAll="0"/>
    <pivotField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showAll="0" defaultSubtotal="0">
      <items count="17">
        <item sd="0" x="0"/>
        <item sd="0" x="1"/>
        <item sd="0" x="2"/>
        <item sd="0" x="3"/>
        <item sd="0" x="4"/>
        <item sd="0" x="5"/>
        <item sd="0" x="6"/>
        <item x="7"/>
        <item x="8"/>
        <item x="9"/>
        <item x="10"/>
        <item x="11"/>
        <item x="12"/>
        <item x="13"/>
        <item x="14"/>
        <item x="15"/>
        <item x="16"/>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4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Сумма по полю ПВ" fld="36" baseField="0" baseItem="0" numFmtId="166"/>
  </dataFields>
  <pivotTableStyleInfo name="PivotStyleLight16" showRowHeaders="1" showColHeaders="1" showRowStripes="0" showColStripes="0" showLastColumn="1"/>
  <filters count="1">
    <filter fld="41" type="dateBetween" evalOrder="-1" id="111" name="Дата начала">
      <autoFilter ref="A1">
        <filterColumn colId="0">
          <customFilters and="1">
            <customFilter operator="greaterThanOrEqual" val="46143"/>
            <customFilter operator="lessThanOrEqual" val="46173"/>
          </customFilters>
        </filterColumn>
      </autoFilter>
    </filter>
  </filters>
  <extLs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1300-000008000000}" name="Сводная таблица3" cacheId="43" applyNumberFormats="0" applyBorderFormats="0" applyFontFormats="0" applyPatternFormats="0" applyAlignmentFormats="0" applyWidthHeightFormats="1" dataCaption="Значения" updatedVersion="8" minRefreshableVersion="3" useAutoFormatting="1" itemPrintTitles="1" createdVersion="8" indent="0" outline="1" outlineData="1" multipleFieldFilters="0">
  <location ref="A3:E187" firstHeaderRow="0" firstDataRow="1" firstDataCol="1"/>
  <pivotFields count="37">
    <pivotField axis="axisRow" showAll="0" sortType="ascending">
      <items count="479">
        <item m="1" x="279"/>
        <item m="1" x="477"/>
        <item m="1" x="447"/>
        <item m="1" x="429"/>
        <item m="1" x="331"/>
        <item m="1" x="453"/>
        <item m="1" x="455"/>
        <item m="1" x="325"/>
        <item m="1" x="450"/>
        <item m="1" x="431"/>
        <item m="1" x="434"/>
        <item m="1" x="238"/>
        <item m="1" x="449"/>
        <item m="1" x="448"/>
        <item x="66"/>
        <item x="36"/>
        <item m="1" x="381"/>
        <item m="1" x="432"/>
        <item m="1" x="428"/>
        <item m="1" x="440"/>
        <item m="1" x="443"/>
        <item m="1" x="382"/>
        <item m="1" x="385"/>
        <item m="1" x="301"/>
        <item m="1" x="421"/>
        <item m="1" x="441"/>
        <item m="1" x="433"/>
        <item m="1" x="291"/>
        <item m="1" x="369"/>
        <item m="1" x="326"/>
        <item m="1" x="391"/>
        <item m="1" x="293"/>
        <item m="1" x="264"/>
        <item m="1" x="438"/>
        <item m="1" x="437"/>
        <item m="1" x="430"/>
        <item m="1" x="263"/>
        <item m="1" x="427"/>
        <item m="1" x="280"/>
        <item m="1" x="333"/>
        <item m="1" x="451"/>
        <item m="1" x="265"/>
        <item m="1" x="377"/>
        <item m="1" x="300"/>
        <item m="1" x="349"/>
        <item m="1" x="288"/>
        <item m="1" x="278"/>
        <item m="1" x="287"/>
        <item m="1" x="297"/>
        <item m="1" x="445"/>
        <item m="1" x="327"/>
        <item m="1" x="454"/>
        <item m="1" x="439"/>
        <item m="1" x="452"/>
        <item m="1" x="446"/>
        <item m="1" x="292"/>
        <item m="1" x="370"/>
        <item m="1" x="435"/>
        <item m="1" x="407"/>
        <item m="1" x="315"/>
        <item m="1" x="197"/>
        <item m="1" x="294"/>
        <item m="1" x="285"/>
        <item m="1" x="393"/>
        <item m="1" x="456"/>
        <item m="1" x="289"/>
        <item m="1" x="290"/>
        <item m="1" x="378"/>
        <item m="1" x="457"/>
        <item m="1" x="458"/>
        <item m="1" x="459"/>
        <item m="1" x="460"/>
        <item m="1" x="461"/>
        <item m="1" x="462"/>
        <item m="1" x="463"/>
        <item m="1" x="464"/>
        <item m="1" x="465"/>
        <item m="1" x="466"/>
        <item m="1" x="467"/>
        <item m="1" x="468"/>
        <item m="1" x="442"/>
        <item m="1" x="469"/>
        <item m="1" x="470"/>
        <item m="1" x="471"/>
        <item m="1" x="472"/>
        <item m="1" x="473"/>
        <item m="1" x="474"/>
        <item m="1" x="225"/>
        <item m="1" x="475"/>
        <item m="1" x="476"/>
        <item m="1" x="436"/>
        <item m="1" x="444"/>
        <item m="1" x="334"/>
        <item m="1" x="371"/>
        <item m="1" x="410"/>
        <item m="1" x="373"/>
        <item m="1" x="411"/>
        <item m="1" x="375"/>
        <item m="1" x="412"/>
        <item m="1" x="379"/>
        <item m="1" x="380"/>
        <item m="1" x="413"/>
        <item m="1" x="414"/>
        <item m="1" x="415"/>
        <item m="1" x="416"/>
        <item m="1" x="417"/>
        <item m="1" x="389"/>
        <item m="1" x="418"/>
        <item m="1" x="392"/>
        <item m="1" x="394"/>
        <item m="1" x="395"/>
        <item m="1" x="396"/>
        <item m="1" x="419"/>
        <item m="1" x="420"/>
        <item m="1" x="422"/>
        <item m="1" x="401"/>
        <item m="1" x="423"/>
        <item m="1" x="424"/>
        <item m="1" x="425"/>
        <item m="1" x="408"/>
        <item m="1" x="409"/>
        <item m="1" x="426"/>
        <item m="1" x="372"/>
        <item m="1" x="374"/>
        <item m="1" x="376"/>
        <item m="1" x="383"/>
        <item m="1" x="384"/>
        <item m="1" x="386"/>
        <item m="1" x="387"/>
        <item m="1" x="388"/>
        <item m="1" x="390"/>
        <item m="1" x="397"/>
        <item m="1" x="398"/>
        <item m="1" x="399"/>
        <item m="1" x="400"/>
        <item m="1" x="402"/>
        <item m="1" x="403"/>
        <item m="1" x="404"/>
        <item m="1" x="405"/>
        <item m="1" x="406"/>
        <item m="1" x="332"/>
        <item m="1" x="312"/>
        <item m="1" x="335"/>
        <item m="1" x="336"/>
        <item m="1" x="337"/>
        <item m="1" x="338"/>
        <item m="1" x="339"/>
        <item m="1" x="340"/>
        <item m="1" x="341"/>
        <item m="1" x="224"/>
        <item m="1" x="342"/>
        <item m="1" x="343"/>
        <item m="1" x="344"/>
        <item m="1" x="345"/>
        <item m="1" x="346"/>
        <item m="1" x="347"/>
        <item m="1" x="296"/>
        <item m="1" x="298"/>
        <item m="1" x="348"/>
        <item m="1" x="350"/>
        <item m="1" x="351"/>
        <item m="1" x="352"/>
        <item m="1" x="353"/>
        <item m="1" x="313"/>
        <item m="1" x="354"/>
        <item m="1" x="355"/>
        <item m="1" x="356"/>
        <item m="1" x="317"/>
        <item m="1" x="357"/>
        <item m="1" x="319"/>
        <item m="1" x="320"/>
        <item m="1" x="358"/>
        <item m="1" x="359"/>
        <item m="1" x="360"/>
        <item m="1" x="361"/>
        <item m="1" x="362"/>
        <item m="1" x="363"/>
        <item m="1" x="364"/>
        <item m="1" x="365"/>
        <item m="1" x="366"/>
        <item m="1" x="367"/>
        <item m="1" x="368"/>
        <item m="1" x="329"/>
        <item m="1" x="330"/>
        <item m="1" x="177"/>
        <item m="1" x="281"/>
        <item m="1" x="282"/>
        <item m="1" x="283"/>
        <item m="1" x="284"/>
        <item m="1" x="286"/>
        <item m="1" x="295"/>
        <item m="1" x="299"/>
        <item m="1" x="302"/>
        <item m="1" x="303"/>
        <item m="1" x="304"/>
        <item m="1" x="305"/>
        <item m="1" x="306"/>
        <item m="1" x="307"/>
        <item m="1" x="308"/>
        <item m="1" x="309"/>
        <item m="1" x="310"/>
        <item m="1" x="311"/>
        <item m="1" x="314"/>
        <item m="1" x="316"/>
        <item m="1" x="318"/>
        <item m="1" x="321"/>
        <item m="1" x="322"/>
        <item m="1" x="323"/>
        <item m="1" x="324"/>
        <item m="1" x="328"/>
        <item m="1" x="241"/>
        <item m="1" x="242"/>
        <item m="1" x="243"/>
        <item m="1" x="244"/>
        <item m="1" x="245"/>
        <item m="1" x="246"/>
        <item m="1" x="247"/>
        <item m="1" x="248"/>
        <item m="1" x="249"/>
        <item m="1" x="250"/>
        <item m="1" x="251"/>
        <item m="1" x="252"/>
        <item m="1" x="253"/>
        <item m="1" x="254"/>
        <item m="1" x="194"/>
        <item m="1" x="255"/>
        <item m="1" x="198"/>
        <item m="1" x="199"/>
        <item m="1" x="256"/>
        <item m="1" x="257"/>
        <item m="1" x="258"/>
        <item m="1" x="259"/>
        <item m="1" x="204"/>
        <item m="1" x="205"/>
        <item m="1" x="206"/>
        <item m="1" x="260"/>
        <item m="1" x="261"/>
        <item m="1" x="262"/>
        <item m="1" x="266"/>
        <item m="1" x="267"/>
        <item m="1" x="268"/>
        <item m="1" x="269"/>
        <item m="1" x="270"/>
        <item m="1" x="271"/>
        <item m="1" x="213"/>
        <item m="1" x="272"/>
        <item m="1" x="221"/>
        <item m="1" x="273"/>
        <item m="1" x="274"/>
        <item m="1" x="275"/>
        <item m="1" x="226"/>
        <item m="1" x="276"/>
        <item m="1" x="277"/>
        <item m="1" x="239"/>
        <item x="62"/>
        <item m="1" x="178"/>
        <item m="1" x="179"/>
        <item m="1" x="180"/>
        <item m="1" x="181"/>
        <item m="1" x="182"/>
        <item m="1" x="183"/>
        <item m="1" x="184"/>
        <item m="1" x="185"/>
        <item m="1" x="186"/>
        <item m="1" x="187"/>
        <item m="1" x="188"/>
        <item m="1" x="189"/>
        <item m="1" x="190"/>
        <item m="1" x="191"/>
        <item m="1" x="192"/>
        <item m="1" x="193"/>
        <item m="1" x="195"/>
        <item m="1" x="196"/>
        <item m="1" x="200"/>
        <item m="1" x="201"/>
        <item m="1" x="202"/>
        <item m="1" x="203"/>
        <item m="1" x="207"/>
        <item m="1" x="208"/>
        <item m="1" x="209"/>
        <item m="1" x="210"/>
        <item m="1" x="211"/>
        <item m="1" x="212"/>
        <item m="1" x="214"/>
        <item m="1" x="215"/>
        <item m="1" x="216"/>
        <item m="1" x="217"/>
        <item m="1" x="218"/>
        <item m="1" x="219"/>
        <item m="1" x="220"/>
        <item m="1" x="222"/>
        <item m="1" x="223"/>
        <item m="1" x="227"/>
        <item m="1" x="228"/>
        <item m="1" x="229"/>
        <item m="1" x="230"/>
        <item m="1" x="231"/>
        <item m="1" x="232"/>
        <item m="1" x="233"/>
        <item m="1" x="234"/>
        <item m="1" x="235"/>
        <item m="1" x="236"/>
        <item m="1" x="237"/>
        <item m="1" x="240"/>
        <item m="1" x="17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7"/>
        <item x="38"/>
        <item x="39"/>
        <item x="40"/>
        <item x="41"/>
        <item x="42"/>
        <item x="43"/>
        <item x="44"/>
        <item x="45"/>
        <item x="46"/>
        <item x="47"/>
        <item x="48"/>
        <item x="49"/>
        <item x="50"/>
        <item x="51"/>
        <item x="52"/>
        <item x="53"/>
        <item x="54"/>
        <item x="55"/>
        <item x="56"/>
        <item x="57"/>
        <item x="58"/>
        <item x="59"/>
        <item x="60"/>
        <item x="61"/>
        <item x="63"/>
        <item x="64"/>
        <item x="65"/>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t="default"/>
      </items>
      <autoSortScope>
        <pivotArea dataOnly="0" outline="0" fieldPosition="0">
          <references count="1">
            <reference field="4294967294" count="1" selected="0">
              <x v="3"/>
            </reference>
          </references>
        </pivotArea>
      </autoSortScope>
    </pivotField>
    <pivotField showAll="0"/>
    <pivotField showAll="0"/>
    <pivotField axis="axisRow" showAll="0" sortType="ascending">
      <items count="16">
        <item m="1" x="7"/>
        <item m="1" x="8"/>
        <item x="1"/>
        <item m="1" x="14"/>
        <item x="3"/>
        <item m="1" x="12"/>
        <item m="1" x="13"/>
        <item m="1" x="11"/>
        <item m="1" x="6"/>
        <item x="2"/>
        <item x="5"/>
        <item m="1" x="9"/>
        <item x="0"/>
        <item m="1" x="10"/>
        <item x="4"/>
        <item t="default"/>
      </items>
      <autoSortScope>
        <pivotArea dataOnly="0" outline="0" fieldPosition="0">
          <references count="1">
            <reference field="4294967294" count="1" selected="0">
              <x v="3"/>
            </reference>
          </references>
        </pivotArea>
      </autoSortScope>
    </pivotField>
    <pivotField showAll="0"/>
    <pivotField showAll="0"/>
    <pivotField showAll="0"/>
    <pivotField showAll="0"/>
    <pivotField showAll="0"/>
    <pivotField showAll="0"/>
    <pivotField showAll="0"/>
    <pivotField showAll="0"/>
    <pivotField numFmtId="164" showAll="0"/>
    <pivotField numFmtId="164" showAll="0"/>
    <pivotField numFmtId="166" showAll="0"/>
    <pivotField showAll="0"/>
    <pivotField numFmtId="2" showAll="0"/>
    <pivotField numFmtId="2" showAll="0"/>
    <pivotField numFmtId="164" showAll="0"/>
    <pivotField dataField="1" numFmtId="164" showAll="0"/>
    <pivotField numFmtId="2" showAll="0"/>
    <pivotField showAll="0"/>
    <pivotField dataField="1" numFmtId="2" showAll="0"/>
    <pivotField numFmtId="2" showAll="0"/>
    <pivotField numFmtId="164" showAll="0"/>
    <pivotField numFmtId="164" showAll="0"/>
    <pivotField numFmtId="2" showAll="0"/>
    <pivotField numFmtId="2" showAll="0"/>
    <pivotField dataField="1" numFmtId="2" showAll="0"/>
    <pivotField numFmtId="2" showAll="0"/>
    <pivotField showAll="0"/>
    <pivotField numFmtId="2" showAll="0"/>
    <pivotField numFmtId="2" showAll="0"/>
    <pivotField numFmtId="1" showAll="0"/>
    <pivotField showAll="0"/>
    <pivotField numFmtId="2" showAll="0"/>
    <pivotField dataField="1" dragToRow="0" dragToCol="0" dragToPage="0" showAll="0" defaultSubtotal="0"/>
  </pivotFields>
  <rowFields count="2">
    <field x="3"/>
    <field x="0"/>
  </rowFields>
  <rowItems count="184">
    <i>
      <x v="14"/>
    </i>
    <i r="1">
      <x v="415"/>
    </i>
    <i>
      <x v="2"/>
    </i>
    <i r="1">
      <x v="319"/>
    </i>
    <i r="1">
      <x v="321"/>
    </i>
    <i r="1">
      <x v="322"/>
    </i>
    <i r="1">
      <x v="310"/>
    </i>
    <i r="1">
      <x v="311"/>
    </i>
    <i r="1">
      <x v="312"/>
    </i>
    <i r="1">
      <x v="313"/>
    </i>
    <i r="1">
      <x v="320"/>
    </i>
    <i r="1">
      <x v="309"/>
    </i>
    <i r="1">
      <x v="308"/>
    </i>
    <i r="1">
      <x v="342"/>
    </i>
    <i r="1">
      <x v="343"/>
    </i>
    <i r="1">
      <x v="363"/>
    </i>
    <i r="1">
      <x v="365"/>
    </i>
    <i r="1">
      <x v="254"/>
    </i>
    <i r="1">
      <x v="307"/>
    </i>
    <i r="1">
      <x v="362"/>
    </i>
    <i r="1">
      <x v="364"/>
    </i>
    <i r="1">
      <x v="367"/>
    </i>
    <i r="1">
      <x v="368"/>
    </i>
    <i r="1">
      <x v="14"/>
    </i>
    <i r="1">
      <x v="369"/>
    </i>
    <i r="1">
      <x v="370"/>
    </i>
    <i r="1">
      <x v="371"/>
    </i>
    <i r="1">
      <x v="387"/>
    </i>
    <i r="1">
      <x v="389"/>
    </i>
    <i r="1">
      <x v="390"/>
    </i>
    <i r="1">
      <x v="391"/>
    </i>
    <i r="1">
      <x v="392"/>
    </i>
    <i r="1">
      <x v="393"/>
    </i>
    <i r="1">
      <x v="394"/>
    </i>
    <i r="1">
      <x v="395"/>
    </i>
    <i r="1">
      <x v="418"/>
    </i>
    <i r="1">
      <x v="419"/>
    </i>
    <i r="1">
      <x v="420"/>
    </i>
    <i r="1">
      <x v="421"/>
    </i>
    <i r="1">
      <x v="422"/>
    </i>
    <i r="1">
      <x v="423"/>
    </i>
    <i r="1">
      <x v="424"/>
    </i>
    <i r="1">
      <x v="425"/>
    </i>
    <i r="1">
      <x v="426"/>
    </i>
    <i r="1">
      <x v="427"/>
    </i>
    <i r="1">
      <x v="429"/>
    </i>
    <i r="1">
      <x v="428"/>
    </i>
    <i r="1">
      <x v="388"/>
    </i>
    <i r="1">
      <x v="445"/>
    </i>
    <i r="1">
      <x v="446"/>
    </i>
    <i r="1">
      <x v="447"/>
    </i>
    <i r="1">
      <x v="448"/>
    </i>
    <i r="1">
      <x v="449"/>
    </i>
    <i r="1">
      <x v="366"/>
    </i>
    <i r="1">
      <x v="450"/>
    </i>
    <i r="1">
      <x v="451"/>
    </i>
    <i r="1">
      <x v="452"/>
    </i>
    <i>
      <x v="10"/>
    </i>
    <i r="1">
      <x v="463"/>
    </i>
    <i>
      <x v="9"/>
    </i>
    <i r="1">
      <x v="323"/>
    </i>
    <i r="1">
      <x v="324"/>
    </i>
    <i r="1">
      <x v="325"/>
    </i>
    <i r="1">
      <x v="326"/>
    </i>
    <i r="1">
      <x v="327"/>
    </i>
    <i r="1">
      <x v="328"/>
    </i>
    <i r="1">
      <x v="329"/>
    </i>
    <i r="1">
      <x v="330"/>
    </i>
    <i r="1">
      <x v="331"/>
    </i>
    <i r="1">
      <x v="335"/>
    </i>
    <i r="1">
      <x v="336"/>
    </i>
    <i r="1">
      <x v="337"/>
    </i>
    <i r="1">
      <x v="338"/>
    </i>
    <i r="1">
      <x v="339"/>
    </i>
    <i r="1">
      <x v="314"/>
    </i>
    <i r="1">
      <x v="315"/>
    </i>
    <i r="1">
      <x v="317"/>
    </i>
    <i r="1">
      <x v="355"/>
    </i>
    <i r="1">
      <x v="344"/>
    </i>
    <i r="1">
      <x v="316"/>
    </i>
    <i r="1">
      <x v="345"/>
    </i>
    <i r="1">
      <x v="346"/>
    </i>
    <i r="1">
      <x v="347"/>
    </i>
    <i r="1">
      <x v="356"/>
    </i>
    <i r="1">
      <x v="357"/>
    </i>
    <i r="1">
      <x v="358"/>
    </i>
    <i r="1">
      <x v="359"/>
    </i>
    <i r="1">
      <x v="349"/>
    </i>
    <i r="1">
      <x v="350"/>
    </i>
    <i r="1">
      <x v="373"/>
    </i>
    <i r="1">
      <x v="348"/>
    </i>
    <i r="1">
      <x v="372"/>
    </i>
    <i r="1">
      <x v="383"/>
    </i>
    <i r="1">
      <x v="374"/>
    </i>
    <i r="1">
      <x v="384"/>
    </i>
    <i r="1">
      <x v="375"/>
    </i>
    <i r="1">
      <x v="376"/>
    </i>
    <i r="1">
      <x v="351"/>
    </i>
    <i r="1">
      <x v="396"/>
    </i>
    <i r="1">
      <x v="397"/>
    </i>
    <i r="1">
      <x v="398"/>
    </i>
    <i r="1">
      <x v="399"/>
    </i>
    <i r="1">
      <x v="400"/>
    </i>
    <i r="1">
      <x v="401"/>
    </i>
    <i r="1">
      <x v="402"/>
    </i>
    <i r="1">
      <x v="403"/>
    </i>
    <i r="1">
      <x v="404"/>
    </i>
    <i r="1">
      <x v="405"/>
    </i>
    <i r="1">
      <x v="406"/>
    </i>
    <i r="1">
      <x v="407"/>
    </i>
    <i r="1">
      <x v="430"/>
    </i>
    <i r="1">
      <x v="431"/>
    </i>
    <i r="1">
      <x v="432"/>
    </i>
    <i r="1">
      <x v="433"/>
    </i>
    <i r="1">
      <x v="434"/>
    </i>
    <i r="1">
      <x v="435"/>
    </i>
    <i r="1">
      <x v="436"/>
    </i>
    <i r="1">
      <x v="437"/>
    </i>
    <i r="1">
      <x v="438"/>
    </i>
    <i r="1">
      <x v="453"/>
    </i>
    <i r="1">
      <x v="454"/>
    </i>
    <i r="1">
      <x v="455"/>
    </i>
    <i r="1">
      <x v="456"/>
    </i>
    <i r="1">
      <x v="457"/>
    </i>
    <i r="1">
      <x v="458"/>
    </i>
    <i r="1">
      <x v="459"/>
    </i>
    <i r="1">
      <x v="460"/>
    </i>
    <i r="1">
      <x v="461"/>
    </i>
    <i r="1">
      <x v="462"/>
    </i>
    <i r="1">
      <x v="464"/>
    </i>
    <i r="1">
      <x v="465"/>
    </i>
    <i r="1">
      <x v="466"/>
    </i>
    <i r="1">
      <x v="467"/>
    </i>
    <i r="1">
      <x v="468"/>
    </i>
    <i r="1">
      <x v="469"/>
    </i>
    <i r="1">
      <x v="470"/>
    </i>
    <i r="1">
      <x v="471"/>
    </i>
    <i r="1">
      <x v="472"/>
    </i>
    <i>
      <x v="4"/>
    </i>
    <i r="1">
      <x v="408"/>
    </i>
    <i r="1">
      <x v="410"/>
    </i>
    <i r="1">
      <x v="439"/>
    </i>
    <i r="1">
      <x v="441"/>
    </i>
    <i r="1">
      <x v="473"/>
    </i>
    <i r="1">
      <x v="409"/>
    </i>
    <i r="1">
      <x v="474"/>
    </i>
    <i r="1">
      <x v="411"/>
    </i>
    <i>
      <x v="12"/>
    </i>
    <i r="1">
      <x v="308"/>
    </i>
    <i r="1">
      <x v="332"/>
    </i>
    <i r="1">
      <x v="15"/>
    </i>
    <i r="1">
      <x v="341"/>
    </i>
    <i r="1">
      <x v="334"/>
    </i>
    <i r="1">
      <x v="305"/>
    </i>
    <i r="1">
      <x v="318"/>
    </i>
    <i r="1">
      <x v="306"/>
    </i>
    <i r="1">
      <x v="352"/>
    </i>
    <i r="1">
      <x v="353"/>
    </i>
    <i r="1">
      <x v="333"/>
    </i>
    <i r="1">
      <x v="354"/>
    </i>
    <i r="1">
      <x v="360"/>
    </i>
    <i r="1">
      <x v="361"/>
    </i>
    <i r="1">
      <x v="377"/>
    </i>
    <i r="1">
      <x v="340"/>
    </i>
    <i r="1">
      <x v="378"/>
    </i>
    <i r="1">
      <x v="379"/>
    </i>
    <i r="1">
      <x v="380"/>
    </i>
    <i r="1">
      <x v="381"/>
    </i>
    <i r="1">
      <x v="382"/>
    </i>
    <i r="1">
      <x v="385"/>
    </i>
    <i r="1">
      <x v="386"/>
    </i>
    <i r="1">
      <x v="412"/>
    </i>
    <i r="1">
      <x v="413"/>
    </i>
    <i r="1">
      <x v="414"/>
    </i>
    <i r="1">
      <x v="416"/>
    </i>
    <i r="1">
      <x v="417"/>
    </i>
    <i r="1">
      <x v="440"/>
    </i>
    <i r="1">
      <x v="442"/>
    </i>
    <i r="1">
      <x v="443"/>
    </i>
    <i r="1">
      <x v="444"/>
    </i>
    <i r="1">
      <x v="475"/>
    </i>
    <i r="1">
      <x v="476"/>
    </i>
    <i r="1">
      <x v="477"/>
    </i>
    <i t="grand">
      <x/>
    </i>
  </rowItems>
  <colFields count="1">
    <field x="-2"/>
  </colFields>
  <colItems count="4">
    <i>
      <x/>
    </i>
    <i i="1">
      <x v="1"/>
    </i>
    <i i="2">
      <x v="2"/>
    </i>
    <i i="3">
      <x v="3"/>
    </i>
  </colItems>
  <dataFields count="4">
    <dataField name="Сутки (план) " fld="22" baseField="0" baseItem="0" numFmtId="2"/>
    <dataField name="Сутки (факт) " fld="28" baseField="0" baseItem="0" numFmtId="2"/>
    <dataField name="Отставание/опережение " fld="36" baseField="0" baseItem="0" numFmtId="2"/>
    <dataField name="Максимум по полю Конец (план)" fld="19" subtotal="max" baseField="0" baseItem="0"/>
  </dataFields>
  <formats count="4">
    <format dxfId="21">
      <pivotArea outline="0" collapsedLevelsAreSubtotals="1" fieldPosition="0"/>
    </format>
    <format dxfId="20">
      <pivotArea outline="0" collapsedLevelsAreSubtotals="1" fieldPosition="0">
        <references count="1">
          <reference field="4294967294" count="1" selected="0">
            <x v="0"/>
          </reference>
        </references>
      </pivotArea>
    </format>
    <format dxfId="19">
      <pivotArea outline="0" collapsedLevelsAreSubtotals="1" fieldPosition="0">
        <references count="1">
          <reference field="4294967294" count="1" selected="0">
            <x v="1"/>
          </reference>
        </references>
      </pivotArea>
    </format>
    <format dxfId="18">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1400-000009000000}" name="НПВ_по_отв" cacheId="62" applyNumberFormats="0" applyBorderFormats="0" applyFontFormats="0" applyPatternFormats="0" applyAlignmentFormats="0" applyWidthHeightFormats="1" dataCaption="Значения" updatedVersion="8" minRefreshableVersion="3" useAutoFormatting="1" itemPrintTitles="1" createdVersion="8" indent="0" outline="1" outlineData="1" multipleFieldFilters="0" chartFormat="18">
  <location ref="A3:B7" firstHeaderRow="1" firstDataRow="1" firstDataCol="1" rowPageCount="1" colPageCount="1"/>
  <pivotFields count="6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5">
        <item x="1"/>
        <item x="0"/>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numFmtId="164" showAll="0"/>
    <pivotField numFmtId="164" showAll="0">
      <items count="2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2"/>
        <item x="83"/>
        <item x="84"/>
        <item x="85"/>
        <item x="86"/>
        <item x="88"/>
        <item x="89"/>
        <item x="90"/>
        <item x="91"/>
        <item x="120"/>
        <item x="122"/>
        <item x="81"/>
        <item x="87"/>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1"/>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t="default"/>
      </items>
    </pivotField>
    <pivotField numFmtId="2" showAll="0"/>
    <pivotField numFmtId="2" showAll="0"/>
    <pivotField axis="axisPage" multipleItemSelectionAllowed="1" showAll="0">
      <items count="4">
        <item x="2"/>
        <item h="1" x="0"/>
        <item h="1" x="1"/>
        <item t="default"/>
      </items>
    </pivotField>
    <pivotField numFmtId="166" showAll="0"/>
    <pivotField numFmtId="166" showAll="0"/>
    <pivotField dataField="1" numFmtId="166" showAll="0"/>
    <pivotField numFmtId="1" showAll="0"/>
    <pivotField numFmtId="1" showAll="0"/>
    <pivotField numFmtId="14"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umFmtId="165" showAll="0"/>
    <pivotField showAll="0"/>
    <pivotField showAll="0"/>
    <pivotField showAll="0"/>
    <pivotField showAll="0"/>
    <pivotField showAll="0"/>
    <pivotField numFmtId="2" showAll="0"/>
    <pivotField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showAll="0" defaultSubtotal="0">
      <items count="17">
        <item x="0"/>
        <item x="1"/>
        <item x="2"/>
        <item x="3"/>
        <item x="4"/>
        <item x="5"/>
        <item x="6"/>
        <item x="7"/>
        <item x="8"/>
        <item x="9"/>
        <item x="10"/>
        <item x="11"/>
        <item x="12"/>
        <item x="13"/>
        <item x="14"/>
        <item x="15"/>
        <item x="16"/>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23"/>
  </rowFields>
  <rowItems count="4">
    <i>
      <x/>
    </i>
    <i>
      <x v="2"/>
    </i>
    <i>
      <x v="3"/>
    </i>
    <i t="grand">
      <x/>
    </i>
  </rowItems>
  <colItems count="1">
    <i/>
  </colItems>
  <pageFields count="1">
    <pageField fld="35" hier="-1"/>
  </pageFields>
  <dataFields count="1">
    <dataField name="Сумма по полю НПВ" fld="38" baseField="0" baseItem="0" numFmtId="166"/>
  </dataFields>
  <chartFormats count="10">
    <chartFormat chart="0" format="0" series="1">
      <pivotArea type="data" outline="0" fieldPosition="0">
        <references count="1">
          <reference field="4294967294" count="1" selected="0">
            <x v="0"/>
          </reference>
        </references>
      </pivotArea>
    </chartFormat>
    <chartFormat chart="6" format="8" series="1">
      <pivotArea type="data" outline="0" fieldPosition="0">
        <references count="1">
          <reference field="4294967294" count="1" selected="0">
            <x v="0"/>
          </reference>
        </references>
      </pivotArea>
    </chartFormat>
    <chartFormat chart="6" format="12">
      <pivotArea type="data" outline="0" fieldPosition="0">
        <references count="2">
          <reference field="4294967294" count="1" selected="0">
            <x v="0"/>
          </reference>
          <reference field="23" count="1" selected="0">
            <x v="0"/>
          </reference>
        </references>
      </pivotArea>
    </chartFormat>
    <chartFormat chart="6" format="14">
      <pivotArea type="data" outline="0" fieldPosition="0">
        <references count="1">
          <reference field="4294967294" count="1" selected="0">
            <x v="0"/>
          </reference>
        </references>
      </pivotArea>
    </chartFormat>
    <chartFormat chart="0" format="5">
      <pivotArea type="data" outline="0" fieldPosition="0">
        <references count="1">
          <reference field="4294967294" count="1" selected="0">
            <x v="0"/>
          </reference>
        </references>
      </pivotArea>
    </chartFormat>
    <chartFormat chart="6" format="15">
      <pivotArea type="data" outline="0" fieldPosition="0">
        <references count="2">
          <reference field="4294967294" count="1" selected="0">
            <x v="0"/>
          </reference>
          <reference field="23" count="1" selected="0">
            <x v="2"/>
          </reference>
        </references>
      </pivotArea>
    </chartFormat>
    <chartFormat chart="6" format="16">
      <pivotArea type="data" outline="0" fieldPosition="0">
        <references count="2">
          <reference field="4294967294" count="1" selected="0">
            <x v="0"/>
          </reference>
          <reference field="23" count="1" selected="0">
            <x v="3"/>
          </reference>
        </references>
      </pivotArea>
    </chartFormat>
    <chartFormat chart="0" format="8">
      <pivotArea type="data" outline="0" fieldPosition="0">
        <references count="2">
          <reference field="4294967294" count="1" selected="0">
            <x v="0"/>
          </reference>
          <reference field="23" count="1" selected="0">
            <x v="0"/>
          </reference>
        </references>
      </pivotArea>
    </chartFormat>
    <chartFormat chart="0" format="9">
      <pivotArea type="data" outline="0" fieldPosition="0">
        <references count="2">
          <reference field="4294967294" count="1" selected="0">
            <x v="0"/>
          </reference>
          <reference field="23" count="1" selected="0">
            <x v="2"/>
          </reference>
        </references>
      </pivotArea>
    </chartFormat>
    <chartFormat chart="0" format="10">
      <pivotArea type="data" outline="0" fieldPosition="0">
        <references count="2">
          <reference field="4294967294" count="1" selected="0">
            <x v="0"/>
          </reference>
          <reference field="23" count="1" selected="0">
            <x v="3"/>
          </reference>
        </references>
      </pivotArea>
    </chartFormat>
  </chartFormats>
  <pivotTableStyleInfo name="PivotStyleLight16" showRowHeaders="1" showColHeaders="1" showRowStripes="0" showColStripes="0" showLastColumn="1"/>
  <filters count="1">
    <filter fld="41" type="dateBetween" evalOrder="-1" id="111" name="Дата начала">
      <autoFilter ref="A1">
        <filterColumn colId="0">
          <customFilters and="1">
            <customFilter operator="greaterThanOrEqual" val="46143"/>
            <customFilter operator="lessThanOrEqual" val="46173"/>
          </customFilters>
        </filterColumn>
      </autoFilter>
    </filter>
  </filters>
  <extLs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1500-00000A000000}" name="БВ_по_неделям" cacheId="62" applyNumberFormats="0" applyBorderFormats="0" applyFontFormats="0" applyPatternFormats="0" applyAlignmentFormats="0" applyWidthHeightFormats="1" dataCaption="Значения" updatedVersion="8" minRefreshableVersion="3" useAutoFormatting="1" itemPrintTitles="1" createdVersion="8" indent="0" outline="1" outlineData="1" multipleFieldFilters="0" chartFormat="40">
  <location ref="A3:D10" firstHeaderRow="1" firstDataRow="2" firstDataCol="1"/>
  <pivotFields count="60">
    <pivotField showAll="0"/>
    <pivotField showAll="0"/>
    <pivotField showAll="0"/>
    <pivotField showAll="0"/>
    <pivotField showAll="0"/>
    <pivotField showAll="0"/>
    <pivotField showAll="0"/>
    <pivotField showAll="0"/>
    <pivotField numFmtI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numFmtId="164" showAll="0">
      <items count="2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2"/>
        <item x="83"/>
        <item x="84"/>
        <item x="85"/>
        <item x="86"/>
        <item x="88"/>
        <item x="89"/>
        <item x="90"/>
        <item x="91"/>
        <item x="120"/>
        <item x="122"/>
        <item x="81"/>
        <item x="87"/>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1"/>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t="default"/>
      </items>
    </pivotField>
    <pivotField numFmtId="2" showAll="0"/>
    <pivotField numFmtId="2" showAll="0"/>
    <pivotField showAll="0"/>
    <pivotField numFmtId="1" showAll="0"/>
    <pivotField numFmtId="1" showAll="0"/>
    <pivotField numFmtId="1" showAll="0"/>
    <pivotField numFmtId="1" showAll="0"/>
    <pivotField numFmtId="1" showAll="0"/>
    <pivotField numFmtId="14"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umFmtId="165" showAll="0"/>
    <pivotField numFmtId="14" showAll="0"/>
    <pivotField numFmtId="165" showAll="0"/>
    <pivotField showAll="0"/>
    <pivotField showAll="0"/>
    <pivotField showAll="0"/>
    <pivotField numFmtId="2" showAll="0"/>
    <pivotField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axis="axisRow" showAll="0">
      <items count="18">
        <item x="0"/>
        <item x="1"/>
        <item x="2"/>
        <item x="3"/>
        <item x="4"/>
        <item x="5"/>
        <item x="6"/>
        <item x="7"/>
        <item x="8"/>
        <item x="9"/>
        <item x="10"/>
        <item x="11"/>
        <item x="12"/>
        <item x="13"/>
        <item x="14"/>
        <item x="15"/>
        <item x="16"/>
        <item t="default"/>
      </items>
    </pivotField>
    <pivotField dragToRow="0" dragToCol="0" dragToPage="0" showAll="0" defaultSubtotal="0"/>
    <pivotField dragToRow="0" dragToCol="0" dragToPage="0" showAll="0" defaultSubtotal="0"/>
    <pivotField dataField="1" dragToRow="0" dragToCol="0" dragToPage="0" showAll="0" defaultSubtotal="0"/>
    <pivotField dataField="1" dragToRow="0" dragToCol="0" dragToPage="0" showAll="0" defaultSubtotal="0"/>
    <pivotField dataField="1" dragToRow="0" dragToCol="0" dragToPage="0" showAll="0" defaultSubtotal="0"/>
    <pivotField dragToRow="0" dragToCol="0" dragToPage="0" showAll="0" defaultSubtotal="0"/>
  </pivotFields>
  <rowFields count="1">
    <field x="53"/>
  </rowFields>
  <rowItems count="6">
    <i>
      <x v="7"/>
    </i>
    <i>
      <x v="8"/>
    </i>
    <i>
      <x v="9"/>
    </i>
    <i>
      <x v="10"/>
    </i>
    <i>
      <x v="11"/>
    </i>
    <i t="grand">
      <x/>
    </i>
  </rowItems>
  <colFields count="1">
    <field x="-2"/>
  </colFields>
  <colItems count="3">
    <i>
      <x/>
    </i>
    <i i="1">
      <x v="1"/>
    </i>
    <i i="2">
      <x v="2"/>
    </i>
  </colItems>
  <dataFields count="3">
    <dataField name="ПВ, % " fld="56" baseField="0" baseItem="0" numFmtId="9"/>
    <dataField name="ПНВ, % " fld="57" baseField="0" baseItem="0" numFmtId="9"/>
    <dataField name="НПВ, % " fld="58" baseField="0" baseItem="0" numFmtId="9"/>
  </dataFields>
  <formats count="3">
    <format dxfId="17">
      <pivotArea collapsedLevelsAreSubtotals="1" fieldPosition="0">
        <references count="2">
          <reference field="4294967294" count="1" selected="0">
            <x v="0"/>
          </reference>
          <reference field="53" count="1">
            <x v="4"/>
          </reference>
        </references>
      </pivotArea>
    </format>
    <format dxfId="16">
      <pivotArea outline="0" collapsedLevelsAreSubtotals="1" fieldPosition="0">
        <references count="1">
          <reference field="4294967294" count="2" selected="0">
            <x v="0"/>
            <x v="1"/>
          </reference>
        </references>
      </pivotArea>
    </format>
    <format dxfId="15">
      <pivotArea outline="0" collapsedLevelsAreSubtotals="1" fieldPosition="0">
        <references count="1">
          <reference field="4294967294" count="1" selected="0">
            <x v="2"/>
          </reference>
        </references>
      </pivotArea>
    </format>
  </formats>
  <chartFormats count="6">
    <chartFormat chart="8" format="10" series="1">
      <pivotArea type="data" outline="0" fieldPosition="0">
        <references count="1">
          <reference field="4294967294" count="1" selected="0">
            <x v="0"/>
          </reference>
        </references>
      </pivotArea>
    </chartFormat>
    <chartFormat chart="8" format="11" series="1">
      <pivotArea type="data" outline="0" fieldPosition="0">
        <references count="1">
          <reference field="4294967294" count="1" selected="0">
            <x v="1"/>
          </reference>
        </references>
      </pivotArea>
    </chartFormat>
    <chartFormat chart="8" format="12" series="1">
      <pivotArea type="data" outline="0" fieldPosition="0">
        <references count="1">
          <reference field="4294967294" count="1" selected="0">
            <x v="2"/>
          </reference>
        </references>
      </pivotArea>
    </chartFormat>
    <chartFormat chart="27" format="16" series="1">
      <pivotArea type="data" outline="0" fieldPosition="0">
        <references count="1">
          <reference field="4294967294" count="1" selected="0">
            <x v="0"/>
          </reference>
        </references>
      </pivotArea>
    </chartFormat>
    <chartFormat chart="27" format="17" series="1">
      <pivotArea type="data" outline="0" fieldPosition="0">
        <references count="1">
          <reference field="4294967294" count="1" selected="0">
            <x v="1"/>
          </reference>
        </references>
      </pivotArea>
    </chartFormat>
    <chartFormat chart="27" format="1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filters count="1">
    <filter fld="41" type="dateBetween" evalOrder="-1" id="244" name="Дата начала">
      <autoFilter ref="A1">
        <filterColumn colId="0">
          <customFilters and="1">
            <customFilter operator="greaterThanOrEqual" val="46143"/>
            <customFilter operator="lessThanOrEqual" val="46173"/>
          </customFilters>
        </filterColumn>
      </autoFilter>
    </filter>
  </filters>
  <extLs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1600-00000B000000}" name="БВ_по_дням" cacheId="62" applyNumberFormats="0" applyBorderFormats="0" applyFontFormats="0" applyPatternFormats="0" applyAlignmentFormats="0" applyWidthHeightFormats="1" dataCaption="Значения" updatedVersion="8" minRefreshableVersion="3" useAutoFormatting="1" itemPrintTitles="1" createdVersion="8" indent="0" outline="1" outlineData="1" multipleFieldFilters="0" chartFormat="13">
  <location ref="A3:D67" firstHeaderRow="1" firstDataRow="2" firstDataCol="1"/>
  <pivotFields count="60">
    <pivotField showAll="0"/>
    <pivotField showAll="0"/>
    <pivotField showAll="0"/>
    <pivotField showAll="0"/>
    <pivotField showAll="0"/>
    <pivotField axis="axisRow" showAll="0">
      <items count="6">
        <item x="2"/>
        <item x="4"/>
        <item x="3"/>
        <item x="1"/>
        <item x="0"/>
        <item t="default"/>
      </items>
    </pivotField>
    <pivotField showAll="0"/>
    <pivotField showAll="0"/>
    <pivotField numFmtI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numFmtId="164" showAll="0">
      <items count="2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2"/>
        <item x="83"/>
        <item x="84"/>
        <item x="85"/>
        <item x="86"/>
        <item x="88"/>
        <item x="89"/>
        <item x="90"/>
        <item x="91"/>
        <item x="120"/>
        <item x="122"/>
        <item x="81"/>
        <item x="87"/>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1"/>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t="default"/>
      </items>
    </pivotField>
    <pivotField numFmtId="2" showAll="0"/>
    <pivotField numFmtId="2" showAll="0"/>
    <pivotField showAll="0"/>
    <pivotField dataField="1" numFmtId="1" showAll="0"/>
    <pivotField dataField="1" numFmtId="1" showAll="0"/>
    <pivotField dataField="1" numFmtId="1" showAll="0"/>
    <pivotField numFmtId="1" showAll="0"/>
    <pivotField numFmtId="1" showAll="0"/>
    <pivotField axis="axisRow" numFmtId="168"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umFmtId="165" showAll="0"/>
    <pivotField numFmtId="14" showAll="0"/>
    <pivotField numFmtId="165" showAll="0"/>
    <pivotField showAll="0"/>
    <pivotField showAll="0"/>
    <pivotField showAll="0"/>
    <pivotField numFmtId="2" showAll="0"/>
    <pivotField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showAll="0">
      <items count="18">
        <item sd="0" x="0"/>
        <item sd="0" x="1"/>
        <item sd="0" x="2"/>
        <item sd="0" x="3"/>
        <item sd="0" x="4"/>
        <item x="5"/>
        <item x="6"/>
        <item x="7"/>
        <item x="8"/>
        <item x="9"/>
        <item x="10"/>
        <item x="11"/>
        <item x="12"/>
        <item x="13"/>
        <item x="14"/>
        <item x="15"/>
        <item x="16"/>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2">
    <field x="5"/>
    <field x="41"/>
  </rowFields>
  <rowItems count="63">
    <i>
      <x/>
    </i>
    <i r="1">
      <x v="13"/>
    </i>
    <i r="1">
      <x v="14"/>
    </i>
    <i r="1">
      <x v="15"/>
    </i>
    <i r="1">
      <x v="16"/>
    </i>
    <i r="1">
      <x v="18"/>
    </i>
    <i r="1">
      <x v="19"/>
    </i>
    <i r="1">
      <x v="20"/>
    </i>
    <i r="1">
      <x v="22"/>
    </i>
    <i r="1">
      <x v="23"/>
    </i>
    <i r="1">
      <x v="24"/>
    </i>
    <i r="1">
      <x v="25"/>
    </i>
    <i r="1">
      <x v="26"/>
    </i>
    <i r="1">
      <x v="27"/>
    </i>
    <i r="1">
      <x v="28"/>
    </i>
    <i r="1">
      <x v="29"/>
    </i>
    <i>
      <x v="2"/>
    </i>
    <i r="1">
      <x v="18"/>
    </i>
    <i r="1">
      <x v="19"/>
    </i>
    <i r="1">
      <x v="20"/>
    </i>
    <i r="1">
      <x v="21"/>
    </i>
    <i r="1">
      <x v="22"/>
    </i>
    <i r="1">
      <x v="23"/>
    </i>
    <i r="1">
      <x v="24"/>
    </i>
    <i r="1">
      <x v="25"/>
    </i>
    <i r="1">
      <x v="26"/>
    </i>
    <i r="1">
      <x v="27"/>
    </i>
    <i r="1">
      <x v="28"/>
    </i>
    <i r="1">
      <x v="29"/>
    </i>
    <i>
      <x v="3"/>
    </i>
    <i r="1">
      <x v="1"/>
    </i>
    <i r="1">
      <x v="2"/>
    </i>
    <i r="1">
      <x v="3"/>
    </i>
    <i r="1">
      <x v="4"/>
    </i>
    <i r="1">
      <x v="5"/>
    </i>
    <i r="1">
      <x v="6"/>
    </i>
    <i r="1">
      <x v="7"/>
    </i>
    <i r="1">
      <x v="8"/>
    </i>
    <i r="1">
      <x v="9"/>
    </i>
    <i r="1">
      <x v="10"/>
    </i>
    <i r="1">
      <x v="11"/>
    </i>
    <i r="1">
      <x v="12"/>
    </i>
    <i r="1">
      <x v="13"/>
    </i>
    <i r="1">
      <x v="14"/>
    </i>
    <i r="1">
      <x v="15"/>
    </i>
    <i r="1">
      <x v="16"/>
    </i>
    <i r="1">
      <x v="17"/>
    </i>
    <i r="1">
      <x v="18"/>
    </i>
    <i>
      <x v="4"/>
    </i>
    <i r="1">
      <x/>
    </i>
    <i r="1">
      <x v="1"/>
    </i>
    <i r="1">
      <x v="2"/>
    </i>
    <i r="1">
      <x v="3"/>
    </i>
    <i r="1">
      <x v="4"/>
    </i>
    <i r="1">
      <x v="5"/>
    </i>
    <i r="1">
      <x v="6"/>
    </i>
    <i r="1">
      <x v="7"/>
    </i>
    <i r="1">
      <x v="8"/>
    </i>
    <i r="1">
      <x v="9"/>
    </i>
    <i r="1">
      <x v="10"/>
    </i>
    <i r="1">
      <x v="11"/>
    </i>
    <i r="1">
      <x v="12"/>
    </i>
    <i t="grand">
      <x/>
    </i>
  </rowItems>
  <colFields count="1">
    <field x="-2"/>
  </colFields>
  <colItems count="3">
    <i>
      <x/>
    </i>
    <i i="1">
      <x v="1"/>
    </i>
    <i i="2">
      <x v="2"/>
    </i>
  </colItems>
  <dataFields count="3">
    <dataField name="Сумма по полю ПВ" fld="36" baseField="0" baseItem="0" numFmtId="1"/>
    <dataField name="Сумма по полю ПНВ" fld="37" baseField="0" baseItem="0" numFmtId="1"/>
    <dataField name="Сумма по полю НПВ" fld="38" baseField="0" baseItem="0" numFmtId="1"/>
  </dataFields>
  <chartFormats count="6">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2"/>
          </reference>
        </references>
      </pivotArea>
    </chartFormat>
    <chartFormat chart="11" format="21" series="1">
      <pivotArea type="data" outline="0" fieldPosition="0">
        <references count="1">
          <reference field="4294967294" count="1" selected="0">
            <x v="0"/>
          </reference>
        </references>
      </pivotArea>
    </chartFormat>
    <chartFormat chart="11" format="22" series="1">
      <pivotArea type="data" outline="0" fieldPosition="0">
        <references count="1">
          <reference field="4294967294" count="1" selected="0">
            <x v="1"/>
          </reference>
        </references>
      </pivotArea>
    </chartFormat>
    <chartFormat chart="11" format="23"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filters count="1">
    <filter fld="41" type="dateBetween" evalOrder="-1" id="244" name="Дата начала">
      <autoFilter ref="A1">
        <filterColumn colId="0">
          <customFilters and="1">
            <customFilter operator="greaterThanOrEqual" val="46143"/>
            <customFilter operator="lessThanOrEqual" val="46173"/>
          </customFilters>
        </filterColumn>
      </autoFilter>
    </filter>
  </filters>
  <extLs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000000-0007-0000-1700-00000C000000}" name="БВ_общий" cacheId="62" dataOnRows="1" applyNumberFormats="0" applyBorderFormats="0" applyFontFormats="0" applyPatternFormats="0" applyAlignmentFormats="0" applyWidthHeightFormats="1" dataCaption="Значения" updatedVersion="8" minRefreshableVersion="3" useAutoFormatting="1" itemPrintTitles="1" createdVersion="8" indent="0" outline="1" outlineData="1" multipleFieldFilters="0" chartFormat="21">
  <location ref="A3:B6" firstHeaderRow="1" firstDataRow="1" firstDataCol="1"/>
  <pivotFields count="60">
    <pivotField showAll="0"/>
    <pivotField showAll="0"/>
    <pivotField showAll="0"/>
    <pivotField showAll="0"/>
    <pivotField showAll="0"/>
    <pivotField showAll="0"/>
    <pivotField showAll="0"/>
    <pivotField showAll="0"/>
    <pivotField numFmtI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numFmtId="164" showAll="0">
      <items count="2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2"/>
        <item x="83"/>
        <item x="84"/>
        <item x="85"/>
        <item x="86"/>
        <item x="88"/>
        <item x="89"/>
        <item x="90"/>
        <item x="91"/>
        <item x="120"/>
        <item x="122"/>
        <item x="81"/>
        <item x="87"/>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1"/>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t="default"/>
      </items>
    </pivotField>
    <pivotField numFmtId="2" showAll="0"/>
    <pivotField numFmtId="2" showAll="0"/>
    <pivotField showAll="0"/>
    <pivotField dataField="1" numFmtId="1" showAll="0"/>
    <pivotField dataField="1" numFmtId="1" showAll="0"/>
    <pivotField dataField="1" numFmtId="1" showAll="0"/>
    <pivotField numFmtId="1" showAll="0"/>
    <pivotField numFmtId="1" showAll="0"/>
    <pivotField numFmtId="14"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umFmtId="165" showAll="0"/>
    <pivotField numFmtId="14" showAll="0"/>
    <pivotField numFmtId="165" showAll="0"/>
    <pivotField showAll="0"/>
    <pivotField showAll="0"/>
    <pivotField showAll="0"/>
    <pivotField numFmtId="2" showAll="0"/>
    <pivotField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showAll="0">
      <items count="18">
        <item x="0"/>
        <item x="1"/>
        <item x="2"/>
        <item x="3"/>
        <item x="4"/>
        <item x="5"/>
        <item x="6"/>
        <item x="7"/>
        <item x="8"/>
        <item x="9"/>
        <item x="10"/>
        <item x="11"/>
        <item x="12"/>
        <item x="13"/>
        <item x="14"/>
        <item x="15"/>
        <item x="16"/>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2"/>
  </rowFields>
  <rowItems count="3">
    <i>
      <x/>
    </i>
    <i i="1">
      <x v="1"/>
    </i>
    <i i="2">
      <x v="2"/>
    </i>
  </rowItems>
  <colItems count="1">
    <i/>
  </colItems>
  <dataFields count="3">
    <dataField name="Сумма по полю ПВ" fld="36" baseField="0" baseItem="0" numFmtId="1"/>
    <dataField name="Сумма по полю ПНВ" fld="37" baseField="0" baseItem="0" numFmtId="1"/>
    <dataField name="Сумма по полю НПВ" fld="38" baseField="0" baseItem="0" numFmtId="1"/>
  </dataFields>
  <chartFormats count="8">
    <chartFormat chart="5" format="0" series="1">
      <pivotArea type="data" outline="0" fieldPosition="0">
        <references count="1">
          <reference field="4294967294" count="1" selected="0">
            <x v="0"/>
          </reference>
        </references>
      </pivotArea>
    </chartFormat>
    <chartFormat chart="5" format="1">
      <pivotArea type="data" outline="0" fieldPosition="0">
        <references count="1">
          <reference field="4294967294" count="1" selected="0">
            <x v="0"/>
          </reference>
        </references>
      </pivotArea>
    </chartFormat>
    <chartFormat chart="5" format="2">
      <pivotArea type="data" outline="0" fieldPosition="0">
        <references count="1">
          <reference field="4294967294" count="1" selected="0">
            <x v="1"/>
          </reference>
        </references>
      </pivotArea>
    </chartFormat>
    <chartFormat chart="5" format="3">
      <pivotArea type="data" outline="0" fieldPosition="0">
        <references count="1">
          <reference field="4294967294" count="1" selected="0">
            <x v="2"/>
          </reference>
        </references>
      </pivotArea>
    </chartFormat>
    <chartFormat chart="11" format="8" series="1">
      <pivotArea type="data" outline="0" fieldPosition="0">
        <references count="1">
          <reference field="4294967294" count="1" selected="0">
            <x v="0"/>
          </reference>
        </references>
      </pivotArea>
    </chartFormat>
    <chartFormat chart="11" format="9">
      <pivotArea type="data" outline="0" fieldPosition="0">
        <references count="1">
          <reference field="4294967294" count="1" selected="0">
            <x v="0"/>
          </reference>
        </references>
      </pivotArea>
    </chartFormat>
    <chartFormat chart="11" format="10">
      <pivotArea type="data" outline="0" fieldPosition="0">
        <references count="1">
          <reference field="4294967294" count="1" selected="0">
            <x v="1"/>
          </reference>
        </references>
      </pivotArea>
    </chartFormat>
    <chartFormat chart="11" format="1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filters count="1">
    <filter fld="41" type="dateBetween" evalOrder="-1" id="244" name="Дата начала">
      <autoFilter ref="A1">
        <filterColumn colId="0">
          <customFilters and="1">
            <customFilter operator="greaterThanOrEqual" val="46143"/>
            <customFilter operator="lessThanOrEqual" val="46173"/>
          </customFilters>
        </filterColumn>
      </autoFilter>
    </filter>
  </filters>
  <extLs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0000000-0007-0000-1800-00000D000000}" name="ТОП_НПВ" cacheId="62" applyNumberFormats="0" applyBorderFormats="0" applyFontFormats="0" applyPatternFormats="0" applyAlignmentFormats="0" applyWidthHeightFormats="1" dataCaption="Значения" updatedVersion="8" minRefreshableVersion="3" useAutoFormatting="1" itemPrintTitles="1" createdVersion="8" indent="0" outline="1" outlineData="1" multipleFieldFilters="0" chartFormat="19">
  <location ref="A3:B25" firstHeaderRow="1" firstDataRow="1" firstDataCol="1" rowPageCount="1" colPageCount="1"/>
  <pivotFields count="60">
    <pivotField showAll="0"/>
    <pivotField showAll="0"/>
    <pivotField showAll="0"/>
    <pivotField showAll="0"/>
    <pivotField showAll="0"/>
    <pivotField showAll="0"/>
    <pivotField showAll="0"/>
    <pivotField showAll="0"/>
    <pivotField numFmtI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numFmtId="164" showAll="0">
      <items count="2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2"/>
        <item x="83"/>
        <item x="84"/>
        <item x="85"/>
        <item x="86"/>
        <item x="88"/>
        <item x="89"/>
        <item x="90"/>
        <item x="91"/>
        <item x="120"/>
        <item x="122"/>
        <item x="81"/>
        <item x="87"/>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1"/>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t="default"/>
      </items>
    </pivotField>
    <pivotField numFmtId="2" showAll="0"/>
    <pivotField numFmtId="2" showAll="0"/>
    <pivotField axis="axisPage" multipleItemSelectionAllowed="1" showAll="0">
      <items count="4">
        <item x="2"/>
        <item h="1" x="0"/>
        <item x="1"/>
        <item t="default"/>
      </items>
    </pivotField>
    <pivotField numFmtId="1" showAll="0"/>
    <pivotField numFmtId="1" showAll="0"/>
    <pivotField numFmtId="1" showAll="0"/>
    <pivotField numFmtId="1" showAll="0"/>
    <pivotField numFmtId="1" showAll="0"/>
    <pivotField numFmtId="14"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umFmtId="165" showAll="0"/>
    <pivotField numFmtId="14" showAll="0"/>
    <pivotField numFmtId="165" showAll="0"/>
    <pivotField showAll="0"/>
    <pivotField showAll="0"/>
    <pivotField axis="axisRow" showAll="0" measureFilter="1" sortType="descending">
      <items count="63">
        <item x="26"/>
        <item x="0"/>
        <item x="36"/>
        <item x="37"/>
        <item x="23"/>
        <item x="20"/>
        <item x="1"/>
        <item x="14"/>
        <item x="9"/>
        <item x="11"/>
        <item x="35"/>
        <item x="6"/>
        <item x="13"/>
        <item x="17"/>
        <item x="7"/>
        <item x="10"/>
        <item x="2"/>
        <item x="3"/>
        <item x="5"/>
        <item x="8"/>
        <item x="12"/>
        <item x="15"/>
        <item x="16"/>
        <item x="18"/>
        <item x="22"/>
        <item x="34"/>
        <item x="4"/>
        <item x="19"/>
        <item x="21"/>
        <item x="24"/>
        <item x="25"/>
        <item x="27"/>
        <item x="28"/>
        <item x="29"/>
        <item x="30"/>
        <item x="31"/>
        <item x="32"/>
        <item x="33"/>
        <item x="48"/>
        <item x="38"/>
        <item x="39"/>
        <item x="40"/>
        <item x="41"/>
        <item x="42"/>
        <item x="43"/>
        <item x="44"/>
        <item x="45"/>
        <item x="46"/>
        <item x="47"/>
        <item x="49"/>
        <item x="53"/>
        <item x="57"/>
        <item x="59"/>
        <item x="50"/>
        <item x="51"/>
        <item x="52"/>
        <item x="54"/>
        <item x="55"/>
        <item x="56"/>
        <item x="58"/>
        <item x="60"/>
        <item x="61"/>
        <item t="default"/>
      </items>
      <autoSortScope>
        <pivotArea dataOnly="0" outline="0" fieldPosition="0">
          <references count="1">
            <reference field="4294967294" count="1" selected="0">
              <x v="0"/>
            </reference>
          </references>
        </pivotArea>
      </autoSortScope>
    </pivotField>
    <pivotField numFmtId="2" showAll="0"/>
    <pivotField showAll="0"/>
    <pivotField showAll="0" defaultSubtotal="0"/>
    <pivotField showAll="0" defaultSubtotal="0">
      <items count="14">
        <item x="0"/>
        <item x="1"/>
        <item x="2"/>
        <item x="3"/>
        <item x="4"/>
        <item x="5"/>
        <item x="6"/>
        <item x="7"/>
        <item x="8"/>
        <item x="9"/>
        <item x="10"/>
        <item x="11"/>
        <item x="12"/>
        <item x="13"/>
      </items>
    </pivotField>
    <pivotField dataField="1" dragToRow="0" dragToCol="0" dragToPage="0" showAll="0" defaultSubtotal="0"/>
    <pivotField axis="axisRow" showAll="0">
      <items count="18">
        <item x="0"/>
        <item x="1"/>
        <item x="2"/>
        <item x="3"/>
        <item x="4"/>
        <item x="5"/>
        <item x="6"/>
        <item x="7"/>
        <item x="8"/>
        <item x="9"/>
        <item x="10"/>
        <item x="11"/>
        <item x="12"/>
        <item x="13"/>
        <item x="14"/>
        <item x="15"/>
        <item x="16"/>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2">
    <field x="53"/>
    <field x="47"/>
  </rowFields>
  <rowItems count="22">
    <i>
      <x v="7"/>
    </i>
    <i r="1">
      <x v="26"/>
    </i>
    <i r="1">
      <x v="17"/>
    </i>
    <i r="1">
      <x v="16"/>
    </i>
    <i>
      <x v="8"/>
    </i>
    <i r="1">
      <x v="6"/>
    </i>
    <i r="1">
      <x v="23"/>
    </i>
    <i r="1">
      <x v="22"/>
    </i>
    <i>
      <x v="9"/>
    </i>
    <i r="1">
      <x v="26"/>
    </i>
    <i r="1">
      <x v="25"/>
    </i>
    <i r="1">
      <x v="30"/>
    </i>
    <i r="1">
      <x v="16"/>
    </i>
    <i>
      <x v="10"/>
    </i>
    <i r="1">
      <x v="25"/>
    </i>
    <i r="1">
      <x v="22"/>
    </i>
    <i r="1">
      <x v="11"/>
    </i>
    <i>
      <x v="11"/>
    </i>
    <i r="1">
      <x v="40"/>
    </i>
    <i r="1">
      <x v="11"/>
    </i>
    <i r="1">
      <x v="42"/>
    </i>
    <i t="grand">
      <x/>
    </i>
  </rowItems>
  <colItems count="1">
    <i/>
  </colItems>
  <pageFields count="1">
    <pageField fld="35" hier="-1"/>
  </pageFields>
  <dataFields count="1">
    <dataField name="Сумма по полю Макс (ПНВ; НПВ)" fld="52" baseField="0" baseItem="0" numFmtId="1"/>
  </dataFields>
  <chartFormats count="13">
    <chartFormat chart="6"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22" series="1">
      <pivotArea type="data" outline="0" fieldPosition="0">
        <references count="1">
          <reference field="4294967294" count="1" selected="0">
            <x v="0"/>
          </reference>
        </references>
      </pivotArea>
    </chartFormat>
    <chartFormat chart="13" format="45">
      <pivotArea type="data" outline="0" fieldPosition="0">
        <references count="3">
          <reference field="4294967294" count="1" selected="0">
            <x v="0"/>
          </reference>
          <reference field="47" count="1" selected="0">
            <x v="30"/>
          </reference>
          <reference field="53" count="1" selected="0">
            <x v="9"/>
          </reference>
        </references>
      </pivotArea>
    </chartFormat>
    <chartFormat chart="13" format="46">
      <pivotArea type="data" outline="0" fieldPosition="0">
        <references count="3">
          <reference field="4294967294" count="1" selected="0">
            <x v="0"/>
          </reference>
          <reference field="47" count="1" selected="0">
            <x v="25"/>
          </reference>
          <reference field="53" count="1" selected="0">
            <x v="9"/>
          </reference>
        </references>
      </pivotArea>
    </chartFormat>
    <chartFormat chart="13" format="47">
      <pivotArea type="data" outline="0" fieldPosition="0">
        <references count="3">
          <reference field="4294967294" count="1" selected="0">
            <x v="0"/>
          </reference>
          <reference field="47" count="1" selected="0">
            <x v="26"/>
          </reference>
          <reference field="53" count="1" selected="0">
            <x v="9"/>
          </reference>
        </references>
      </pivotArea>
    </chartFormat>
    <chartFormat chart="13" format="48">
      <pivotArea type="data" outline="0" fieldPosition="0">
        <references count="3">
          <reference field="4294967294" count="1" selected="0">
            <x v="0"/>
          </reference>
          <reference field="47" count="1" selected="0">
            <x v="26"/>
          </reference>
          <reference field="53" count="1" selected="0">
            <x v="7"/>
          </reference>
        </references>
      </pivotArea>
    </chartFormat>
    <chartFormat chart="13" format="49">
      <pivotArea type="data" outline="0" fieldPosition="0">
        <references count="3">
          <reference field="4294967294" count="1" selected="0">
            <x v="0"/>
          </reference>
          <reference field="47" count="1" selected="0">
            <x v="17"/>
          </reference>
          <reference field="53" count="1" selected="0">
            <x v="7"/>
          </reference>
        </references>
      </pivotArea>
    </chartFormat>
    <chartFormat chart="13" format="50">
      <pivotArea type="data" outline="0" fieldPosition="0">
        <references count="3">
          <reference field="4294967294" count="1" selected="0">
            <x v="0"/>
          </reference>
          <reference field="47" count="1" selected="0">
            <x v="6"/>
          </reference>
          <reference field="53" count="1" selected="0">
            <x v="8"/>
          </reference>
        </references>
      </pivotArea>
    </chartFormat>
    <chartFormat chart="13" format="51">
      <pivotArea type="data" outline="0" fieldPosition="0">
        <references count="3">
          <reference field="4294967294" count="1" selected="0">
            <x v="0"/>
          </reference>
          <reference field="47" count="1" selected="0">
            <x v="23"/>
          </reference>
          <reference field="53" count="1" selected="0">
            <x v="8"/>
          </reference>
        </references>
      </pivotArea>
    </chartFormat>
    <chartFormat chart="13" format="52">
      <pivotArea type="data" outline="0" fieldPosition="0">
        <references count="3">
          <reference field="4294967294" count="1" selected="0">
            <x v="0"/>
          </reference>
          <reference field="47" count="1" selected="0">
            <x v="22"/>
          </reference>
          <reference field="53" count="1" selected="0">
            <x v="8"/>
          </reference>
        </references>
      </pivotArea>
    </chartFormat>
    <chartFormat chart="13" format="53">
      <pivotArea type="data" outline="0" fieldPosition="0">
        <references count="3">
          <reference field="4294967294" count="1" selected="0">
            <x v="0"/>
          </reference>
          <reference field="47" count="1" selected="0">
            <x v="25"/>
          </reference>
          <reference field="53" count="1" selected="0">
            <x v="10"/>
          </reference>
        </references>
      </pivotArea>
    </chartFormat>
    <chartFormat chart="13" format="54">
      <pivotArea type="data" outline="0" fieldPosition="0">
        <references count="3">
          <reference field="4294967294" count="1" selected="0">
            <x v="0"/>
          </reference>
          <reference field="47" count="1" selected="0">
            <x v="22"/>
          </reference>
          <reference field="53" count="1" selected="0">
            <x v="10"/>
          </reference>
        </references>
      </pivotArea>
    </chartFormat>
  </chartFormats>
  <pivotTableStyleInfo name="PivotStyleLight16" showRowHeaders="1" showColHeaders="1" showRowStripes="0" showColStripes="0" showLastColumn="1"/>
  <filters count="2">
    <filter fld="41" type="dateBetween" evalOrder="-1" id="266" name="Дата начала">
      <autoFilter ref="A1">
        <filterColumn colId="0">
          <customFilters and="1">
            <customFilter operator="greaterThanOrEqual" val="46143"/>
            <customFilter operator="lessThanOrEqual" val="46173"/>
          </customFilters>
        </filterColumn>
      </autoFilter>
    </filter>
    <filter fld="47" type="count" evalOrder="-1" id="108" iMeasureFld="0">
      <autoFilter ref="A1">
        <filterColumn colId="0">
          <top10 val="3" filterVal="3"/>
        </filterColumn>
      </autoFilter>
    </filter>
  </filters>
  <extLs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0000000-0007-0000-1900-00000E000000}" name="БВ_вахт" cacheId="62" applyNumberFormats="0" applyBorderFormats="0" applyFontFormats="0" applyPatternFormats="0" applyAlignmentFormats="0" applyWidthHeightFormats="1" dataCaption="Значения" updatedVersion="8" minRefreshableVersion="3" useAutoFormatting="1" itemPrintTitles="1" createdVersion="8" indent="0" outline="1" outlineData="1" multipleFieldFilters="0" chartFormat="19">
  <location ref="A3:D21" firstHeaderRow="1" firstDataRow="2" firstDataCol="1"/>
  <pivotFields count="60">
    <pivotField showAll="0"/>
    <pivotField showAll="0"/>
    <pivotField showAll="0"/>
    <pivotField showAll="0"/>
    <pivotField showAll="0"/>
    <pivotField showAll="0"/>
    <pivotField showAll="0"/>
    <pivotField showAll="0"/>
    <pivotField numFmtI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numFmtId="164" showAll="0">
      <items count="2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2"/>
        <item x="83"/>
        <item x="84"/>
        <item x="85"/>
        <item x="86"/>
        <item x="88"/>
        <item x="89"/>
        <item x="90"/>
        <item x="91"/>
        <item x="120"/>
        <item x="122"/>
        <item x="81"/>
        <item x="87"/>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1"/>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t="default"/>
      </items>
    </pivotField>
    <pivotField numFmtId="2" showAll="0"/>
    <pivotField numFmtId="2" showAll="0"/>
    <pivotField showAll="0"/>
    <pivotField numFmtId="1" showAll="0"/>
    <pivotField numFmtId="1" showAll="0"/>
    <pivotField numFmtId="1" showAll="0"/>
    <pivotField numFmtId="1" showAll="0"/>
    <pivotField numFmtId="1" showAll="0"/>
    <pivotField numFmtId="14"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umFmtId="165" showAll="0"/>
    <pivotField numFmtId="14" showAll="0"/>
    <pivotField numFmtId="165" showAll="0"/>
    <pivotField axis="axisRow" showAll="0">
      <items count="17">
        <item x="7"/>
        <item x="3"/>
        <item x="0"/>
        <item x="1"/>
        <item x="2"/>
        <item x="4"/>
        <item x="5"/>
        <item x="6"/>
        <item x="8"/>
        <item x="9"/>
        <item x="10"/>
        <item x="11"/>
        <item x="12"/>
        <item x="13"/>
        <item x="14"/>
        <item x="15"/>
        <item t="default"/>
      </items>
    </pivotField>
    <pivotField showAll="0"/>
    <pivotField showAll="0"/>
    <pivotField numFmtId="2" showAll="0"/>
    <pivotField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showAll="0">
      <items count="18">
        <item x="0"/>
        <item x="1"/>
        <item x="2"/>
        <item x="3"/>
        <item x="4"/>
        <item x="5"/>
        <item x="6"/>
        <item x="7"/>
        <item x="8"/>
        <item x="9"/>
        <item x="10"/>
        <item x="11"/>
        <item x="12"/>
        <item x="13"/>
        <item x="14"/>
        <item x="15"/>
        <item x="16"/>
        <item t="default"/>
      </items>
    </pivotField>
    <pivotField dragToRow="0" dragToCol="0" dragToPage="0" showAll="0" defaultSubtotal="0"/>
    <pivotField dragToRow="0" dragToCol="0" dragToPage="0" showAll="0" defaultSubtotal="0"/>
    <pivotField dataField="1" dragToRow="0" dragToCol="0" dragToPage="0" showAll="0" defaultSubtotal="0"/>
    <pivotField dataField="1" dragToRow="0" dragToCol="0" dragToPage="0" showAll="0" defaultSubtotal="0"/>
    <pivotField dataField="1" dragToRow="0" dragToCol="0" dragToPage="0" showAll="0" defaultSubtotal="0"/>
    <pivotField dragToRow="0" dragToCol="0" dragToPage="0" showAll="0" defaultSubtotal="0"/>
  </pivotFields>
  <rowFields count="1">
    <field x="45"/>
  </rowFields>
  <rowItems count="17">
    <i>
      <x/>
    </i>
    <i>
      <x v="1"/>
    </i>
    <i>
      <x v="2"/>
    </i>
    <i>
      <x v="3"/>
    </i>
    <i>
      <x v="4"/>
    </i>
    <i>
      <x v="5"/>
    </i>
    <i>
      <x v="6"/>
    </i>
    <i>
      <x v="7"/>
    </i>
    <i>
      <x v="8"/>
    </i>
    <i>
      <x v="9"/>
    </i>
    <i>
      <x v="10"/>
    </i>
    <i>
      <x v="11"/>
    </i>
    <i>
      <x v="12"/>
    </i>
    <i>
      <x v="13"/>
    </i>
    <i>
      <x v="14"/>
    </i>
    <i>
      <x v="15"/>
    </i>
    <i t="grand">
      <x/>
    </i>
  </rowItems>
  <colFields count="1">
    <field x="-2"/>
  </colFields>
  <colItems count="3">
    <i>
      <x/>
    </i>
    <i i="1">
      <x v="1"/>
    </i>
    <i i="2">
      <x v="2"/>
    </i>
  </colItems>
  <dataFields count="3">
    <dataField name="Сумма по полю ПВ, %" fld="56" baseField="0" baseItem="0" numFmtId="1"/>
    <dataField name="Сумма по полю ПНВ, %" fld="57" baseField="0" baseItem="0" numFmtId="1"/>
    <dataField name="Сумма по полю НПВ, %" fld="58" baseField="0" baseItem="0" numFmtId="1"/>
  </dataFields>
  <formats count="1">
    <format dxfId="14">
      <pivotArea outline="0" collapsedLevelsAreSubtotals="1" fieldPosition="0"/>
    </format>
  </formats>
  <chartFormats count="6">
    <chartFormat chart="0" format="19" series="1">
      <pivotArea type="data" outline="0" fieldPosition="0">
        <references count="1">
          <reference field="4294967294" count="1" selected="0">
            <x v="0"/>
          </reference>
        </references>
      </pivotArea>
    </chartFormat>
    <chartFormat chart="0" format="20" series="1">
      <pivotArea type="data" outline="0" fieldPosition="0">
        <references count="1">
          <reference field="4294967294" count="1" selected="0">
            <x v="1"/>
          </reference>
        </references>
      </pivotArea>
    </chartFormat>
    <chartFormat chart="0" format="21" series="1">
      <pivotArea type="data" outline="0" fieldPosition="0">
        <references count="1">
          <reference field="4294967294" count="1" selected="0">
            <x v="2"/>
          </reference>
        </references>
      </pivotArea>
    </chartFormat>
    <chartFormat chart="18" format="22" series="1">
      <pivotArea type="data" outline="0" fieldPosition="0">
        <references count="1">
          <reference field="4294967294" count="1" selected="0">
            <x v="0"/>
          </reference>
        </references>
      </pivotArea>
    </chartFormat>
    <chartFormat chart="18" format="23" series="1">
      <pivotArea type="data" outline="0" fieldPosition="0">
        <references count="1">
          <reference field="4294967294" count="1" selected="0">
            <x v="1"/>
          </reference>
        </references>
      </pivotArea>
    </chartFormat>
    <chartFormat chart="18" format="24"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filters count="1">
    <filter fld="41" type="dateBetween" evalOrder="-1" id="244" name="Дата начала">
      <autoFilter ref="A1">
        <filterColumn colId="0">
          <customFilters and="1">
            <customFilter operator="greaterThanOrEqual" val="46143"/>
            <customFilter operator="lessThanOrEqual" val="46173"/>
          </customFilters>
        </filterColumn>
      </autoFilter>
    </filter>
  </filters>
  <extLs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0000000-0007-0000-1A00-00000F000000}" name="НПВ_по_группам" cacheId="62" applyNumberFormats="0" applyBorderFormats="0" applyFontFormats="0" applyPatternFormats="0" applyAlignmentFormats="0" applyWidthHeightFormats="1" dataCaption="Значения" updatedVersion="8" minRefreshableVersion="3" useAutoFormatting="1" itemPrintTitles="1" createdVersion="8" indent="0" outline="1" outlineData="1" multipleFieldFilters="0" chartFormat="13">
  <location ref="A3:B7" firstHeaderRow="1" firstDataRow="1" firstDataCol="1" rowPageCount="1" colPageCount="1"/>
  <pivotFields count="60">
    <pivotField showAll="0"/>
    <pivotField showAll="0"/>
    <pivotField showAll="0"/>
    <pivotField showAll="0"/>
    <pivotField showAll="0"/>
    <pivotField showAll="0"/>
    <pivotField showAll="0"/>
    <pivotField showAll="0"/>
    <pivotField numFmtId="1" showAll="0"/>
    <pivotField showAll="0"/>
    <pivotField showAll="0"/>
    <pivotField showAll="0"/>
    <pivotField showAll="0"/>
    <pivotField axis="axisRow" showAll="0" measureFilter="1" sortType="de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numFmtId="164" showAll="0">
      <items count="2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2"/>
        <item x="83"/>
        <item x="84"/>
        <item x="85"/>
        <item x="86"/>
        <item x="88"/>
        <item x="89"/>
        <item x="90"/>
        <item x="91"/>
        <item x="120"/>
        <item x="122"/>
        <item x="81"/>
        <item x="87"/>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1"/>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t="default"/>
      </items>
    </pivotField>
    <pivotField numFmtId="2" showAll="0"/>
    <pivotField numFmtId="2" showAll="0"/>
    <pivotField axis="axisPage" multipleItemSelectionAllowed="1" showAll="0">
      <items count="4">
        <item x="2"/>
        <item h="1" x="0"/>
        <item h="1" x="1"/>
        <item t="default"/>
      </items>
    </pivotField>
    <pivotField numFmtId="166" showAll="0"/>
    <pivotField numFmtId="166" showAll="0"/>
    <pivotField numFmtId="166" showAll="0"/>
    <pivotField numFmtId="1" showAll="0"/>
    <pivotField numFmtId="1" showAll="0"/>
    <pivotField numFmtId="14"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umFmtId="165" showAll="0"/>
    <pivotField numFmtId="14" showAll="0"/>
    <pivotField numFmtId="165" showAll="0"/>
    <pivotField showAll="0"/>
    <pivotField showAll="0"/>
    <pivotField showAll="0"/>
    <pivotField numFmtId="2" showAll="0"/>
    <pivotField showAll="0"/>
    <pivotField showAll="0" defaultSubtotal="0"/>
    <pivotField showAll="0" defaultSubtotal="0">
      <items count="14">
        <item x="0"/>
        <item x="1"/>
        <item x="2"/>
        <item x="3"/>
        <item x="4"/>
        <item x="5"/>
        <item x="6"/>
        <item x="7"/>
        <item x="8"/>
        <item x="9"/>
        <item x="10"/>
        <item x="11"/>
        <item x="12"/>
        <item x="13"/>
      </items>
    </pivotField>
    <pivotField dataField="1" dragToRow="0" dragToCol="0" dragToPage="0" showAll="0" defaultSubtotal="0"/>
    <pivotField showAll="0" defaultSubtotal="0">
      <items count="17">
        <item x="0"/>
        <item x="1"/>
        <item x="2"/>
        <item x="3"/>
        <item x="4"/>
        <item x="5"/>
        <item x="6"/>
        <item x="7"/>
        <item x="8"/>
        <item x="9"/>
        <item x="10"/>
        <item x="11"/>
        <item x="12"/>
        <item x="13"/>
        <item x="14"/>
        <item x="15"/>
        <item x="16"/>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3"/>
  </rowFields>
  <rowItems count="4">
    <i>
      <x v="3"/>
    </i>
    <i>
      <x/>
    </i>
    <i>
      <x v="2"/>
    </i>
    <i t="grand">
      <x/>
    </i>
  </rowItems>
  <colItems count="1">
    <i/>
  </colItems>
  <pageFields count="1">
    <pageField fld="35" hier="-1"/>
  </pageFields>
  <dataFields count="1">
    <dataField name="Сумма по полю Макс (ПНВ; НПВ)" fld="52" baseField="0" baseItem="0" numFmtId="166"/>
  </dataFields>
  <chartFormats count="3">
    <chartFormat chart="0"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41" type="dateBetween" evalOrder="-1" id="245" name="Дата начала">
      <autoFilter ref="A1">
        <filterColumn colId="0">
          <customFilters and="1">
            <customFilter operator="greaterThanOrEqual" val="46143"/>
            <customFilter operator="lessThanOrEqual" val="46173"/>
          </customFilters>
        </filterColumn>
      </autoFilter>
    </filter>
    <filter fld="13" type="count" evalOrder="-1" id="1" iMeasureFld="0">
      <autoFilter ref="A1">
        <filterColumn colId="0">
          <top10 val="3" filterVal="3"/>
        </filterColumn>
      </autoFilter>
    </filter>
  </filters>
  <extLs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0000000-0007-0000-1B00-000010000000}" name="КПВ_вахт" cacheId="62" applyNumberFormats="0" applyBorderFormats="0" applyFontFormats="0" applyPatternFormats="0" applyAlignmentFormats="0" applyWidthHeightFormats="1" dataCaption="Значения" updatedVersion="8" minRefreshableVersion="3" useAutoFormatting="1" itemPrintTitles="1" createdVersion="8" indent="0" outline="1" outlineData="1" multipleFieldFilters="0" chartFormat="10">
  <location ref="A3:B12" firstHeaderRow="1" firstDataRow="1" firstDataCol="1" rowPageCount="1" colPageCount="1"/>
  <pivotFields count="60">
    <pivotField showAll="0"/>
    <pivotField showAll="0"/>
    <pivotField showAll="0"/>
    <pivotField showAll="0"/>
    <pivotField showAll="0"/>
    <pivotField showAll="0"/>
    <pivotField showAll="0"/>
    <pivotField axis="axisRow" showAll="0">
      <items count="9">
        <item x="2"/>
        <item x="0"/>
        <item x="1"/>
        <item x="3"/>
        <item x="4"/>
        <item x="5"/>
        <item x="6"/>
        <item x="7"/>
        <item t="default"/>
      </items>
    </pivotField>
    <pivotField numFmtId="1" showAll="0"/>
    <pivotField showAll="0"/>
    <pivotField showAll="0"/>
    <pivotField axis="axisPage" multipleItemSelectionAllowed="1" showAll="0" sortType="descending">
      <items count="7">
        <item x="1"/>
        <item x="2"/>
        <item x="4"/>
        <item x="0"/>
        <item x="5"/>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numFmtId="164" showAll="0">
      <items count="2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2"/>
        <item x="83"/>
        <item x="84"/>
        <item x="85"/>
        <item x="86"/>
        <item x="88"/>
        <item x="89"/>
        <item x="90"/>
        <item x="91"/>
        <item x="120"/>
        <item x="122"/>
        <item x="81"/>
        <item x="87"/>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1"/>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t="default"/>
      </items>
    </pivotField>
    <pivotField numFmtId="2" showAll="0"/>
    <pivotField numFmtId="2" showAll="0"/>
    <pivotField showAll="0"/>
    <pivotField numFmtId="166" showAll="0"/>
    <pivotField numFmtId="166" showAll="0"/>
    <pivotField numFmtId="166" showAll="0"/>
    <pivotField numFmtId="1" showAll="0"/>
    <pivotField numFmtId="1" showAll="0"/>
    <pivotField numFmtId="14"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umFmtId="165" showAll="0"/>
    <pivotField numFmtId="14" showAll="0"/>
    <pivotField numFmtId="165" showAll="0"/>
    <pivotField showAll="0"/>
    <pivotField showAll="0"/>
    <pivotField showAll="0"/>
    <pivotField numFmtId="2" showAll="0"/>
    <pivotField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showAll="0" defaultSubtotal="0">
      <items count="17">
        <item x="0"/>
        <item x="1"/>
        <item x="2"/>
        <item x="3"/>
        <item x="4"/>
        <item x="5"/>
        <item x="6"/>
        <item x="7"/>
        <item x="8"/>
        <item x="9"/>
        <item x="10"/>
        <item x="11"/>
        <item x="12"/>
        <item x="13"/>
        <item x="14"/>
        <item x="15"/>
        <item x="16"/>
      </items>
    </pivotField>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7"/>
  </rowFields>
  <rowItems count="9">
    <i>
      <x/>
    </i>
    <i>
      <x v="1"/>
    </i>
    <i>
      <x v="2"/>
    </i>
    <i>
      <x v="3"/>
    </i>
    <i>
      <x v="4"/>
    </i>
    <i>
      <x v="5"/>
    </i>
    <i>
      <x v="6"/>
    </i>
    <i>
      <x v="7"/>
    </i>
    <i t="grand">
      <x/>
    </i>
  </rowItems>
  <colItems count="1">
    <i/>
  </colItems>
  <pageFields count="1">
    <pageField fld="11" hier="-1"/>
  </pageFields>
  <dataFields count="1">
    <dataField name="Сумма по полю % ПВ" fld="54" baseField="0" baseItem="0"/>
  </dataFields>
  <formats count="1">
    <format dxfId="13">
      <pivotArea collapsedLevelsAreSubtotals="1" fieldPosition="0">
        <references count="2">
          <reference field="4294967294" count="1" selected="0">
            <x v="0"/>
          </reference>
          <reference field="7" count="0"/>
        </references>
      </pivotArea>
    </format>
  </formats>
  <chartFormats count="3">
    <chartFormat chart="3" format="1"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1" type="dateBetween" evalOrder="-1" id="244" name="Дата начала">
      <autoFilter ref="A1">
        <filterColumn colId="0">
          <customFilters and="1">
            <customFilter operator="greaterThanOrEqual" val="46143"/>
            <customFilter operator="lessThanOrEqual" val="46173"/>
          </customFilters>
        </filterColumn>
      </autoFilter>
    </filter>
  </filters>
  <extLs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0000000-0007-0000-1C00-000011000000}" name="Топ_ремонтов" cacheId="62" applyNumberFormats="0" applyBorderFormats="0" applyFontFormats="0" applyPatternFormats="0" applyAlignmentFormats="0" applyWidthHeightFormats="1" dataCaption="Значения" updatedVersion="8" minRefreshableVersion="3" useAutoFormatting="1" itemPrintTitles="1" createdVersion="8" indent="0" outline="1" outlineData="1" multipleFieldFilters="0" chartFormat="11">
  <location ref="A4:B11" firstHeaderRow="1" firstDataRow="1" firstDataCol="1" rowPageCount="2" colPageCount="1"/>
  <pivotFields count="60">
    <pivotField showAll="0"/>
    <pivotField showAll="0"/>
    <pivotField showAll="0"/>
    <pivotField showAll="0"/>
    <pivotField showAll="0"/>
    <pivotField showAll="0"/>
    <pivotField showAll="0"/>
    <pivotField showAll="0"/>
    <pivotField numFmtId="1" showAll="0"/>
    <pivotField showAll="0"/>
    <pivotField showAll="0"/>
    <pivotField showAll="0"/>
    <pivotField showAll="0"/>
    <pivotField showAll="0"/>
    <pivotField axis="axisPage" multipleItemSelectionAllowed="1" showAll="0">
      <items count="12">
        <item h="1" x="2"/>
        <item h="1" x="6"/>
        <item h="1" x="1"/>
        <item h="1" x="0"/>
        <item x="8"/>
        <item h="1" x="3"/>
        <item h="1" x="9"/>
        <item h="1" x="7"/>
        <item h="1" x="4"/>
        <item h="1" x="5"/>
        <item h="1" x="10"/>
        <item t="default"/>
      </items>
    </pivotField>
    <pivotField axis="axisRow" showAll="0">
      <items count="30">
        <item x="1"/>
        <item x="16"/>
        <item x="12"/>
        <item x="4"/>
        <item x="9"/>
        <item x="3"/>
        <item x="0"/>
        <item x="7"/>
        <item x="10"/>
        <item x="15"/>
        <item x="18"/>
        <item x="14"/>
        <item x="17"/>
        <item x="8"/>
        <item x="11"/>
        <item x="13"/>
        <item x="5"/>
        <item x="6"/>
        <item x="22"/>
        <item x="2"/>
        <item x="19"/>
        <item x="20"/>
        <item x="21"/>
        <item x="23"/>
        <item x="24"/>
        <item x="25"/>
        <item x="26"/>
        <item x="27"/>
        <item x="28"/>
        <item t="default"/>
      </items>
    </pivotField>
    <pivotField showAll="0"/>
    <pivotField axis="axisRow" showAll="0" sortType="descending">
      <items count="26">
        <item x="12"/>
        <item x="13"/>
        <item x="8"/>
        <item x="0"/>
        <item x="1"/>
        <item x="4"/>
        <item x="9"/>
        <item x="11"/>
        <item x="10"/>
        <item x="6"/>
        <item x="3"/>
        <item x="7"/>
        <item x="5"/>
        <item x="15"/>
        <item x="2"/>
        <item x="14"/>
        <item x="16"/>
        <item x="17"/>
        <item x="18"/>
        <item x="19"/>
        <item x="20"/>
        <item x="21"/>
        <item x="22"/>
        <item x="23"/>
        <item x="24"/>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numFmtId="164" showAll="0"/>
    <pivotField numFmtId="164" showAll="0">
      <items count="2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2"/>
        <item x="83"/>
        <item x="84"/>
        <item x="85"/>
        <item x="86"/>
        <item x="88"/>
        <item x="89"/>
        <item x="90"/>
        <item x="91"/>
        <item x="120"/>
        <item x="122"/>
        <item x="81"/>
        <item x="87"/>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1"/>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t="default"/>
      </items>
    </pivotField>
    <pivotField numFmtId="2" showAll="0"/>
    <pivotField numFmtId="2" showAll="0"/>
    <pivotField axis="axisPage" multipleItemSelectionAllowed="1" showAll="0">
      <items count="4">
        <item x="2"/>
        <item h="1" x="0"/>
        <item h="1" x="1"/>
        <item t="default"/>
      </items>
    </pivotField>
    <pivotField numFmtId="166" showAll="0"/>
    <pivotField numFmtId="166" showAll="0"/>
    <pivotField numFmtId="166" showAll="0"/>
    <pivotField numFmtId="1" showAll="0"/>
    <pivotField numFmtId="1" showAll="0"/>
    <pivotField numFmtId="14"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umFmtId="165" showAll="0"/>
    <pivotField numFmtId="14" showAll="0"/>
    <pivotField numFmtId="165" showAll="0"/>
    <pivotField showAll="0"/>
    <pivotField showAll="0"/>
    <pivotField showAll="0"/>
    <pivotField numFmtId="2" showAll="0"/>
    <pivotField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showAll="0" defaultSubtotal="0">
      <items count="17">
        <item x="0"/>
        <item x="1"/>
        <item x="2"/>
        <item x="3"/>
        <item x="4"/>
        <item x="5"/>
        <item x="6"/>
        <item x="7"/>
        <item x="8"/>
        <item x="9"/>
        <item x="10"/>
        <item x="11"/>
        <item x="12"/>
        <item x="13"/>
        <item x="14"/>
        <item x="15"/>
        <item x="16"/>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2">
    <field x="15"/>
    <field x="17"/>
  </rowFields>
  <rowItems count="7">
    <i>
      <x v="9"/>
    </i>
    <i r="1">
      <x/>
    </i>
    <i r="1">
      <x v="8"/>
    </i>
    <i>
      <x v="24"/>
    </i>
    <i r="1">
      <x/>
    </i>
    <i r="1">
      <x v="3"/>
    </i>
    <i t="grand">
      <x/>
    </i>
  </rowItems>
  <colItems count="1">
    <i/>
  </colItems>
  <pageFields count="2">
    <pageField fld="14" hier="-1"/>
    <pageField fld="35" hier="-1"/>
  </pageFields>
  <dataFields count="1">
    <dataField name="Сумма по полю Часы" fld="20" baseField="0" baseItem="0" numFmtId="1"/>
  </dataFields>
  <formats count="1">
    <format dxfId="12">
      <pivotArea outline="0" collapsedLevelsAreSubtotals="1" fieldPosition="0"/>
    </format>
  </formats>
  <chartFormats count="3">
    <chartFormat chart="0" format="3"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1" type="dateBetween" evalOrder="-1" id="244" name="Дата начала">
      <autoFilter ref="A1">
        <filterColumn colId="0">
          <customFilters and="1">
            <customFilter operator="greaterThanOrEqual" val="46143"/>
            <customFilter operator="lessThanOrEqual" val="46173"/>
          </customFilters>
        </filterColumn>
      </autoFilter>
    </filter>
  </filters>
  <extLs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0000000-0007-0000-1D00-000012000000}" name="Топ_НПВ_по_группам" cacheId="62" applyNumberFormats="0" applyBorderFormats="0" applyFontFormats="0" applyPatternFormats="0" applyAlignmentFormats="0" applyWidthHeightFormats="1" dataCaption="Значения" updatedVersion="8" minRefreshableVersion="3" useAutoFormatting="1" itemPrintTitles="1" createdVersion="8" indent="0" outline="1" outlineData="1" multipleFieldFilters="0" chartFormat="12">
  <location ref="A3:B7" firstHeaderRow="1" firstDataRow="1" firstDataCol="1" rowPageCount="1" colPageCount="1"/>
  <pivotFields count="60">
    <pivotField showAll="0"/>
    <pivotField showAll="0"/>
    <pivotField showAll="0"/>
    <pivotField showAll="0"/>
    <pivotField showAll="0"/>
    <pivotField showAll="0"/>
    <pivotField showAll="0"/>
    <pivotField showAll="0"/>
    <pivotField numFmtId="1" showAll="0"/>
    <pivotField showAll="0"/>
    <pivotField showAll="0"/>
    <pivotField showAll="0"/>
    <pivotField showAll="0"/>
    <pivotField showAll="0"/>
    <pivotField axis="axisRow" showAll="0" measureFilter="1" sortType="descending">
      <items count="12">
        <item x="2"/>
        <item x="6"/>
        <item n="Монтаж_демонтаж" x="1"/>
        <item x="0"/>
        <item x="8"/>
        <item x="3"/>
        <item x="9"/>
        <item x="7"/>
        <item x="4"/>
        <item x="5"/>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numFmtId="164" showAll="0">
      <items count="2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2"/>
        <item x="83"/>
        <item x="84"/>
        <item x="85"/>
        <item x="86"/>
        <item x="88"/>
        <item x="89"/>
        <item x="90"/>
        <item x="91"/>
        <item x="120"/>
        <item x="122"/>
        <item x="81"/>
        <item x="87"/>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1"/>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t="default"/>
      </items>
    </pivotField>
    <pivotField numFmtId="2" showAll="0"/>
    <pivotField numFmtId="2" showAll="0"/>
    <pivotField axis="axisPage" multipleItemSelectionAllowed="1" showAll="0">
      <items count="4">
        <item h="1" x="2"/>
        <item h="1" x="0"/>
        <item x="1"/>
        <item t="default"/>
      </items>
    </pivotField>
    <pivotField numFmtId="166" showAll="0"/>
    <pivotField dataField="1" numFmtId="166" showAll="0"/>
    <pivotField numFmtId="166" showAll="0"/>
    <pivotField numFmtId="1" showAll="0"/>
    <pivotField numFmtId="1" showAll="0"/>
    <pivotField numFmtId="14"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umFmtId="165" showAll="0"/>
    <pivotField numFmtId="14" showAll="0"/>
    <pivotField numFmtId="165" showAll="0"/>
    <pivotField showAll="0"/>
    <pivotField showAll="0"/>
    <pivotField showAll="0"/>
    <pivotField numFmtId="2" showAll="0"/>
    <pivotField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showAll="0" defaultSubtotal="0">
      <items count="17">
        <item x="0"/>
        <item x="1"/>
        <item x="2"/>
        <item x="3"/>
        <item x="4"/>
        <item x="5"/>
        <item x="6"/>
        <item x="7"/>
        <item x="8"/>
        <item x="9"/>
        <item x="10"/>
        <item x="11"/>
        <item x="12"/>
        <item x="13"/>
        <item x="14"/>
        <item x="15"/>
        <item x="16"/>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4"/>
  </rowFields>
  <rowItems count="4">
    <i>
      <x v="6"/>
    </i>
    <i>
      <x v="2"/>
    </i>
    <i>
      <x v="5"/>
    </i>
    <i t="grand">
      <x/>
    </i>
  </rowItems>
  <colItems count="1">
    <i/>
  </colItems>
  <pageFields count="1">
    <pageField fld="35" hier="-1"/>
  </pageFields>
  <dataFields count="1">
    <dataField name="Сумма по полю ПНВ" fld="37" baseField="0" baseItem="0" numFmtId="166"/>
  </dataFields>
  <formats count="1">
    <format dxfId="11">
      <pivotArea collapsedLevelsAreSubtotals="1" fieldPosition="0">
        <references count="1">
          <reference field="14" count="4">
            <x v="1"/>
            <x v="2"/>
            <x v="5"/>
            <x v="6"/>
          </reference>
        </references>
      </pivotArea>
    </format>
  </formats>
  <chartFormats count="2">
    <chartFormat chart="0" format="3"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41" type="dateBetween" evalOrder="-1" id="247" name="Дата начала">
      <autoFilter ref="A1">
        <filterColumn colId="0">
          <customFilters and="1">
            <customFilter operator="greaterThanOrEqual" val="46143"/>
            <customFilter operator="lessThanOrEqual" val="46173"/>
          </customFilters>
        </filterColumn>
      </autoFilter>
    </filter>
    <filter fld="14" type="count" evalOrder="-1" id="3" iMeasureFld="0">
      <autoFilter ref="A1">
        <filterColumn colId="0">
          <top10 val="3" filterVal="3"/>
        </filterColumn>
      </autoFilter>
    </filter>
  </filters>
  <extLs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00000000-0007-0000-1E00-000013000000}" name="Рейсовая_скорость" cacheId="62" applyNumberFormats="0" applyBorderFormats="0" applyFontFormats="0" applyPatternFormats="0" applyAlignmentFormats="0" applyWidthHeightFormats="1" dataCaption="Значения" updatedVersion="8" minRefreshableVersion="3" useAutoFormatting="1" itemPrintTitles="1" createdVersion="8" indent="0" outline="1" outlineData="1" multipleFieldFilters="0" chartFormat="11">
  <location ref="A3:B11" firstHeaderRow="1" firstDataRow="1" firstDataCol="1" rowPageCount="1" colPageCount="1"/>
  <pivotFields count="60">
    <pivotField showAll="0"/>
    <pivotField showAll="0"/>
    <pivotField showAll="0"/>
    <pivotField showAll="0"/>
    <pivotField showAll="0"/>
    <pivotField showAll="0"/>
    <pivotField showAll="0"/>
    <pivotField axis="axisRow" showAll="0">
      <items count="9">
        <item x="2"/>
        <item x="0"/>
        <item x="1"/>
        <item x="3"/>
        <item x="4"/>
        <item x="5"/>
        <item x="6"/>
        <item x="7"/>
        <item t="default"/>
      </items>
    </pivotField>
    <pivotField numFmtId="1" showAll="0"/>
    <pivotField showAll="0"/>
    <pivotField showAll="0"/>
    <pivotField showAll="0"/>
    <pivotField showAll="0"/>
    <pivotField showAll="0"/>
    <pivotField axis="axisPage" multipleItemSelectionAllowed="1" showAll="0">
      <items count="12">
        <item x="2"/>
        <item h="1" x="6"/>
        <item h="1" x="1"/>
        <item h="1" x="0"/>
        <item h="1" x="8"/>
        <item h="1" x="3"/>
        <item h="1" x="9"/>
        <item h="1" x="7"/>
        <item h="1" x="4"/>
        <item h="1" x="5"/>
        <item h="1"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numFmtId="164" showAll="0">
      <items count="2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2"/>
        <item x="83"/>
        <item x="84"/>
        <item x="85"/>
        <item x="86"/>
        <item x="88"/>
        <item x="89"/>
        <item x="90"/>
        <item x="91"/>
        <item x="120"/>
        <item x="122"/>
        <item x="81"/>
        <item x="87"/>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1"/>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t="default"/>
      </items>
    </pivotField>
    <pivotField numFmtId="2" showAll="0"/>
    <pivotField numFmtId="2" showAll="0"/>
    <pivotField showAll="0"/>
    <pivotField numFmtId="166" showAll="0"/>
    <pivotField numFmtId="166" showAll="0"/>
    <pivotField numFmtId="166" showAll="0"/>
    <pivotField numFmtId="1" showAll="0"/>
    <pivotField numFmtId="1" showAll="0"/>
    <pivotField numFmtId="14"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umFmtId="165" showAll="0"/>
    <pivotField numFmtId="14" showAll="0"/>
    <pivotField numFmtId="165" showAll="0"/>
    <pivotField showAll="0"/>
    <pivotField showAll="0"/>
    <pivotField showAll="0"/>
    <pivotField numFmtId="2" showAll="0"/>
    <pivotField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showAll="0" defaultSubtotal="0">
      <items count="17">
        <item x="0"/>
        <item x="1"/>
        <item x="2"/>
        <item x="3"/>
        <item x="4"/>
        <item x="5"/>
        <item x="6"/>
        <item x="7"/>
        <item x="8"/>
        <item x="9"/>
        <item x="10"/>
        <item x="11"/>
        <item x="12"/>
        <item x="13"/>
        <item x="14"/>
        <item x="15"/>
        <item x="16"/>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s>
  <rowFields count="1">
    <field x="7"/>
  </rowFields>
  <rowItems count="8">
    <i>
      <x v="1"/>
    </i>
    <i>
      <x v="2"/>
    </i>
    <i>
      <x v="3"/>
    </i>
    <i>
      <x v="4"/>
    </i>
    <i>
      <x v="5"/>
    </i>
    <i>
      <x v="6"/>
    </i>
    <i>
      <x v="7"/>
    </i>
    <i t="grand">
      <x/>
    </i>
  </rowItems>
  <colItems count="1">
    <i/>
  </colItems>
  <pageFields count="1">
    <pageField fld="14" hier="-1"/>
  </pageFields>
  <dataFields count="1">
    <dataField name="Сумма по полю Рейсовая скорость" fld="59" baseField="0" baseItem="0" numFmtId="1"/>
  </dataFields>
  <formats count="1">
    <format dxfId="10">
      <pivotArea outline="0" collapsedLevelsAreSubtotals="1" fieldPosition="0">
        <references count="1">
          <reference field="4294967294" count="1" selected="0">
            <x v="0"/>
          </reference>
        </references>
      </pivotArea>
    </format>
  </formats>
  <chartFormats count="4">
    <chartFormat chart="0"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1" type="dateBetween" evalOrder="-1" id="244" name="Дата начала">
      <autoFilter ref="A1">
        <filterColumn colId="0">
          <customFilters and="1">
            <customFilter operator="greaterThanOrEqual" val="46143"/>
            <customFilter operator="lessThanOrEqual" val="46173"/>
          </customFilters>
        </filterColumn>
      </autoFilter>
    </filter>
  </filters>
  <extLs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00000000-0007-0000-1F00-000014000000}" name="Анализ_ДТ" cacheId="44" applyNumberFormats="0" applyBorderFormats="0" applyFontFormats="0" applyPatternFormats="0" applyAlignmentFormats="0" applyWidthHeightFormats="1" dataCaption="Значения" updatedVersion="8" minRefreshableVersion="3" useAutoFormatting="1" itemPrintTitles="1" createdVersion="8" indent="0" outline="1" outlineData="1" multipleFieldFilters="0" chartFormat="1">
  <location ref="A3:C12" firstHeaderRow="0" firstDataRow="1" firstDataCol="1"/>
  <pivotFields count="8">
    <pivotField axis="axisRow" showAll="0">
      <items count="10">
        <item x="0"/>
        <item x="1"/>
        <item x="5"/>
        <item x="6"/>
        <item x="7"/>
        <item m="1" x="8"/>
        <item x="2"/>
        <item x="3"/>
        <item x="4"/>
        <item t="default"/>
      </items>
    </pivotField>
    <pivotField showAll="0"/>
    <pivotField showAll="0"/>
    <pivotField showAll="0"/>
    <pivotField showAll="0"/>
    <pivotField showAll="0"/>
    <pivotField dataField="1" showAll="0"/>
    <pivotField dataField="1" dragToRow="0" dragToCol="0" dragToPage="0" showAll="0" defaultSubtotal="0"/>
  </pivotFields>
  <rowFields count="1">
    <field x="0"/>
  </rowFields>
  <rowItems count="9">
    <i>
      <x/>
    </i>
    <i>
      <x v="1"/>
    </i>
    <i>
      <x v="2"/>
    </i>
    <i>
      <x v="3"/>
    </i>
    <i>
      <x v="4"/>
    </i>
    <i>
      <x v="6"/>
    </i>
    <i>
      <x v="7"/>
    </i>
    <i>
      <x v="8"/>
    </i>
    <i t="grand">
      <x/>
    </i>
  </rowItems>
  <colFields count="1">
    <field x="-2"/>
  </colFields>
  <colItems count="2">
    <i>
      <x/>
    </i>
    <i i="1">
      <x v="1"/>
    </i>
  </colItems>
  <dataFields count="2">
    <dataField name="Приход ДТ, л " fld="6" baseField="0" baseItem="0"/>
    <dataField name="Расхождение расходов ДТ, л" fld="7" baseField="0" baseItem="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Хронология" displayName="Хронология" ref="A1:AX238" totalsRowShown="0" headerRowDxfId="312" dataDxfId="311">
  <autoFilter ref="A1:AX238" xr:uid="{00000000-0009-0000-0100-000001000000}"/>
  <tableColumns count="50">
    <tableColumn id="36" xr3:uid="{00000000-0010-0000-0000-000024000000}" name="Проект" dataDxfId="310"/>
    <tableColumn id="40" xr3:uid="{00000000-0010-0000-0000-000028000000}" name="Основные работы" dataDxfId="309"/>
    <tableColumn id="35" xr3:uid="{00000000-0010-0000-0000-000023000000}" name="Месторождение" dataDxfId="308"/>
    <tableColumn id="34" xr3:uid="{00000000-0010-0000-0000-000022000000}" name="Куст" dataDxfId="307"/>
    <tableColumn id="33" xr3:uid="{00000000-0010-0000-0000-000021000000}" name="Скважина" dataDxfId="306"/>
    <tableColumn id="32" xr3:uid="{00000000-0010-0000-0000-000020000000}" name="Мастер" dataDxfId="305"/>
    <tableColumn id="37" xr3:uid="{00000000-0010-0000-0000-000025000000}" name="Помощник мастера" dataDxfId="304"/>
    <tableColumn id="3" xr3:uid="{00000000-0010-0000-0000-000003000000}" name="Бурильщик" dataDxfId="303"/>
    <tableColumn id="1" xr3:uid="{00000000-0010-0000-0000-000001000000}" name="№ рапорта" dataDxfId="302"/>
    <tableColumn id="2" xr3:uid="{00000000-0010-0000-0000-000002000000}" name="№ п/п" dataDxfId="301"/>
    <tableColumn id="5" xr3:uid="{00000000-0010-0000-0000-000005000000}" name="ОК" dataDxfId="300"/>
    <tableColumn id="4" xr3:uid="{00000000-0010-0000-0000-000004000000}" name="Этап" dataDxfId="299"/>
    <tableColumn id="41" xr3:uid="{00000000-0010-0000-0000-000029000000}" name="Контекст простоя" dataDxfId="298"/>
    <tableColumn id="42" xr3:uid="{00000000-0010-0000-0000-00002A000000}" name="Событие" dataDxfId="297"/>
    <tableColumn id="14" xr3:uid="{00000000-0010-0000-0000-00000E000000}" name="Категория работ" dataDxfId="296"/>
    <tableColumn id="15" xr3:uid="{00000000-0010-0000-0000-00000F000000}" name="Вид работ" dataDxfId="295"/>
    <tableColumn id="44" xr3:uid="{00000000-0010-0000-0000-00002C000000}" name="Категория объектов" dataDxfId="294"/>
    <tableColumn id="43" xr3:uid="{00000000-0010-0000-0000-00002B000000}" name="Объект работ" dataDxfId="293"/>
    <tableColumn id="27" xr3:uid="{00000000-0010-0000-0000-00001B000000}" name="Рейс" dataDxfId="292"/>
    <tableColumn id="12" xr3:uid="{00000000-0010-0000-0000-00000C000000}" name="Описание работ" dataDxfId="291"/>
    <tableColumn id="13" xr3:uid="{00000000-0010-0000-0000-00000D000000}" name="Часы" dataDxfId="290"/>
    <tableColumn id="6" xr3:uid="{00000000-0010-0000-0000-000006000000}" name="Забой, м" dataDxfId="289"/>
    <tableColumn id="25" xr3:uid="{00000000-0010-0000-0000-000019000000}" name="Статус" dataDxfId="288"/>
    <tableColumn id="22" xr3:uid="{00000000-0010-0000-0000-000016000000}" name="Ответственный за НПВ" dataDxfId="287"/>
    <tableColumn id="49" xr3:uid="{00000000-0010-0000-0000-000031000000}" name="Слайд/ротор" dataDxfId="286"/>
    <tableColumn id="48" xr3:uid="{00000000-0010-0000-0000-000030000000}" name="G, т" dataDxfId="285"/>
    <tableColumn id="47" xr3:uid="{00000000-0010-0000-0000-00002F000000}" name="Q, л/с" dataDxfId="284"/>
    <tableColumn id="21" xr3:uid="{00000000-0010-0000-0000-000015000000}" name="P, атм" dataDxfId="283"/>
    <tableColumn id="20" xr3:uid="{00000000-0010-0000-0000-000014000000}" name="N, об/мин" dataDxfId="282"/>
    <tableColumn id="19" xr3:uid="{00000000-0010-0000-0000-000013000000}" name="M, кН*м" dataDxfId="281"/>
    <tableColumn id="7" xr3:uid="{00000000-0010-0000-0000-000007000000}" name="Проходка, м" dataDxfId="280">
      <calculatedColumnFormula>IFERROR(IF(Хронология[[#This Row],[Забой, м]]-V1&lt;0, 0, Хронология[[#This Row],[Забой, м]]-V1), 0)</calculatedColumnFormula>
    </tableColumn>
    <tableColumn id="8" xr3:uid="{00000000-0010-0000-0000-000008000000}" name="Начало" dataDxfId="279"/>
    <tableColumn id="9" xr3:uid="{00000000-0010-0000-0000-000009000000}" name="Окончание" dataDxfId="278">
      <calculatedColumnFormula>Хронология[[#This Row],[Начало]]+Хронология[[#This Row],[Сутки]]</calculatedColumnFormula>
    </tableColumn>
    <tableColumn id="10" xr3:uid="{00000000-0010-0000-0000-00000A000000}" name="Сутки" dataDxfId="277">
      <calculatedColumnFormula>Хронология[[#This Row],[Часы]]/24</calculatedColumnFormula>
    </tableColumn>
    <tableColumn id="11" xr3:uid="{00000000-0010-0000-0000-00000B000000}" name="Нараст. сутки" dataDxfId="276">
      <calculatedColumnFormula>IFERROR(Хронология[[#This Row],[Сутки]]+AI1, Хронология[[#This Row],[Сутки]])</calculatedColumnFormula>
    </tableColumn>
    <tableColumn id="16" xr3:uid="{00000000-0010-0000-0000-000010000000}" name="Результат" dataDxfId="275">
      <calculatedColumnFormula>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calculatedColumnFormula>
    </tableColumn>
    <tableColumn id="24" xr3:uid="{00000000-0010-0000-0000-000018000000}" name="ПВ" dataDxfId="274">
      <calculatedColumnFormula>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calculatedColumnFormula>
    </tableColumn>
    <tableColumn id="45" xr3:uid="{00000000-0010-0000-0000-00002D000000}" name="ПНВ" dataDxfId="273">
      <calculatedColumnFormula>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calculatedColumnFormula>
    </tableColumn>
    <tableColumn id="46" xr3:uid="{00000000-0010-0000-0000-00002E000000}" name="НПВ" dataDxfId="272">
      <calculatedColumnFormula>IF(Хронология[[#This Row],[Результат]]="НПВ", Хронология[[#This Row],[Часы]], 0)</calculatedColumnFormula>
    </tableColumn>
    <tableColumn id="26" xr3:uid="{00000000-0010-0000-0000-00001A000000}" name="Накопительное НПВ" dataDxfId="271" totalsRowDxfId="270">
      <calculatedColumnFormula>SUMIFS(Хронология[НПВ], Хронология[Скважина], Хронология[[#This Row],[Скважина]], Хронология[Начало], "&lt;=" &amp; Хронология[[#This Row],[Начало]])</calculatedColumnFormula>
    </tableColumn>
    <tableColumn id="38" xr3:uid="{00000000-0010-0000-0000-000026000000}" name="Накопительное ПНВ" dataDxfId="269" totalsRowDxfId="268">
      <calculatedColumnFormula>SUMIFS(Хронология[ПНВ], Хронология[Скважина], Хронология[[#This Row],[Скважина]], Хронология[Начало], "&lt;=" &amp; Хронология[[#This Row],[Начало]])</calculatedColumnFormula>
    </tableColumn>
    <tableColumn id="31" xr3:uid="{00000000-0010-0000-0000-00001F000000}" name="Дата начала" dataDxfId="267" totalsRowDxfId="266">
      <calculatedColumnFormula>INT(ROUND(Хронология[[#This Row],[Начало]], 3))</calculatedColumnFormula>
    </tableColumn>
    <tableColumn id="30" xr3:uid="{00000000-0010-0000-0000-00001E000000}" name="Время начала" dataDxfId="265" totalsRowDxfId="264">
      <calculatedColumnFormula>Хронология[[#This Row],[Начало]]-INT(Хронология[[#This Row],[Начало]])</calculatedColumnFormula>
    </tableColumn>
    <tableColumn id="29" xr3:uid="{00000000-0010-0000-0000-00001D000000}" name="Дата окончания" dataDxfId="263" totalsRowDxfId="262">
      <calculatedColumnFormula>INT(ROUND(Хронология[[#This Row],[Окончание]], 3))</calculatedColumnFormula>
    </tableColumn>
    <tableColumn id="28" xr3:uid="{00000000-0010-0000-0000-00001C000000}" name="Время окончания" dataDxfId="261" totalsRowDxfId="260">
      <calculatedColumnFormula>Хронология[[#This Row],[Окончание]]-INT(Хронология[[#This Row],[Окончание]])</calculatedColumnFormula>
    </tableColumn>
    <tableColumn id="39" xr3:uid="{00000000-0010-0000-0000-000027000000}" name="Бригада" dataDxfId="259" totalsRowDxfId="258">
      <calculatedColumnFormula>Хронология[[#This Row],[Мастер]] &amp; CHAR(10) &amp; Хронология[[#This Row],[Помощник мастера]] &amp; CHAR(10) &amp; Хронология[[#This Row],[Бурильщик]]</calculatedColumnFormula>
    </tableColumn>
    <tableColumn id="17" xr3:uid="{00000000-0010-0000-0000-000011000000}" name="Ключ" dataDxfId="257" totalsRowDxfId="256">
      <calculatedColumnFormula>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calculatedColumnFormula>
    </tableColumn>
    <tableColumn id="23" xr3:uid="{00000000-0010-0000-0000-000017000000}" name="Результат, вид, объект" dataDxfId="255" totalsRowDxfId="254">
      <calculatedColumnFormula>Хронология[[#This Row],[Результат]]&amp;":  "&amp;Хронология[[#This Row],[Событие]]&amp; CHAR(10) &amp;Хронология[[#This Row],[Вид работ]]&amp;"  "&amp;Хронология[[#This Row],[Объект работ]]</calculatedColumnFormula>
    </tableColumn>
    <tableColumn id="18" xr3:uid="{00000000-0010-0000-0000-000012000000}" name="Подытог за операцию" dataDxfId="253" totalsRowDxfId="252">
      <calculatedColumnFormula>SUMIF($AU$2:AU2, Хронология[[#This Row],[Ключ]], $AH$2:AH2)</calculatedColumnFormula>
    </tableColumn>
    <tableColumn id="50" xr3:uid="{00000000-0010-0000-0000-000032000000}" name="Вид, объект" dataDxfId="251">
      <calculatedColumnFormula>Хронология[[#This Row],[Вид работ]] &amp; " " &amp; Хронология[[#This Row],[Объект работ]]</calculatedColumnFormula>
    </tableColumn>
  </tableColumns>
  <tableStyleInfo name="TableStyleLight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Учет_ДТ" displayName="Учет_ДТ" ref="B2:H26" totalsRowShown="0" headerRowDxfId="250" dataDxfId="249">
  <autoFilter ref="B2:H26" xr:uid="{00000000-0009-0000-0100-000002000000}"/>
  <tableColumns count="7">
    <tableColumn id="1" xr3:uid="{00000000-0010-0000-0100-000001000000}" name="Дата" dataDxfId="248"/>
    <tableColumn id="2" xr3:uid="{00000000-0010-0000-0100-000002000000}" name="Потребитель" dataDxfId="247"/>
    <tableColumn id="3" xr3:uid="{00000000-0010-0000-0100-000003000000}" name="Время работы, ч" dataDxfId="246"/>
    <tableColumn id="4" xr3:uid="{00000000-0010-0000-0100-000004000000}" name="Расход ДТ, л/ч" dataDxfId="245"/>
    <tableColumn id="5" xr3:uid="{00000000-0010-0000-0100-000005000000}" name="Расход, литр за сутки" dataDxfId="244">
      <calculatedColumnFormula>Учет_ДТ[[#This Row],[Время работы, ч]]*Учет_ДТ[[#This Row],[Расход ДТ, л/ч]]</calculatedColumnFormula>
    </tableColumn>
    <tableColumn id="6" xr3:uid="{00000000-0010-0000-0100-000006000000}" name="Остаток ДТ, литр" dataDxfId="243"/>
    <tableColumn id="8" xr3:uid="{00000000-0010-0000-0100-000008000000}" name="Приход ДТ, л" dataDxfId="24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Планирование" displayName="Планирование" ref="A12:AJ135" totalsRowShown="0" headerRowDxfId="241" dataDxfId="240" tableBorderDxfId="239">
  <autoFilter ref="A12:AJ135" xr:uid="{00000000-0009-0000-0100-000003000000}"/>
  <tableColumns count="36">
    <tableColumn id="1" xr3:uid="{00000000-0010-0000-0200-000001000000}" name="Операция" dataDxfId="238"/>
    <tableColumn id="31" xr3:uid="{00000000-0010-0000-0200-00001F000000}" name="Скважина" dataDxfId="237"/>
    <tableColumn id="34" xr3:uid="{00000000-0010-0000-0200-000022000000}" name="ОК" dataDxfId="236"/>
    <tableColumn id="4" xr3:uid="{00000000-0010-0000-0200-000004000000}" name="Этап" dataDxfId="235"/>
    <tableColumn id="2" xr3:uid="{00000000-0010-0000-0200-000002000000}" name="Контекст простоя" dataDxfId="234"/>
    <tableColumn id="3" xr3:uid="{00000000-0010-0000-0200-000003000000}" name="Событие" dataDxfId="233"/>
    <tableColumn id="20" xr3:uid="{00000000-0010-0000-0200-000014000000}" name="Категория работ" dataDxfId="232"/>
    <tableColumn id="5" xr3:uid="{00000000-0010-0000-0200-000005000000}" name="Вид работ" dataDxfId="231"/>
    <tableColumn id="36" xr3:uid="{00000000-0010-0000-0200-000024000000}" name="Категория объектов" dataDxfId="230"/>
    <tableColumn id="35" xr3:uid="{00000000-0010-0000-0200-000023000000}" name="Объект работ" dataDxfId="229"/>
    <tableColumn id="37" xr3:uid="{00000000-0010-0000-0200-000025000000}" name="Рейс" dataDxfId="228"/>
    <tableColumn id="6" xr3:uid="{00000000-0010-0000-0200-000006000000}" name="Ключ" dataDxfId="227">
      <calculatedColumnFormula>IF(Планирование[[#This Row],[Контекст простоя]]="Штатно", Планирование[[#This Row],[Скважина]] &amp; " " &amp; "ОК–" &amp;Планирование[[#This Row],[ОК]] &amp; " "  &amp; Планирование[[#This Row],[Этап]] &amp; " " &amp; Планирование[[#This Row],[Вид работ]] &amp; " " &amp; Планирование[[#This Row],[Объект работ]] &amp; " " &amp; Планирование[[#This Row],[Рейс]], Планирование[[#This Row],[Скважина]] &amp; " " &amp; "ОК–" &amp;Планирование[[#This Row],[ОК]] &amp; " " &amp; Планирование[[#This Row],[Этап]] &amp; " " &amp; Планирование[[#This Row],[Контекст простоя]] &amp; " " &amp; Планирование[[#This Row],[Событие]] &amp; " " &amp; Планирование[[#This Row],[Вид работ]] &amp; " " &amp; Планирование[[#This Row],[Объект работ]] &amp; " " &amp; Планирование[[#This Row],[Рейс]])</calculatedColumnFormula>
    </tableColumn>
    <tableColumn id="30" xr3:uid="{00000000-0010-0000-0200-00001E000000}" name="Начало (цель)" dataDxfId="226"/>
    <tableColumn id="29" xr3:uid="{00000000-0010-0000-0200-00001D000000}" name="Конец (цель)" dataDxfId="225">
      <calculatedColumnFormula>Планирование[[#This Row],[Начало (цель)]]+Планирование[[#This Row],[Сутки (цель)]]</calculatedColumnFormula>
    </tableColumn>
    <tableColumn id="28" xr3:uid="{00000000-0010-0000-0200-00001C000000}" name="Часы (цель)" dataDxfId="224"/>
    <tableColumn id="24" xr3:uid="{00000000-0010-0000-0200-000018000000}" name="Забой, м (цель)" dataDxfId="223"/>
    <tableColumn id="27" xr3:uid="{00000000-0010-0000-0200-00001B000000}" name="Сутки (цель)" dataDxfId="222">
      <calculatedColumnFormula>Планирование[[#This Row],[Часы (цель)]]/24</calculatedColumnFormula>
    </tableColumn>
    <tableColumn id="26" xr3:uid="{00000000-0010-0000-0200-00001A000000}" name="Нараст. сутки (цель)" dataDxfId="221"/>
    <tableColumn id="7" xr3:uid="{00000000-0010-0000-0200-000007000000}" name="Начало (план)" dataDxfId="220">
      <calculatedColumnFormula>Планирование[[#This Row],[Начало (цель)]]</calculatedColumnFormula>
    </tableColumn>
    <tableColumn id="8" xr3:uid="{00000000-0010-0000-0200-000008000000}" name="Конец (план)" dataDxfId="219">
      <calculatedColumnFormula>Планирование[[#This Row],[Начало (план)]]+Планирование[[#This Row],[Сутки (план)]]</calculatedColumnFormula>
    </tableColumn>
    <tableColumn id="9" xr3:uid="{00000000-0010-0000-0200-000009000000}" name="Часы (план)" dataDxfId="218">
      <calculatedColumnFormula>Планирование[[#This Row],[Часы (цель)]]</calculatedColumnFormula>
    </tableColumn>
    <tableColumn id="12" xr3:uid="{00000000-0010-0000-0200-00000C000000}" name="Забой, м (план)" dataDxfId="217">
      <calculatedColumnFormula>Планирование[[#This Row],[Забой, м (цель)]]</calculatedColumnFormula>
    </tableColumn>
    <tableColumn id="10" xr3:uid="{00000000-0010-0000-0200-00000A000000}" name="Сутки (план)" dataDxfId="216">
      <calculatedColumnFormula>Планирование[[#This Row],[Часы (план)]]/24</calculatedColumnFormula>
    </tableColumn>
    <tableColumn id="11" xr3:uid="{00000000-0010-0000-0200-00000B000000}" name="Нараст. сутки (план)" dataDxfId="215"/>
    <tableColumn id="13" xr3:uid="{00000000-0010-0000-0200-00000D000000}" name="Начало (факт)" dataDxfId="214">
      <calculatedColumnFormula array="1">IFERROR(
    INDEX(Хронология[Начало], MATCH(1, (Хронология[Ключ]=Планирование[[#This Row],[Ключ]]) * (Хронология[Подытог за операцию]=MIN(IF(Хронология[Ключ]=Планирование[[#This Row],[Ключ]], Хронология[Подытог за операцию]))), 0)),
    Z12
)</calculatedColumnFormula>
    </tableColumn>
    <tableColumn id="14" xr3:uid="{00000000-0010-0000-0200-00000E000000}" name="Конец (факт, прогноз)" dataDxfId="213">
      <calculatedColumnFormula array="1">MAX(IFERROR(
    INDEX(Хронология[Окончание], MATCH(1, (Хронология[Ключ]=Планирование[[#This Row],[Ключ]]) * (Хронология[Подытог за операцию]=MAX(IF(Хронология[Ключ]=Планирование[[#This Row],[Ключ]], Хронология[Подытог за операцию]))), 0)),
    Y13+AC13
), Планирование[[#This Row],[Начало (факт)]]+Планирование[[#This Row],[Сутки (факт)]])</calculatedColumnFormula>
    </tableColumn>
    <tableColumn id="15" xr3:uid="{00000000-0010-0000-0200-00000F000000}" name="Часы (факт)" dataDxfId="212">
      <calculatedColumnFormula>IF(AND(Планирование[[#This Row],[Начало (факт)]]=Y14, Планирование[[#This Row],[Забой, м (факт)]]=0), 0, Планирование[[#This Row],[Сутки (факт)]]*24)</calculatedColumnFormula>
    </tableColumn>
    <tableColumn id="22" xr3:uid="{00000000-0010-0000-0200-000016000000}" name="Факт без НПВ, часы" dataDxfId="211">
      <calculatedColumnFormula>Планирование[[#This Row],[Часы (факт)]]-Планирование[[#This Row],[НПВ за операцию, часы]]-Планирование[[#This Row],[ПНВ, часы]]</calculatedColumnFormula>
    </tableColumn>
    <tableColumn id="16" xr3:uid="{00000000-0010-0000-0200-000010000000}" name="Сутки (факт)" dataDxfId="210">
      <calculatedColumnFormula array="1">IFERROR(
  IF(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окончены",
    MAX(IF(Хронология[Ключ]=Планирование[[#This Row],[Ключ]], Хронология[Подытог за операцию])),
    IF(
      Планирование[[#This Row],[Событие]]="Мех. бурение",
      (MAX(Хронология[Окончание]) - Планирование[[#This Row],[Начало (факт)]]) +
      (Планирование[[#This Row],[Забой, м (план)]] - Планирование[[#This Row],[Забой, м (факт)]]) /
      ((Планирование[[#This Row],[Забой, м (план)]] - V12)/Планирование[[#This Row],[Сутки (план)]]),
      IF(
        AND(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продолжаются",
          Планирование[[#This Row],[Начало (факт)]]&gt;0
        ),
        (TODAY()-Планирование[[#This Row],[Начало (факт)]]),
        IF(
          AND(Планирование[[#This Row],[Начало (факт)]]=0,
            Планирование[[#This Row],[Начало (план)]] &gt; MAX(Хронология[Начало])),
          Планирование[[#This Row],[Сутки (план)]],
          IF(
            AND((TODAY()-Планирование[[#This Row],[Начало (план)]])&gt;1,
              ISERR(MATCH(Планирование[[#This Row],[Ключ]], Хронология[Ключ], 0))),
            0,
            Планирование[[#This Row],[Сутки (план)]]
          )
        )
      )
    )
  ),
  Планирование[[#This Row],[Сутки (план)]]
)</calculatedColumnFormula>
    </tableColumn>
    <tableColumn id="17" xr3:uid="{00000000-0010-0000-0200-000011000000}" name="Нараст. сутки (факт)" dataDxfId="209">
      <calculatedColumnFormula array="1">IF(MAX(IF(Хронология[Ключ]=Планирование[[#This Row],[Ключ]], Хронология[Нараст. сутки]))=0,
AD12+Планирование[[#This Row],[Сутки (факт)]] +Планирование[[#This Row],[НПВ между операциями, часы]],
MAX(IF(Хронология[Ключ]=Планирование[[#This Row],[Ключ]], Хронология[Нараст. сутки])))</calculatedColumnFormula>
    </tableColumn>
    <tableColumn id="18" xr3:uid="{00000000-0010-0000-0200-000012000000}" name="Забой, м (факт)" dataDxfId="208">
      <calculatedColumnFormula array="1">MAX(IF(Хронология[Ключ]=Планирование[[#This Row],[Ключ]], Хронология[Забой, м]))</calculatedColumnFormula>
    </tableColumn>
    <tableColumn id="23" xr3:uid="{00000000-0010-0000-0200-000017000000}" name="НПВ за операцию, часы" dataDxfId="207">
      <calculatedColumnFormula>IFERROR(
    SUMIFS(
        Хронология[Часы],
        Хронология[Результат], "НПВ: нет в ГГД",
        Хронология[Начало], "&gt;=" &amp; Планирование[[#This Row],[Начало (факт)]],
        Хронология[Окончание], "&lt;=" &amp; Планирование[[#This Row],[Конец (факт, прогноз)]]
    ),
    0
)</calculatedColumnFormula>
    </tableColumn>
    <tableColumn id="32" xr3:uid="{00000000-0010-0000-0200-000020000000}" name="НПВ между операциями, часы" dataDxfId="206">
      <calculatedColumnFormula>IFERROR(
    SUMIFS(
        Хронология[Часы],
        Хронология[Результат], "НПВ: нет в ГГД",
        Хронология[Начало], "&gt;=" &amp; Планирование[[#This Row],[Конец (факт, прогноз)]],
        Хронология[Окончание], "&lt;=" &amp; Y14
    ),
    0
)</calculatedColumnFormula>
    </tableColumn>
    <tableColumn id="19" xr3:uid="{00000000-0010-0000-0200-000013000000}" name="ПНВ, часы" dataDxfId="205">
      <calculatedColumnFormula>ROUND(IF(Планирование[[#This Row],[Часы (факт)]]-Планирование[[#This Row],[НПВ за операцию, часы]]-Планирование[[#This Row],[Часы (план)]] &lt;0, 0, Планирование[[#This Row],[Часы (факт)]]-Планирование[[#This Row],[НПВ за операцию, часы]]-Планирование[[#This Row],[Часы (план)]]), 2)</calculatedColumnFormula>
    </tableColumn>
    <tableColumn id="25" xr3:uid="{00000000-0010-0000-0200-000019000000}" name="Проблемные позиции, оборудование, материалы, комментарии к НПВ" dataDxfId="204"/>
    <tableColumn id="21" xr3:uid="{00000000-0010-0000-0200-000015000000}" name="Следование ГГД" dataDxfId="203">
      <calculatedColumnFormula>Планирование[[#This Row],[Конец (план)]]-Планирование[[#This Row],[Конец (факт, прогноз)]]</calculatedColumnFormula>
    </tableColumn>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Категории_работ" displayName="Категории_работ" ref="B6:B21" totalsRowShown="0" headerRowDxfId="202" dataDxfId="201">
  <autoFilter ref="B6:B21" xr:uid="{00000000-0009-0000-0100-000004000000}"/>
  <sortState xmlns:xlrd2="http://schemas.microsoft.com/office/spreadsheetml/2017/richdata2" ref="B7:B29">
    <sortCondition ref="B6:B29"/>
  </sortState>
  <tableColumns count="1">
    <tableColumn id="1" xr3:uid="{00000000-0010-0000-0300-000001000000}" name="Категории_работ" dataDxfId="200"/>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Категории_объектов" displayName="Категории_объектов" ref="B36:B48" totalsRowShown="0" headerRowDxfId="199" dataDxfId="198">
  <autoFilter ref="B36:B48" xr:uid="{00000000-0009-0000-0100-000005000000}"/>
  <tableColumns count="1">
    <tableColumn id="1" xr3:uid="{00000000-0010-0000-0400-000001000000}" name="Категории_объектов" dataDxfId="197"/>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Скважина_ствол" displayName="Скважина_ствол" ref="D36:D55" totalsRowShown="0" headerRowDxfId="196" dataDxfId="195">
  <autoFilter ref="D36:D55" xr:uid="{00000000-0009-0000-0100-000006000000}"/>
  <tableColumns count="1">
    <tableColumn id="1" xr3:uid="{00000000-0010-0000-0500-000001000000}" name="Скважина_ствол" dataDxfId="194"/>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БК_КНБК" displayName="БК_КНБК" ref="F36:F56" totalsRowShown="0" headerRowDxfId="193" dataDxfId="192">
  <autoFilter ref="F36:F56" xr:uid="{00000000-0009-0000-0100-000007000000}"/>
  <tableColumns count="1">
    <tableColumn id="1" xr3:uid="{00000000-0010-0000-0600-000001000000}" name="БК_КНБК" dataDxfId="191"/>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Этапы_работ" displayName="Этапы_работ" ref="B78:B93" totalsRowShown="0" headerRowDxfId="190" dataDxfId="189">
  <autoFilter ref="B78:B93" xr:uid="{00000000-0009-0000-0100-000008000000}"/>
  <tableColumns count="1">
    <tableColumn id="1" xr3:uid="{00000000-0010-0000-0700-000001000000}" name="Этапы_работ" dataDxfId="188"/>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СПО" displayName="СПО" ref="D6:D28" totalsRowShown="0" headerRowDxfId="187" dataDxfId="185" headerRowBorderDxfId="186" tableBorderDxfId="184">
  <autoFilter ref="D6:D28" xr:uid="{00000000-0009-0000-0100-000009000000}"/>
  <tableColumns count="1">
    <tableColumn id="1" xr3:uid="{00000000-0010-0000-0800-000001000000}" name="СПО" dataDxfId="183"/>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Сборка_разборка_оснащение" displayName="Сборка_разборка_оснащение" ref="F6:F17" totalsRowShown="0" headerRowDxfId="182" dataDxfId="180" headerRowBorderDxfId="181" tableBorderDxfId="179">
  <autoFilter ref="F6:F17" xr:uid="{00000000-0009-0000-0100-00000A000000}"/>
  <tableColumns count="1">
    <tableColumn id="1" xr3:uid="{00000000-0010-0000-0900-000001000000}" name="Сборка_разборка_оснащение" dataDxfId="178"/>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Монтаж_демонтаж_установка" displayName="Монтаж_демонтаж_установка" ref="H6:H21" totalsRowShown="0" headerRowDxfId="177" dataDxfId="175" headerRowBorderDxfId="176" tableBorderDxfId="174">
  <autoFilter ref="H6:H21" xr:uid="{00000000-0009-0000-0100-00000B000000}"/>
  <tableColumns count="1">
    <tableColumn id="1" xr3:uid="{00000000-0010-0000-0A00-000001000000}" name="Монтаж_демонтаж_установка" dataDxfId="173"/>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Углубление" displayName="Углубление" ref="J6:J20" totalsRowShown="0" headerRowDxfId="172" dataDxfId="170" headerRowBorderDxfId="171" tableBorderDxfId="169">
  <autoFilter ref="J6:J20" xr:uid="{00000000-0009-0000-0100-00000C000000}"/>
  <tableColumns count="1">
    <tableColumn id="1" xr3:uid="{00000000-0010-0000-0B00-000001000000}" name="Углубление" dataDxfId="168"/>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Циркуляция" displayName="Циркуляция" ref="L6:L22" totalsRowShown="0" headerRowDxfId="167" dataDxfId="165" headerRowBorderDxfId="166" tableBorderDxfId="164">
  <autoFilter ref="L6:L22" xr:uid="{00000000-0009-0000-0100-00000D000000}"/>
  <tableColumns count="1">
    <tableColumn id="1" xr3:uid="{00000000-0010-0000-0C00-000001000000}" name="Циркуляция" dataDxfId="163"/>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Контроль_замер" displayName="Контроль_замер" ref="N6:N20" totalsRowShown="0" headerRowDxfId="162" dataDxfId="160" headerRowBorderDxfId="161" tableBorderDxfId="159">
  <autoFilter ref="N6:N20" xr:uid="{00000000-0009-0000-0100-00000E000000}"/>
  <tableColumns count="1">
    <tableColumn id="1" xr3:uid="{00000000-0010-0000-0D00-000001000000}" name="Контроль_замер" dataDxfId="158"/>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Крепление" displayName="Крепление" ref="P6:P10" totalsRowShown="0" headerRowDxfId="157" dataDxfId="155" headerRowBorderDxfId="156" tableBorderDxfId="154">
  <autoFilter ref="P6:P10" xr:uid="{00000000-0009-0000-0100-00000F000000}"/>
  <tableColumns count="1">
    <tableColumn id="1" xr3:uid="{00000000-0010-0000-0E00-000001000000}" name="Крепление" dataDxfId="153"/>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ГИС" displayName="ГИС" ref="R6:R15" totalsRowShown="0" headerRowDxfId="152" dataDxfId="150" headerRowBorderDxfId="151" tableBorderDxfId="149">
  <autoFilter ref="R6:R15" xr:uid="{00000000-0009-0000-0100-000010000000}"/>
  <tableColumns count="1">
    <tableColumn id="1" xr3:uid="{00000000-0010-0000-0F00-000001000000}" name="ГИС" dataDxfId="148"/>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КЕРН" displayName="КЕРН" ref="T6:T9" totalsRowShown="0" headerRowDxfId="147" dataDxfId="145" headerRowBorderDxfId="146" tableBorderDxfId="144">
  <autoFilter ref="T6:T9" xr:uid="{00000000-0009-0000-0100-000011000000}"/>
  <tableColumns count="1">
    <tableColumn id="1" xr3:uid="{00000000-0010-0000-1000-000001000000}" name="Керн" dataDxfId="143"/>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Испытания" displayName="Испытания" ref="V6:V12" totalsRowShown="0" headerRowDxfId="142" dataDxfId="140" headerRowBorderDxfId="141" tableBorderDxfId="139">
  <autoFilter ref="V6:V12" xr:uid="{00000000-0009-0000-0100-000012000000}"/>
  <tableColumns count="1">
    <tableColumn id="1" xr3:uid="{00000000-0010-0000-1100-000001000000}" name="Испытания" dataDxfId="138"/>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Ловильные_работы" displayName="Ловильные_работы" ref="X6:X10" totalsRowShown="0" headerRowDxfId="137" dataDxfId="135" headerRowBorderDxfId="136" tableBorderDxfId="134">
  <autoFilter ref="X6:X10" xr:uid="{00000000-0009-0000-0100-000013000000}"/>
  <tableColumns count="1">
    <tableColumn id="1" xr3:uid="{00000000-0010-0000-1200-000001000000}" name="Ловильные_работы" dataDxfId="133"/>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ПР" displayName="ПР" ref="Z6:Z14" totalsRowShown="0" headerRowDxfId="132" dataDxfId="130" headerRowBorderDxfId="131" tableBorderDxfId="129">
  <autoFilter ref="Z6:Z14" xr:uid="{00000000-0009-0000-0100-000014000000}"/>
  <tableColumns count="1">
    <tableColumn id="1" xr3:uid="{00000000-0010-0000-1300-000001000000}" name="ПР" dataDxfId="128"/>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Вспом_работы" displayName="Вспом_работы" ref="AB6:AB20" totalsRowShown="0" headerRowDxfId="127" dataDxfId="125" headerRowBorderDxfId="126" tableBorderDxfId="124">
  <autoFilter ref="AB6:AB20" xr:uid="{00000000-0009-0000-0100-000015000000}"/>
  <tableColumns count="1">
    <tableColumn id="1" xr3:uid="{00000000-0010-0000-1400-000001000000}" name="Вспом_работы" dataDxfId="123"/>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Ремонт" displayName="Ремонт" ref="AD6:AD15" totalsRowShown="0" headerRowDxfId="122" dataDxfId="120" headerRowBorderDxfId="121" tableBorderDxfId="119">
  <autoFilter ref="AD6:AD15" xr:uid="{00000000-0009-0000-0100-000016000000}"/>
  <tableColumns count="1">
    <tableColumn id="1" xr3:uid="{00000000-0010-0000-1500-000001000000}" name="Ремонт" dataDxfId="118"/>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Технологический_инструмент" displayName="Технологический_инструмент" ref="H36:H59" totalsRowShown="0" headerRowDxfId="117" dataDxfId="116">
  <autoFilter ref="H36:H59" xr:uid="{00000000-0009-0000-0100-000017000000}"/>
  <tableColumns count="1">
    <tableColumn id="1" xr3:uid="{00000000-0010-0000-1600-000001000000}" name="Технологический_инструмент" dataDxfId="115"/>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Объекты_крепление" displayName="Объекты_крепление" ref="J36:J61" totalsRowShown="0" headerRowDxfId="114" dataDxfId="113">
  <autoFilter ref="J36:J61" xr:uid="{00000000-0009-0000-0100-000018000000}"/>
  <tableColumns count="1">
    <tableColumn id="1" xr3:uid="{00000000-0010-0000-1700-000001000000}" name="Объекты_крепление" dataDxfId="112"/>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Объекты_керн" displayName="Объекты_керн" ref="L36:L43" totalsRowShown="0" headerRowDxfId="111" dataDxfId="110">
  <autoFilter ref="L36:L43" xr:uid="{00000000-0009-0000-0100-000019000000}"/>
  <tableColumns count="1">
    <tableColumn id="1" xr3:uid="{00000000-0010-0000-1800-000001000000}" name="Объекты_керн" dataDxfId="109"/>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Объекты_ГИС" displayName="Объекты_ГИС" ref="N36:N44" totalsRowShown="0" headerRowDxfId="108" dataDxfId="107">
  <autoFilter ref="N36:N44" xr:uid="{00000000-0009-0000-0100-00001A000000}"/>
  <tableColumns count="1">
    <tableColumn id="1" xr3:uid="{00000000-0010-0000-1900-000001000000}" name="Объекты_ГИС" dataDxfId="106"/>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Объекты_промывка_СО" displayName="Объекты_промывка_СО" ref="P36:P48" totalsRowShown="0" headerRowDxfId="105" dataDxfId="104">
  <autoFilter ref="P36:P48" xr:uid="{00000000-0009-0000-0100-00001B000000}"/>
  <tableColumns count="1">
    <tableColumn id="1" xr3:uid="{00000000-0010-0000-1A00-000001000000}" name="Объекты_промывка_СО" dataDxfId="103"/>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Объекты_устье" displayName="Объекты_устье" ref="R36:R54" totalsRowShown="0" headerRowDxfId="102" dataDxfId="101">
  <autoFilter ref="R36:R54" xr:uid="{00000000-0009-0000-0100-00001C000000}"/>
  <tableColumns count="1">
    <tableColumn id="1" xr3:uid="{00000000-0010-0000-1B00-000001000000}" name="Объекты_устье" dataDxfId="100"/>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Оборудование" displayName="Оборудование" ref="T36:T69" totalsRowShown="0" headerRowDxfId="99" dataDxfId="98">
  <autoFilter ref="T36:T69" xr:uid="{00000000-0009-0000-0100-00001D000000}"/>
  <tableColumns count="1">
    <tableColumn id="1" xr3:uid="{00000000-0010-0000-1C00-000001000000}" name="Оборудование" dataDxfId="97"/>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D000000}" name="Энергетика" displayName="Энергетика" ref="V36:V43" totalsRowShown="0" headerRowDxfId="96" dataDxfId="95">
  <autoFilter ref="V36:V43" xr:uid="{00000000-0009-0000-0100-00001E000000}"/>
  <tableColumns count="1">
    <tableColumn id="1" xr3:uid="{00000000-0010-0000-1D00-000001000000}" name="Энергетика" dataDxfId="94"/>
  </tableColumns>
  <tableStyleInfo name="TableStyleMedium2"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E000000}" name="Испытания_освоение_заканчивание" displayName="Испытания_освоение_заканчивание" ref="X36:X44" totalsRowShown="0" headerRowDxfId="93" dataDxfId="92">
  <autoFilter ref="X36:X44" xr:uid="{00000000-0009-0000-0100-00001F000000}"/>
  <tableColumns count="1">
    <tableColumn id="1" xr3:uid="{00000000-0010-0000-1E00-000001000000}" name="Испытания_освоение_заканчивание" dataDxfId="91"/>
  </tableColumns>
  <tableStyleInfo name="TableStyleMedium2"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F000000}" name="Орг_логист_объекты" displayName="Орг_логист_объекты" ref="Z36:Z57" totalsRowShown="0" headerRowDxfId="90" dataDxfId="89">
  <autoFilter ref="Z36:Z57" xr:uid="{00000000-0009-0000-0100-000020000000}"/>
  <tableColumns count="1">
    <tableColumn id="1" xr3:uid="{00000000-0010-0000-1F00-000001000000}" name="Орг_логист_объекты" dataDxfId="88"/>
  </tableColumns>
  <tableStyleInfo name="TableStyleMedium2"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20000000}" name="Контекст_простоя" displayName="Контекст_простоя" ref="D78:D90" totalsRowShown="0" headerRowDxfId="87" dataDxfId="86">
  <autoFilter ref="D78:D90" xr:uid="{00000000-0009-0000-0100-000021000000}"/>
  <tableColumns count="1">
    <tableColumn id="1" xr3:uid="{00000000-0010-0000-2000-000001000000}" name="Контекст_простоя" dataDxfId="85"/>
  </tableColumns>
  <tableStyleInfo name="TableStyleMedium2"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1000000}" name="Технологические_осложнения" displayName="Технологические_осложнения" ref="F78:F99" totalsRowShown="0" headerRowDxfId="84" dataDxfId="83">
  <autoFilter ref="F78:F99" xr:uid="{00000000-0009-0000-0100-000022000000}"/>
  <tableColumns count="1">
    <tableColumn id="1" xr3:uid="{00000000-0010-0000-2100-000001000000}" name="Технологические_осложнения" dataDxfId="82"/>
  </tableColumns>
  <tableStyleInfo name="TableStyleMedium2"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2000000}" name="Инструмент_КНБК" displayName="Инструмент_КНБК" ref="H78:H98" totalsRowShown="0" headerRowDxfId="81" dataDxfId="80">
  <autoFilter ref="H78:H98" xr:uid="{00000000-0009-0000-0100-000023000000}"/>
  <tableColumns count="1">
    <tableColumn id="1" xr3:uid="{00000000-0010-0000-2200-000001000000}" name="Инструмент_КНБК" dataDxfId="79"/>
  </tableColumns>
  <tableStyleInfo name="TableStyleMedium2"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Нештатное_крепление" displayName="Нештатное_крепление" ref="J78:J93" totalsRowShown="0" headerRowDxfId="78" dataDxfId="77">
  <autoFilter ref="J78:J93" xr:uid="{00000000-0009-0000-0100-000024000000}"/>
  <tableColumns count="1">
    <tableColumn id="1" xr3:uid="{00000000-0010-0000-2300-000001000000}" name="Нештатное_крепление" dataDxfId="76"/>
  </tableColumns>
  <tableStyleInfo name="TableStyleMedium2"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Нештатные_ГИС" displayName="Нештатные_ГИС" ref="L78:L88" totalsRowShown="0" headerRowDxfId="75" dataDxfId="74">
  <autoFilter ref="L78:L88" xr:uid="{00000000-0009-0000-0100-000025000000}"/>
  <tableColumns count="1">
    <tableColumn id="1" xr3:uid="{00000000-0010-0000-2400-000001000000}" name="Нештатные_ГИС" dataDxfId="73"/>
  </tableColumns>
  <tableStyleInfo name="TableStyleMedium2"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5000000}" name="Инцидент_с_керном" displayName="Инцидент_с_керном" ref="N78:N85" totalsRowShown="0" headerRowDxfId="72" dataDxfId="71">
  <autoFilter ref="N78:N85" xr:uid="{00000000-0009-0000-0100-000026000000}"/>
  <tableColumns count="1">
    <tableColumn id="1" xr3:uid="{00000000-0010-0000-2500-000001000000}" name="Инцидент_с_керном" dataDxfId="70"/>
  </tableColumns>
  <tableStyleInfo name="TableStyleMedium2"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6000000}" name="Нештатные_испытания" displayName="Нештатные_испытания" ref="P78:P90" totalsRowShown="0" headerRowDxfId="69" dataDxfId="68">
  <autoFilter ref="P78:P90" xr:uid="{00000000-0009-0000-0100-000027000000}"/>
  <tableColumns count="1">
    <tableColumn id="1" xr3:uid="{00000000-0010-0000-2600-000001000000}" name="Нештатные_испытания" dataDxfId="67"/>
  </tableColumns>
  <tableStyleInfo name="TableStyleMedium2"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7000000}" name="Лов._работы" displayName="Лов._работы" ref="R78:R85" totalsRowShown="0" headerRowDxfId="66" dataDxfId="65">
  <autoFilter ref="R78:R85" xr:uid="{00000000-0009-0000-0100-000028000000}"/>
  <tableColumns count="1">
    <tableColumn id="1" xr3:uid="{00000000-0010-0000-2700-000001000000}" name="Лов._работы" dataDxfId="64"/>
  </tableColumns>
  <tableStyleInfo name="TableStyleMedium2"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8000000}" name="Орг_простой" displayName="Орг_простой" ref="T78:T94" totalsRowShown="0" headerRowDxfId="63" dataDxfId="62">
  <autoFilter ref="T78:T94" xr:uid="{00000000-0009-0000-0100-000029000000}"/>
  <tableColumns count="1">
    <tableColumn id="1" xr3:uid="{00000000-0010-0000-2800-000001000000}" name="Орг_простой" dataDxfId="61"/>
  </tableColumns>
  <tableStyleInfo name="TableStyleMedium2"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9000000}" name="Инфраструктура_БО" displayName="Инфраструктура_БО" ref="V78:V81" totalsRowShown="0" headerRowDxfId="60" dataDxfId="59">
  <autoFilter ref="V78:V81" xr:uid="{00000000-0009-0000-0100-00002A000000}"/>
  <tableColumns count="1">
    <tableColumn id="1" xr3:uid="{00000000-0010-0000-2900-000001000000}" name="Инфраструктура_БО" dataDxfId="58"/>
  </tableColumns>
  <tableStyleInfo name="TableStyleMedium2"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A000000}" name="Внешние_условия" displayName="Внешние_условия" ref="X78:X84" totalsRowShown="0" headerRowDxfId="57" dataDxfId="56">
  <autoFilter ref="X78:X84" xr:uid="{00000000-0009-0000-0100-00002B000000}"/>
  <tableColumns count="1">
    <tableColumn id="1" xr3:uid="{00000000-0010-0000-2A00-000001000000}" name="Внешние_условия" dataDxfId="55"/>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B000000}" name="Режим_выполнения" displayName="Режим_выполнения" ref="Z78:Z86" totalsRowShown="0" headerRowDxfId="54" dataDxfId="53">
  <autoFilter ref="Z78:Z86" xr:uid="{00000000-0009-0000-0100-00002C000000}"/>
  <tableColumns count="1">
    <tableColumn id="1" xr3:uid="{00000000-0010-0000-2B00-000001000000}" name="Режим_выполнения" dataDxfId="52"/>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C000000}" name="ОК" displayName="ОК" ref="B115:B129" totalsRowShown="0" headerRowDxfId="51" dataDxfId="50" tableBorderDxfId="49" headerRowCellStyle="Обычный 2 2" dataCellStyle="Обычный 2 2">
  <autoFilter ref="B115:B129" xr:uid="{00000000-0009-0000-0100-00002D000000}"/>
  <tableColumns count="1">
    <tableColumn id="1" xr3:uid="{00000000-0010-0000-2C00-000001000000}" name="ОК" dataDxfId="48" dataCellStyle="Обычный 2 2"/>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D000000}" name="Штатно" displayName="Штатно" ref="AB78:AB79" totalsRowShown="0" headerRowDxfId="47" dataDxfId="45" headerRowBorderDxfId="46" tableBorderDxfId="44" totalsRowBorderDxfId="43">
  <autoFilter ref="AB78:AB79" xr:uid="{00000000-0009-0000-0100-00002E000000}"/>
  <tableColumns count="1">
    <tableColumn id="1" xr3:uid="{00000000-0010-0000-2D00-000001000000}" name="Штатно" dataDxfId="42"/>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E000000}" name="Статус" displayName="Статус" ref="H115:H117" totalsRowShown="0" headerRowDxfId="41" dataDxfId="40">
  <autoFilter ref="H115:H117" xr:uid="{00000000-0009-0000-0100-00002F000000}"/>
  <tableColumns count="1">
    <tableColumn id="1" xr3:uid="{00000000-0010-0000-2E00-000001000000}" name="Статус работ" dataDxfId="39"/>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2F000000}" name="Отв_за_НПВ" displayName="Отв_за_НПВ" ref="D115:D135" totalsRowShown="0" headerRowDxfId="38" dataDxfId="37">
  <autoFilter ref="D115:D135" xr:uid="{00000000-0009-0000-0100-000030000000}"/>
  <tableColumns count="1">
    <tableColumn id="1" xr3:uid="{00000000-0010-0000-2F00-000001000000}" name="Ответственные" dataDxfId="36"/>
  </tableColumns>
  <tableStyleInfo name="TableStyleMedium2"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30000000}" name="Код_работ" displayName="Код_работ" ref="F115:F118" totalsRowShown="0" headerRowDxfId="35" dataDxfId="34">
  <autoFilter ref="F115:F118" xr:uid="{00000000-0009-0000-0100-000031000000}"/>
  <tableColumns count="1">
    <tableColumn id="1" xr3:uid="{00000000-0010-0000-3000-000001000000}" name="Выполняемые работы" dataDxfId="33"/>
  </tableColumns>
  <tableStyleInfo name="TableStyleMedium2"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31000000}" name="Вид_бурения" displayName="Вид_бурения" ref="J115:J118" totalsRowShown="0" headerRowDxfId="32" dataDxfId="31">
  <autoFilter ref="J115:J118" xr:uid="{00000000-0009-0000-0100-000032000000}"/>
  <tableColumns count="1">
    <tableColumn id="1" xr3:uid="{00000000-0010-0000-3100-000001000000}" name="Вид бурения" dataDxfId="30"/>
  </tableColumns>
  <tableStyleInfo name="TableStyleMedium2"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32000000}" name="Простой" displayName="Простой" ref="AF6:AF9" totalsRowShown="0" headerRowDxfId="29" dataDxfId="28">
  <autoFilter ref="AF6:AF9" xr:uid="{00000000-0009-0000-0100-000033000000}"/>
  <tableColumns count="1">
    <tableColumn id="1" xr3:uid="{00000000-0010-0000-3200-000001000000}" name="Простой" dataDxfId="27"/>
  </tableColumns>
  <tableStyleInfo name="TableStyleMedium2"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0000000-000C-0000-FFFF-FFFF33000000}" name="Внеплановое_ТО" displayName="Внеплановое_ТО" ref="AD78:AD82" totalsRowShown="0" headerRowDxfId="26" dataDxfId="25">
  <autoFilter ref="AD78:AD82" xr:uid="{00000000-0009-0000-0100-000034000000}"/>
  <tableColumns count="1">
    <tableColumn id="1" xr3:uid="{00000000-0010-0000-3300-000001000000}" name="Внеплановое_ТО" dataDxfId="24"/>
  </tableColumns>
  <tableStyleInfo name="TableStyleMedium2" showFirstColumn="0" showLastColumn="0" showRowStripes="1" showColumnStripes="0"/>
</table>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hyperlink" Target="mailto:kazanskoe.project@pobeditholding.com"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2.xml.rels><?xml version="1.0" encoding="UTF-8" standalone="yes"?>
<Relationships xmlns="http://schemas.openxmlformats.org/package/2006/relationships"><Relationship Id="rId13" Type="http://schemas.openxmlformats.org/officeDocument/2006/relationships/table" Target="../tables/table16.xml"/><Relationship Id="rId18" Type="http://schemas.openxmlformats.org/officeDocument/2006/relationships/table" Target="../tables/table21.xml"/><Relationship Id="rId26" Type="http://schemas.openxmlformats.org/officeDocument/2006/relationships/table" Target="../tables/table29.xml"/><Relationship Id="rId39" Type="http://schemas.openxmlformats.org/officeDocument/2006/relationships/table" Target="../tables/table42.xml"/><Relationship Id="rId21" Type="http://schemas.openxmlformats.org/officeDocument/2006/relationships/table" Target="../tables/table24.xml"/><Relationship Id="rId34" Type="http://schemas.openxmlformats.org/officeDocument/2006/relationships/table" Target="../tables/table37.xml"/><Relationship Id="rId42" Type="http://schemas.openxmlformats.org/officeDocument/2006/relationships/table" Target="../tables/table45.xml"/><Relationship Id="rId47" Type="http://schemas.openxmlformats.org/officeDocument/2006/relationships/table" Target="../tables/table50.xml"/><Relationship Id="rId7" Type="http://schemas.openxmlformats.org/officeDocument/2006/relationships/table" Target="../tables/table10.xml"/><Relationship Id="rId2" Type="http://schemas.openxmlformats.org/officeDocument/2006/relationships/table" Target="../tables/table5.xml"/><Relationship Id="rId16" Type="http://schemas.openxmlformats.org/officeDocument/2006/relationships/table" Target="../tables/table19.xml"/><Relationship Id="rId29" Type="http://schemas.openxmlformats.org/officeDocument/2006/relationships/table" Target="../tables/table32.xml"/><Relationship Id="rId11" Type="http://schemas.openxmlformats.org/officeDocument/2006/relationships/table" Target="../tables/table14.xml"/><Relationship Id="rId24" Type="http://schemas.openxmlformats.org/officeDocument/2006/relationships/table" Target="../tables/table27.xml"/><Relationship Id="rId32" Type="http://schemas.openxmlformats.org/officeDocument/2006/relationships/table" Target="../tables/table35.xml"/><Relationship Id="rId37" Type="http://schemas.openxmlformats.org/officeDocument/2006/relationships/table" Target="../tables/table40.xml"/><Relationship Id="rId40" Type="http://schemas.openxmlformats.org/officeDocument/2006/relationships/table" Target="../tables/table43.xml"/><Relationship Id="rId45" Type="http://schemas.openxmlformats.org/officeDocument/2006/relationships/table" Target="../tables/table48.xml"/><Relationship Id="rId5" Type="http://schemas.openxmlformats.org/officeDocument/2006/relationships/table" Target="../tables/table8.xml"/><Relationship Id="rId15" Type="http://schemas.openxmlformats.org/officeDocument/2006/relationships/table" Target="../tables/table18.xml"/><Relationship Id="rId23" Type="http://schemas.openxmlformats.org/officeDocument/2006/relationships/table" Target="../tables/table26.xml"/><Relationship Id="rId28" Type="http://schemas.openxmlformats.org/officeDocument/2006/relationships/table" Target="../tables/table31.xml"/><Relationship Id="rId36" Type="http://schemas.openxmlformats.org/officeDocument/2006/relationships/table" Target="../tables/table39.xml"/><Relationship Id="rId49" Type="http://schemas.openxmlformats.org/officeDocument/2006/relationships/table" Target="../tables/table52.xml"/><Relationship Id="rId10" Type="http://schemas.openxmlformats.org/officeDocument/2006/relationships/table" Target="../tables/table13.xml"/><Relationship Id="rId19" Type="http://schemas.openxmlformats.org/officeDocument/2006/relationships/table" Target="../tables/table22.xml"/><Relationship Id="rId31" Type="http://schemas.openxmlformats.org/officeDocument/2006/relationships/table" Target="../tables/table34.xml"/><Relationship Id="rId44" Type="http://schemas.openxmlformats.org/officeDocument/2006/relationships/table" Target="../tables/table47.xml"/><Relationship Id="rId4" Type="http://schemas.openxmlformats.org/officeDocument/2006/relationships/table" Target="../tables/table7.xml"/><Relationship Id="rId9" Type="http://schemas.openxmlformats.org/officeDocument/2006/relationships/table" Target="../tables/table12.xml"/><Relationship Id="rId14" Type="http://schemas.openxmlformats.org/officeDocument/2006/relationships/table" Target="../tables/table17.xml"/><Relationship Id="rId22" Type="http://schemas.openxmlformats.org/officeDocument/2006/relationships/table" Target="../tables/table25.xml"/><Relationship Id="rId27" Type="http://schemas.openxmlformats.org/officeDocument/2006/relationships/table" Target="../tables/table30.xml"/><Relationship Id="rId30" Type="http://schemas.openxmlformats.org/officeDocument/2006/relationships/table" Target="../tables/table33.xml"/><Relationship Id="rId35" Type="http://schemas.openxmlformats.org/officeDocument/2006/relationships/table" Target="../tables/table38.xml"/><Relationship Id="rId43" Type="http://schemas.openxmlformats.org/officeDocument/2006/relationships/table" Target="../tables/table46.xml"/><Relationship Id="rId48" Type="http://schemas.openxmlformats.org/officeDocument/2006/relationships/table" Target="../tables/table51.xml"/><Relationship Id="rId8" Type="http://schemas.openxmlformats.org/officeDocument/2006/relationships/table" Target="../tables/table11.xml"/><Relationship Id="rId3" Type="http://schemas.openxmlformats.org/officeDocument/2006/relationships/table" Target="../tables/table6.xml"/><Relationship Id="rId12" Type="http://schemas.openxmlformats.org/officeDocument/2006/relationships/table" Target="../tables/table15.xml"/><Relationship Id="rId17" Type="http://schemas.openxmlformats.org/officeDocument/2006/relationships/table" Target="../tables/table20.xml"/><Relationship Id="rId25" Type="http://schemas.openxmlformats.org/officeDocument/2006/relationships/table" Target="../tables/table28.xml"/><Relationship Id="rId33" Type="http://schemas.openxmlformats.org/officeDocument/2006/relationships/table" Target="../tables/table36.xml"/><Relationship Id="rId38" Type="http://schemas.openxmlformats.org/officeDocument/2006/relationships/table" Target="../tables/table41.xml"/><Relationship Id="rId46" Type="http://schemas.openxmlformats.org/officeDocument/2006/relationships/table" Target="../tables/table49.xml"/><Relationship Id="rId20" Type="http://schemas.openxmlformats.org/officeDocument/2006/relationships/table" Target="../tables/table23.xml"/><Relationship Id="rId41" Type="http://schemas.openxmlformats.org/officeDocument/2006/relationships/table" Target="../tables/table44.xml"/><Relationship Id="rId1" Type="http://schemas.openxmlformats.org/officeDocument/2006/relationships/table" Target="../tables/table4.xml"/><Relationship Id="rId6" Type="http://schemas.openxmlformats.org/officeDocument/2006/relationships/table" Target="../tables/table9.xml"/></Relationships>
</file>

<file path=xl/worksheets/_rels/sheet13.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9.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20.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0.xml"/></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1.xml"/></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2.xml"/></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3.xml"/></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14.xml"/></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ivotTable" Target="../pivotTables/pivotTable15.xml"/></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ivotTable" Target="../pivotTables/pivotTable16.xml"/></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ivotTable" Target="../pivotTables/pivotTable17.xml"/></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ivotTable" Target="../pivotTables/pivotTable18.xml"/></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ivotTable" Target="../pivotTables/pivotTable19.xml"/></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ivotTable" Target="../pivotTables/pivotTable20.xml"/></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ivotTable" Target="../pivotTables/pivotTable2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sheetPr>
  <dimension ref="L17:W139"/>
  <sheetViews>
    <sheetView topLeftCell="B60" zoomScale="75" workbookViewId="0">
      <selection activeCell="N99" sqref="N99:W138"/>
    </sheetView>
  </sheetViews>
  <sheetFormatPr defaultColWidth="10.69140625" defaultRowHeight="15.5"/>
  <cols>
    <col min="1" max="21" width="10.69140625" customWidth="1"/>
    <col min="22" max="22" width="216.3828125" bestFit="1" customWidth="1"/>
    <col min="23" max="23" width="56.53515625" bestFit="1" customWidth="1"/>
    <col min="24" max="24" width="10.69140625" customWidth="1"/>
  </cols>
  <sheetData>
    <row r="17" spans="12:23" ht="23" customHeight="1">
      <c r="L17" s="593" t="s">
        <v>473</v>
      </c>
    </row>
    <row r="18" spans="12:23">
      <c r="L18" s="594" t="s">
        <v>4</v>
      </c>
      <c r="M18" s="594" t="s">
        <v>10</v>
      </c>
      <c r="N18" s="594" t="s">
        <v>11</v>
      </c>
      <c r="O18" s="594" t="s">
        <v>12</v>
      </c>
      <c r="P18" s="594" t="s">
        <v>13</v>
      </c>
      <c r="Q18" s="594" t="s">
        <v>14</v>
      </c>
      <c r="R18" s="594" t="s">
        <v>15</v>
      </c>
      <c r="S18" s="594" t="s">
        <v>16</v>
      </c>
      <c r="T18" s="594" t="s">
        <v>17</v>
      </c>
      <c r="U18" s="594" t="s">
        <v>18</v>
      </c>
      <c r="V18" s="594" t="s">
        <v>474</v>
      </c>
      <c r="W18" s="594" t="s">
        <v>475</v>
      </c>
    </row>
    <row r="19" spans="12:23">
      <c r="L19" s="595">
        <v>851</v>
      </c>
      <c r="M19" s="595"/>
      <c r="N19" s="595" t="s">
        <v>57</v>
      </c>
      <c r="O19" s="595" t="s">
        <v>58</v>
      </c>
      <c r="P19" s="595"/>
      <c r="Q19" s="595" t="s">
        <v>59</v>
      </c>
      <c r="R19" s="595" t="s">
        <v>60</v>
      </c>
      <c r="S19" s="595" t="s">
        <v>61</v>
      </c>
      <c r="T19" s="595" t="s">
        <v>62</v>
      </c>
      <c r="U19" s="595"/>
      <c r="V19" s="595" t="s">
        <v>476</v>
      </c>
      <c r="W19" s="595">
        <v>3.5</v>
      </c>
    </row>
    <row r="20" spans="12:23">
      <c r="L20" s="595">
        <v>851</v>
      </c>
      <c r="M20" s="595"/>
      <c r="N20" s="595" t="s">
        <v>59</v>
      </c>
      <c r="O20" s="595" t="s">
        <v>58</v>
      </c>
      <c r="P20" s="595"/>
      <c r="Q20" s="595" t="s">
        <v>78</v>
      </c>
      <c r="R20" s="595" t="s">
        <v>136</v>
      </c>
      <c r="S20" s="595" t="s">
        <v>137</v>
      </c>
      <c r="T20" s="595" t="s">
        <v>138</v>
      </c>
      <c r="U20" s="595"/>
      <c r="V20" s="595" t="s">
        <v>477</v>
      </c>
      <c r="W20" s="595">
        <v>10</v>
      </c>
    </row>
    <row r="21" spans="12:23">
      <c r="L21" s="595">
        <v>851</v>
      </c>
      <c r="M21" s="595"/>
      <c r="N21" s="595" t="s">
        <v>59</v>
      </c>
      <c r="O21" s="595" t="s">
        <v>58</v>
      </c>
      <c r="P21" s="595"/>
      <c r="Q21" s="595" t="s">
        <v>111</v>
      </c>
      <c r="R21" s="595" t="s">
        <v>150</v>
      </c>
      <c r="S21" s="595" t="s">
        <v>86</v>
      </c>
      <c r="T21" s="595" t="s">
        <v>118</v>
      </c>
      <c r="U21" s="595"/>
      <c r="V21" s="595" t="s">
        <v>478</v>
      </c>
      <c r="W21" s="595">
        <v>0.77</v>
      </c>
    </row>
    <row r="22" spans="12:23">
      <c r="L22" s="595">
        <v>851</v>
      </c>
      <c r="M22" s="595"/>
      <c r="N22" s="595" t="s">
        <v>59</v>
      </c>
      <c r="O22" s="595" t="s">
        <v>58</v>
      </c>
      <c r="P22" s="595"/>
      <c r="Q22" s="595" t="s">
        <v>169</v>
      </c>
      <c r="R22" s="595" t="s">
        <v>175</v>
      </c>
      <c r="S22" s="595" t="s">
        <v>167</v>
      </c>
      <c r="T22" s="595" t="s">
        <v>4</v>
      </c>
      <c r="U22" s="595"/>
      <c r="V22" s="595" t="s">
        <v>479</v>
      </c>
      <c r="W22" s="595">
        <v>5</v>
      </c>
    </row>
    <row r="23" spans="12:23">
      <c r="L23" s="595">
        <v>851</v>
      </c>
      <c r="M23" s="595"/>
      <c r="N23" s="595" t="s">
        <v>59</v>
      </c>
      <c r="O23" s="595" t="s">
        <v>58</v>
      </c>
      <c r="P23" s="595"/>
      <c r="Q23" s="595" t="s">
        <v>169</v>
      </c>
      <c r="R23" s="595" t="s">
        <v>175</v>
      </c>
      <c r="S23" s="595" t="s">
        <v>167</v>
      </c>
      <c r="T23" s="595" t="s">
        <v>4</v>
      </c>
      <c r="U23" s="595"/>
      <c r="V23" s="595" t="s">
        <v>480</v>
      </c>
      <c r="W23" s="595">
        <v>8</v>
      </c>
    </row>
    <row r="24" spans="12:23">
      <c r="L24" s="595">
        <v>851</v>
      </c>
      <c r="M24" s="595"/>
      <c r="N24" s="595" t="s">
        <v>59</v>
      </c>
      <c r="O24" s="595" t="s">
        <v>58</v>
      </c>
      <c r="P24" s="595"/>
      <c r="Q24" s="595" t="s">
        <v>69</v>
      </c>
      <c r="R24" s="595" t="s">
        <v>70</v>
      </c>
      <c r="S24" s="595" t="s">
        <v>61</v>
      </c>
      <c r="T24" s="595" t="s">
        <v>62</v>
      </c>
      <c r="U24" s="595"/>
      <c r="V24" s="595" t="s">
        <v>481</v>
      </c>
      <c r="W24" s="595">
        <v>6</v>
      </c>
    </row>
    <row r="25" spans="12:23">
      <c r="L25" s="595">
        <v>851</v>
      </c>
      <c r="M25" s="595"/>
      <c r="N25" s="595" t="s">
        <v>59</v>
      </c>
      <c r="O25" s="595" t="s">
        <v>58</v>
      </c>
      <c r="P25" s="595"/>
      <c r="Q25" s="595" t="s">
        <v>69</v>
      </c>
      <c r="R25" s="595" t="s">
        <v>70</v>
      </c>
      <c r="S25" s="595" t="s">
        <v>61</v>
      </c>
      <c r="T25" s="595" t="s">
        <v>62</v>
      </c>
      <c r="U25" s="595"/>
      <c r="V25" s="595" t="s">
        <v>482</v>
      </c>
      <c r="W25" s="595">
        <v>2.1</v>
      </c>
    </row>
    <row r="26" spans="12:23">
      <c r="L26" s="595">
        <v>851</v>
      </c>
      <c r="M26" s="595"/>
      <c r="N26" s="595" t="s">
        <v>59</v>
      </c>
      <c r="O26" s="595" t="s">
        <v>58</v>
      </c>
      <c r="P26" s="595"/>
      <c r="Q26" s="595" t="s">
        <v>69</v>
      </c>
      <c r="R26" s="595" t="s">
        <v>108</v>
      </c>
      <c r="S26" s="595" t="s">
        <v>86</v>
      </c>
      <c r="T26" s="595" t="s">
        <v>118</v>
      </c>
      <c r="U26" s="595"/>
      <c r="V26" s="595" t="s">
        <v>231</v>
      </c>
      <c r="W26" s="595">
        <v>2.29</v>
      </c>
    </row>
    <row r="27" spans="12:23">
      <c r="L27" s="595">
        <v>851</v>
      </c>
      <c r="M27" s="595"/>
      <c r="N27" s="595" t="s">
        <v>51</v>
      </c>
      <c r="O27" s="595" t="s">
        <v>58</v>
      </c>
      <c r="P27" s="595"/>
      <c r="Q27" s="595" t="s">
        <v>69</v>
      </c>
      <c r="R27" s="595" t="s">
        <v>70</v>
      </c>
      <c r="S27" s="595" t="s">
        <v>86</v>
      </c>
      <c r="T27" s="595" t="s">
        <v>161</v>
      </c>
      <c r="U27" s="595"/>
      <c r="V27" s="595" t="s">
        <v>232</v>
      </c>
      <c r="W27" s="595">
        <v>1.35</v>
      </c>
    </row>
    <row r="28" spans="12:23">
      <c r="L28" s="595">
        <v>851</v>
      </c>
      <c r="M28" s="595"/>
      <c r="N28" s="595" t="s">
        <v>51</v>
      </c>
      <c r="O28" s="595" t="s">
        <v>58</v>
      </c>
      <c r="P28" s="595"/>
      <c r="Q28" s="595" t="s">
        <v>90</v>
      </c>
      <c r="R28" s="595" t="s">
        <v>106</v>
      </c>
      <c r="S28" s="595" t="s">
        <v>92</v>
      </c>
      <c r="T28" s="595" t="s">
        <v>184</v>
      </c>
      <c r="U28" s="595"/>
      <c r="V28" s="595" t="s">
        <v>233</v>
      </c>
      <c r="W28" s="595">
        <v>0.97</v>
      </c>
    </row>
    <row r="29" spans="12:23">
      <c r="L29" s="595">
        <v>851</v>
      </c>
      <c r="M29" s="595"/>
      <c r="N29" s="595" t="s">
        <v>51</v>
      </c>
      <c r="O29" s="595" t="s">
        <v>76</v>
      </c>
      <c r="P29" s="595"/>
      <c r="Q29" s="595" t="s">
        <v>191</v>
      </c>
      <c r="R29" s="595" t="s">
        <v>192</v>
      </c>
      <c r="S29" s="595" t="s">
        <v>80</v>
      </c>
      <c r="T29" s="595" t="s">
        <v>234</v>
      </c>
      <c r="U29" s="595"/>
      <c r="V29" s="595" t="s">
        <v>235</v>
      </c>
      <c r="W29" s="595">
        <v>4</v>
      </c>
    </row>
    <row r="30" spans="12:23">
      <c r="L30" s="595">
        <v>851</v>
      </c>
      <c r="M30" s="595"/>
      <c r="N30" s="595" t="s">
        <v>51</v>
      </c>
      <c r="O30" s="595" t="s">
        <v>58</v>
      </c>
      <c r="P30" s="595"/>
      <c r="Q30" s="595" t="s">
        <v>111</v>
      </c>
      <c r="R30" s="595" t="s">
        <v>150</v>
      </c>
      <c r="S30" s="595" t="s">
        <v>86</v>
      </c>
      <c r="T30" s="595" t="s">
        <v>161</v>
      </c>
      <c r="U30" s="595"/>
      <c r="V30" s="595" t="s">
        <v>483</v>
      </c>
      <c r="W30" s="595">
        <v>6</v>
      </c>
    </row>
    <row r="31" spans="12:23">
      <c r="L31" s="595">
        <v>851</v>
      </c>
      <c r="M31" s="595"/>
      <c r="N31" s="595" t="s">
        <v>51</v>
      </c>
      <c r="O31" s="595" t="s">
        <v>58</v>
      </c>
      <c r="P31" s="595"/>
      <c r="Q31" s="595" t="s">
        <v>111</v>
      </c>
      <c r="R31" s="595" t="s">
        <v>150</v>
      </c>
      <c r="S31" s="595" t="s">
        <v>86</v>
      </c>
      <c r="T31" s="595" t="s">
        <v>144</v>
      </c>
      <c r="U31" s="595"/>
      <c r="V31" s="595" t="s">
        <v>484</v>
      </c>
      <c r="W31" s="595">
        <v>4.01</v>
      </c>
    </row>
    <row r="32" spans="12:23">
      <c r="L32" s="595">
        <v>851</v>
      </c>
      <c r="M32" s="595"/>
      <c r="N32" s="595" t="s">
        <v>51</v>
      </c>
      <c r="O32" s="595" t="s">
        <v>58</v>
      </c>
      <c r="P32" s="595"/>
      <c r="Q32" s="595" t="s">
        <v>169</v>
      </c>
      <c r="R32" s="595" t="s">
        <v>175</v>
      </c>
      <c r="S32" s="595" t="s">
        <v>167</v>
      </c>
      <c r="T32" s="595" t="s">
        <v>4</v>
      </c>
      <c r="U32" s="595"/>
      <c r="V32" s="595" t="s">
        <v>485</v>
      </c>
      <c r="W32" s="595">
        <v>0.77</v>
      </c>
    </row>
    <row r="33" spans="12:23">
      <c r="L33" s="595">
        <v>851</v>
      </c>
      <c r="M33" s="595"/>
      <c r="N33" s="595" t="s">
        <v>51</v>
      </c>
      <c r="O33" s="595" t="s">
        <v>58</v>
      </c>
      <c r="P33" s="595"/>
      <c r="Q33" s="595" t="s">
        <v>90</v>
      </c>
      <c r="R33" s="595" t="s">
        <v>91</v>
      </c>
      <c r="S33" s="595" t="s">
        <v>92</v>
      </c>
      <c r="T33" s="595" t="s">
        <v>93</v>
      </c>
      <c r="U33" s="595">
        <v>1</v>
      </c>
      <c r="V33" s="595" t="s">
        <v>239</v>
      </c>
      <c r="W33" s="595">
        <v>4</v>
      </c>
    </row>
    <row r="34" spans="12:23">
      <c r="L34" s="595">
        <v>851</v>
      </c>
      <c r="M34" s="595"/>
      <c r="N34" s="595" t="s">
        <v>51</v>
      </c>
      <c r="O34" s="595" t="s">
        <v>58</v>
      </c>
      <c r="P34" s="595"/>
      <c r="Q34" s="595" t="s">
        <v>90</v>
      </c>
      <c r="R34" s="595" t="s">
        <v>91</v>
      </c>
      <c r="S34" s="595" t="s">
        <v>92</v>
      </c>
      <c r="T34" s="595" t="s">
        <v>93</v>
      </c>
      <c r="U34" s="595">
        <v>1</v>
      </c>
      <c r="V34" s="595" t="s">
        <v>486</v>
      </c>
      <c r="W34" s="595">
        <v>8</v>
      </c>
    </row>
    <row r="35" spans="12:23">
      <c r="L35" s="595">
        <v>851</v>
      </c>
      <c r="M35" s="595"/>
      <c r="N35" s="595" t="s">
        <v>51</v>
      </c>
      <c r="O35" s="595" t="s">
        <v>58</v>
      </c>
      <c r="P35" s="595"/>
      <c r="Q35" s="595" t="s">
        <v>90</v>
      </c>
      <c r="R35" s="595" t="s">
        <v>91</v>
      </c>
      <c r="S35" s="595" t="s">
        <v>92</v>
      </c>
      <c r="T35" s="595" t="s">
        <v>93</v>
      </c>
      <c r="U35" s="595">
        <v>1</v>
      </c>
      <c r="V35" s="595" t="s">
        <v>487</v>
      </c>
      <c r="W35" s="595">
        <v>7</v>
      </c>
    </row>
    <row r="36" spans="12:23">
      <c r="L36" s="595">
        <v>851</v>
      </c>
      <c r="M36" s="595"/>
      <c r="N36" s="595" t="s">
        <v>51</v>
      </c>
      <c r="O36" s="595" t="s">
        <v>58</v>
      </c>
      <c r="P36" s="595"/>
      <c r="Q36" s="595" t="s">
        <v>90</v>
      </c>
      <c r="R36" s="595" t="s">
        <v>91</v>
      </c>
      <c r="S36" s="595" t="s">
        <v>92</v>
      </c>
      <c r="T36" s="595" t="s">
        <v>93</v>
      </c>
      <c r="U36" s="595">
        <v>1</v>
      </c>
      <c r="V36" s="595" t="s">
        <v>488</v>
      </c>
      <c r="W36" s="595">
        <v>4.4400000000000004</v>
      </c>
    </row>
    <row r="37" spans="12:23">
      <c r="L37" s="595">
        <v>851</v>
      </c>
      <c r="M37" s="595"/>
      <c r="N37" s="595" t="s">
        <v>51</v>
      </c>
      <c r="O37" s="595" t="s">
        <v>58</v>
      </c>
      <c r="P37" s="595"/>
      <c r="Q37" s="595" t="s">
        <v>95</v>
      </c>
      <c r="R37" s="595" t="s">
        <v>96</v>
      </c>
      <c r="S37" s="595" t="s">
        <v>92</v>
      </c>
      <c r="T37" s="595" t="s">
        <v>93</v>
      </c>
      <c r="U37" s="595"/>
      <c r="V37" s="595" t="s">
        <v>244</v>
      </c>
      <c r="W37" s="595">
        <v>2.5</v>
      </c>
    </row>
    <row r="38" spans="12:23">
      <c r="L38" s="595">
        <v>851</v>
      </c>
      <c r="M38" s="595"/>
      <c r="N38" s="595" t="s">
        <v>51</v>
      </c>
      <c r="O38" s="595" t="s">
        <v>58</v>
      </c>
      <c r="P38" s="595"/>
      <c r="Q38" s="595" t="s">
        <v>78</v>
      </c>
      <c r="R38" s="595" t="s">
        <v>102</v>
      </c>
      <c r="S38" s="595" t="s">
        <v>92</v>
      </c>
      <c r="T38" s="595" t="s">
        <v>93</v>
      </c>
      <c r="U38" s="595"/>
      <c r="V38" s="595" t="s">
        <v>245</v>
      </c>
      <c r="W38" s="595">
        <v>0.9</v>
      </c>
    </row>
    <row r="39" spans="12:23">
      <c r="L39" s="595">
        <v>851</v>
      </c>
      <c r="M39" s="595"/>
      <c r="N39" s="595" t="s">
        <v>51</v>
      </c>
      <c r="O39" s="595" t="s">
        <v>58</v>
      </c>
      <c r="P39" s="595"/>
      <c r="Q39" s="595" t="s">
        <v>111</v>
      </c>
      <c r="R39" s="595" t="s">
        <v>150</v>
      </c>
      <c r="S39" s="595" t="s">
        <v>92</v>
      </c>
      <c r="T39" s="595" t="s">
        <v>93</v>
      </c>
      <c r="U39" s="595"/>
      <c r="V39" s="595" t="s">
        <v>489</v>
      </c>
      <c r="W39" s="595">
        <v>6</v>
      </c>
    </row>
    <row r="40" spans="12:23">
      <c r="L40" s="595">
        <v>851</v>
      </c>
      <c r="M40" s="595"/>
      <c r="N40" s="595" t="s">
        <v>51</v>
      </c>
      <c r="O40" s="595" t="s">
        <v>58</v>
      </c>
      <c r="P40" s="595"/>
      <c r="Q40" s="595" t="s">
        <v>90</v>
      </c>
      <c r="R40" s="595" t="s">
        <v>106</v>
      </c>
      <c r="S40" s="595" t="s">
        <v>92</v>
      </c>
      <c r="T40" s="595" t="s">
        <v>93</v>
      </c>
      <c r="U40" s="595">
        <v>1</v>
      </c>
      <c r="V40" s="595" t="s">
        <v>248</v>
      </c>
      <c r="W40" s="595">
        <v>14.5</v>
      </c>
    </row>
    <row r="41" spans="12:23">
      <c r="L41" s="595">
        <v>851</v>
      </c>
      <c r="M41" s="595"/>
      <c r="N41" s="595" t="s">
        <v>51</v>
      </c>
      <c r="O41" s="595" t="s">
        <v>58</v>
      </c>
      <c r="P41" s="595"/>
      <c r="Q41" s="595" t="s">
        <v>90</v>
      </c>
      <c r="R41" s="595" t="s">
        <v>106</v>
      </c>
      <c r="S41" s="595" t="s">
        <v>92</v>
      </c>
      <c r="T41" s="595" t="s">
        <v>93</v>
      </c>
      <c r="U41" s="595">
        <v>1</v>
      </c>
      <c r="V41" s="595" t="s">
        <v>249</v>
      </c>
      <c r="W41" s="595">
        <v>8</v>
      </c>
    </row>
    <row r="42" spans="12:23">
      <c r="L42" s="595">
        <v>851</v>
      </c>
      <c r="M42" s="595"/>
      <c r="N42" s="595" t="s">
        <v>51</v>
      </c>
      <c r="O42" s="595" t="s">
        <v>58</v>
      </c>
      <c r="P42" s="595"/>
      <c r="Q42" s="595" t="s">
        <v>90</v>
      </c>
      <c r="R42" s="595" t="s">
        <v>106</v>
      </c>
      <c r="S42" s="595" t="s">
        <v>92</v>
      </c>
      <c r="T42" s="595" t="s">
        <v>93</v>
      </c>
      <c r="U42" s="595">
        <v>1</v>
      </c>
      <c r="V42" s="595" t="s">
        <v>251</v>
      </c>
      <c r="W42" s="595">
        <v>4</v>
      </c>
    </row>
    <row r="43" spans="12:23">
      <c r="L43" s="595">
        <v>851</v>
      </c>
      <c r="M43" s="595"/>
      <c r="N43" s="595" t="s">
        <v>51</v>
      </c>
      <c r="O43" s="595" t="s">
        <v>58</v>
      </c>
      <c r="P43" s="595"/>
      <c r="Q43" s="595" t="s">
        <v>90</v>
      </c>
      <c r="R43" s="595" t="s">
        <v>106</v>
      </c>
      <c r="S43" s="595" t="s">
        <v>92</v>
      </c>
      <c r="T43" s="595" t="s">
        <v>93</v>
      </c>
      <c r="U43" s="595">
        <v>1</v>
      </c>
      <c r="V43" s="595" t="s">
        <v>252</v>
      </c>
      <c r="W43" s="595">
        <v>0.5</v>
      </c>
    </row>
    <row r="44" spans="12:23">
      <c r="L44" s="595">
        <v>851</v>
      </c>
      <c r="M44" s="595"/>
      <c r="N44" s="595" t="s">
        <v>51</v>
      </c>
      <c r="O44" s="595" t="s">
        <v>58</v>
      </c>
      <c r="P44" s="595"/>
      <c r="Q44" s="595" t="s">
        <v>142</v>
      </c>
      <c r="R44" s="595" t="s">
        <v>142</v>
      </c>
      <c r="S44" s="595" t="s">
        <v>61</v>
      </c>
      <c r="T44" s="595" t="s">
        <v>62</v>
      </c>
      <c r="U44" s="595"/>
      <c r="V44" s="595" t="s">
        <v>253</v>
      </c>
      <c r="W44" s="595">
        <v>0</v>
      </c>
    </row>
    <row r="45" spans="12:23">
      <c r="L45" s="595">
        <v>851</v>
      </c>
      <c r="M45" s="595"/>
      <c r="N45" s="595" t="s">
        <v>116</v>
      </c>
      <c r="O45" s="595" t="s">
        <v>58</v>
      </c>
      <c r="P45" s="595"/>
      <c r="Q45" s="595" t="s">
        <v>69</v>
      </c>
      <c r="R45" s="595" t="s">
        <v>117</v>
      </c>
      <c r="S45" s="595" t="s">
        <v>86</v>
      </c>
      <c r="T45" s="595" t="s">
        <v>118</v>
      </c>
      <c r="U45" s="595"/>
      <c r="V45" s="595" t="s">
        <v>490</v>
      </c>
      <c r="W45" s="595">
        <v>4.5</v>
      </c>
    </row>
    <row r="46" spans="12:23">
      <c r="L46" s="595">
        <v>851</v>
      </c>
      <c r="M46" s="595"/>
      <c r="N46" s="595" t="s">
        <v>57</v>
      </c>
      <c r="O46" s="595" t="s">
        <v>58</v>
      </c>
      <c r="P46" s="595"/>
      <c r="Q46" s="595" t="s">
        <v>69</v>
      </c>
      <c r="R46" s="595" t="s">
        <v>108</v>
      </c>
      <c r="S46" s="595" t="s">
        <v>61</v>
      </c>
      <c r="T46" s="595" t="s">
        <v>62</v>
      </c>
      <c r="U46" s="595"/>
      <c r="V46" s="595" t="s">
        <v>256</v>
      </c>
      <c r="W46" s="595">
        <v>1.5</v>
      </c>
    </row>
    <row r="47" spans="12:23">
      <c r="L47" s="595">
        <v>851</v>
      </c>
      <c r="M47" s="595"/>
      <c r="N47" s="595" t="s">
        <v>116</v>
      </c>
      <c r="O47" s="595" t="s">
        <v>58</v>
      </c>
      <c r="P47" s="595"/>
      <c r="Q47" s="595" t="s">
        <v>111</v>
      </c>
      <c r="R47" s="595" t="s">
        <v>150</v>
      </c>
      <c r="S47" s="595" t="s">
        <v>86</v>
      </c>
      <c r="T47" s="595" t="s">
        <v>118</v>
      </c>
      <c r="U47" s="595"/>
      <c r="V47" s="595" t="s">
        <v>257</v>
      </c>
      <c r="W47" s="595">
        <v>0.9</v>
      </c>
    </row>
    <row r="48" spans="12:23">
      <c r="L48" s="595">
        <v>851</v>
      </c>
      <c r="M48" s="595"/>
      <c r="N48" s="595" t="s">
        <v>116</v>
      </c>
      <c r="O48" s="595" t="s">
        <v>58</v>
      </c>
      <c r="P48" s="595"/>
      <c r="Q48" s="595" t="s">
        <v>120</v>
      </c>
      <c r="R48" s="595" t="s">
        <v>121</v>
      </c>
      <c r="S48" s="595" t="s">
        <v>92</v>
      </c>
      <c r="T48" s="595" t="s">
        <v>93</v>
      </c>
      <c r="U48" s="595"/>
      <c r="V48" s="595" t="s">
        <v>491</v>
      </c>
      <c r="W48" s="595">
        <v>0.5</v>
      </c>
    </row>
    <row r="49" spans="12:23">
      <c r="L49" s="595">
        <v>851</v>
      </c>
      <c r="M49" s="595"/>
      <c r="N49" s="595" t="s">
        <v>57</v>
      </c>
      <c r="O49" s="595" t="s">
        <v>58</v>
      </c>
      <c r="P49" s="595"/>
      <c r="Q49" s="595" t="s">
        <v>69</v>
      </c>
      <c r="R49" s="595" t="s">
        <v>108</v>
      </c>
      <c r="S49" s="595" t="s">
        <v>61</v>
      </c>
      <c r="T49" s="595" t="s">
        <v>62</v>
      </c>
      <c r="U49" s="595"/>
      <c r="V49" s="595" t="s">
        <v>492</v>
      </c>
      <c r="W49" s="595">
        <v>3</v>
      </c>
    </row>
    <row r="50" spans="12:23">
      <c r="L50" s="595">
        <v>851</v>
      </c>
      <c r="M50" s="595"/>
      <c r="N50" s="595" t="s">
        <v>57</v>
      </c>
      <c r="O50" s="595" t="s">
        <v>58</v>
      </c>
      <c r="P50" s="595"/>
      <c r="Q50" s="595" t="s">
        <v>69</v>
      </c>
      <c r="R50" s="595" t="s">
        <v>108</v>
      </c>
      <c r="S50" s="595" t="s">
        <v>61</v>
      </c>
      <c r="T50" s="595" t="s">
        <v>71</v>
      </c>
      <c r="U50" s="595"/>
      <c r="V50" s="595" t="s">
        <v>260</v>
      </c>
      <c r="W50" s="595">
        <v>2</v>
      </c>
    </row>
    <row r="51" spans="12:23">
      <c r="L51" s="595">
        <v>851</v>
      </c>
      <c r="M51" s="595"/>
      <c r="N51" s="595" t="s">
        <v>57</v>
      </c>
      <c r="O51" s="595" t="s">
        <v>58</v>
      </c>
      <c r="P51" s="595"/>
      <c r="Q51" s="595" t="s">
        <v>69</v>
      </c>
      <c r="R51" s="595" t="s">
        <v>108</v>
      </c>
      <c r="S51" s="595" t="s">
        <v>61</v>
      </c>
      <c r="T51" s="595" t="s">
        <v>71</v>
      </c>
      <c r="U51" s="595"/>
      <c r="V51" s="595" t="s">
        <v>261</v>
      </c>
      <c r="W51" s="595">
        <v>0.84</v>
      </c>
    </row>
    <row r="52" spans="12:23" ht="20" customHeight="1">
      <c r="L52" s="596"/>
    </row>
    <row r="53" spans="12:23" ht="20" customHeight="1">
      <c r="L53" s="597"/>
    </row>
    <row r="54" spans="12:23" ht="20" customHeight="1">
      <c r="L54" s="597"/>
    </row>
    <row r="55" spans="12:23" ht="20" customHeight="1">
      <c r="L55" s="597"/>
    </row>
    <row r="56" spans="12:23" ht="20" customHeight="1">
      <c r="L56" s="597"/>
    </row>
    <row r="63" spans="12:23" ht="23" customHeight="1">
      <c r="L63" s="588" t="s">
        <v>493</v>
      </c>
    </row>
    <row r="64" spans="12:23">
      <c r="L64" s="589" t="s">
        <v>10</v>
      </c>
      <c r="M64" s="589" t="s">
        <v>11</v>
      </c>
      <c r="N64" s="589" t="s">
        <v>12</v>
      </c>
      <c r="O64" s="589" t="s">
        <v>13</v>
      </c>
      <c r="P64" s="589" t="s">
        <v>14</v>
      </c>
      <c r="Q64" s="589" t="s">
        <v>15</v>
      </c>
      <c r="R64" s="589" t="s">
        <v>16</v>
      </c>
      <c r="S64" s="589" t="s">
        <v>17</v>
      </c>
      <c r="T64" s="589" t="s">
        <v>18</v>
      </c>
      <c r="U64" s="589" t="s">
        <v>494</v>
      </c>
      <c r="V64" s="589" t="s">
        <v>20</v>
      </c>
    </row>
    <row r="65" spans="12:22">
      <c r="L65" s="590"/>
      <c r="M65" s="590" t="s">
        <v>57</v>
      </c>
      <c r="N65" s="590" t="s">
        <v>58</v>
      </c>
      <c r="O65" s="590"/>
      <c r="P65" s="590" t="s">
        <v>59</v>
      </c>
      <c r="Q65" s="590" t="s">
        <v>60</v>
      </c>
      <c r="R65" s="590" t="s">
        <v>61</v>
      </c>
      <c r="S65" s="590" t="s">
        <v>62</v>
      </c>
      <c r="T65" s="590"/>
      <c r="U65" s="590" t="s">
        <v>495</v>
      </c>
      <c r="V65" s="590">
        <v>0.87</v>
      </c>
    </row>
    <row r="66" spans="12:22">
      <c r="L66" s="590"/>
      <c r="M66" s="590" t="s">
        <v>57</v>
      </c>
      <c r="N66" s="590" t="s">
        <v>58</v>
      </c>
      <c r="O66" s="590"/>
      <c r="P66" s="590" t="s">
        <v>69</v>
      </c>
      <c r="Q66" s="590" t="s">
        <v>70</v>
      </c>
      <c r="R66" s="590" t="s">
        <v>61</v>
      </c>
      <c r="S66" s="590" t="s">
        <v>71</v>
      </c>
      <c r="T66" s="590"/>
      <c r="U66" s="590" t="s">
        <v>496</v>
      </c>
      <c r="V66" s="590">
        <v>2.92</v>
      </c>
    </row>
    <row r="67" spans="12:22">
      <c r="L67" s="590"/>
      <c r="M67" s="590" t="s">
        <v>59</v>
      </c>
      <c r="N67" s="590" t="s">
        <v>58</v>
      </c>
      <c r="O67" s="590"/>
      <c r="P67" s="590" t="s">
        <v>78</v>
      </c>
      <c r="Q67" s="590" t="s">
        <v>136</v>
      </c>
      <c r="R67" s="590" t="s">
        <v>137</v>
      </c>
      <c r="S67" s="590" t="s">
        <v>138</v>
      </c>
      <c r="T67" s="590"/>
      <c r="U67" s="590" t="s">
        <v>497</v>
      </c>
      <c r="V67" s="590">
        <v>10.220000000000001</v>
      </c>
    </row>
    <row r="68" spans="12:22">
      <c r="L68" s="590"/>
      <c r="M68" s="590" t="s">
        <v>59</v>
      </c>
      <c r="N68" s="590" t="s">
        <v>58</v>
      </c>
      <c r="O68" s="590"/>
      <c r="P68" s="590" t="s">
        <v>111</v>
      </c>
      <c r="Q68" s="590" t="s">
        <v>150</v>
      </c>
      <c r="R68" s="590" t="s">
        <v>86</v>
      </c>
      <c r="S68" s="590" t="s">
        <v>161</v>
      </c>
      <c r="T68" s="590"/>
      <c r="U68" s="590" t="s">
        <v>498</v>
      </c>
      <c r="V68" s="590">
        <v>0.36</v>
      </c>
    </row>
    <row r="69" spans="12:22">
      <c r="L69" s="590"/>
      <c r="M69" s="590" t="s">
        <v>59</v>
      </c>
      <c r="N69" s="590" t="s">
        <v>58</v>
      </c>
      <c r="O69" s="590"/>
      <c r="P69" s="590" t="s">
        <v>111</v>
      </c>
      <c r="Q69" s="590" t="s">
        <v>150</v>
      </c>
      <c r="R69" s="590" t="s">
        <v>86</v>
      </c>
      <c r="S69" s="590" t="s">
        <v>118</v>
      </c>
      <c r="T69" s="590"/>
      <c r="U69" s="590" t="s">
        <v>499</v>
      </c>
      <c r="V69" s="590">
        <v>0.71</v>
      </c>
    </row>
    <row r="70" spans="12:22">
      <c r="L70" s="590"/>
      <c r="M70" s="590" t="s">
        <v>59</v>
      </c>
      <c r="N70" s="590" t="s">
        <v>58</v>
      </c>
      <c r="O70" s="590"/>
      <c r="P70" s="590" t="s">
        <v>169</v>
      </c>
      <c r="Q70" s="590" t="s">
        <v>175</v>
      </c>
      <c r="R70" s="590" t="s">
        <v>167</v>
      </c>
      <c r="S70" s="590" t="s">
        <v>4</v>
      </c>
      <c r="T70" s="590"/>
      <c r="U70" s="590" t="s">
        <v>500</v>
      </c>
      <c r="V70" s="590">
        <v>8.5500000000000007</v>
      </c>
    </row>
    <row r="71" spans="12:22">
      <c r="L71" s="590"/>
      <c r="M71" s="590" t="s">
        <v>59</v>
      </c>
      <c r="N71" s="590" t="s">
        <v>58</v>
      </c>
      <c r="O71" s="590"/>
      <c r="P71" s="590" t="s">
        <v>69</v>
      </c>
      <c r="Q71" s="590" t="s">
        <v>70</v>
      </c>
      <c r="R71" s="590" t="s">
        <v>61</v>
      </c>
      <c r="S71" s="590" t="s">
        <v>62</v>
      </c>
      <c r="T71" s="590"/>
      <c r="U71" s="590" t="s">
        <v>501</v>
      </c>
      <c r="V71" s="590">
        <v>8.11</v>
      </c>
    </row>
    <row r="72" spans="12:22">
      <c r="L72" s="590"/>
      <c r="M72" s="590" t="s">
        <v>59</v>
      </c>
      <c r="N72" s="590" t="s">
        <v>58</v>
      </c>
      <c r="O72" s="590"/>
      <c r="P72" s="590" t="s">
        <v>169</v>
      </c>
      <c r="Q72" s="590" t="s">
        <v>188</v>
      </c>
      <c r="R72" s="590" t="s">
        <v>167</v>
      </c>
      <c r="S72" s="590" t="s">
        <v>4</v>
      </c>
      <c r="T72" s="590"/>
      <c r="U72" s="590" t="s">
        <v>502</v>
      </c>
      <c r="V72" s="590">
        <v>2.2000000000000002</v>
      </c>
    </row>
    <row r="73" spans="12:22">
      <c r="L73" s="590"/>
      <c r="M73" s="590" t="s">
        <v>51</v>
      </c>
      <c r="N73" s="590" t="s">
        <v>58</v>
      </c>
      <c r="O73" s="590"/>
      <c r="P73" s="590" t="s">
        <v>69</v>
      </c>
      <c r="Q73" s="590" t="s">
        <v>108</v>
      </c>
      <c r="R73" s="590" t="s">
        <v>86</v>
      </c>
      <c r="S73" s="590" t="s">
        <v>118</v>
      </c>
      <c r="T73" s="590"/>
      <c r="U73" s="590" t="s">
        <v>503</v>
      </c>
      <c r="V73" s="590">
        <v>2.29</v>
      </c>
    </row>
    <row r="74" spans="12:22">
      <c r="L74" s="590"/>
      <c r="M74" s="590" t="s">
        <v>51</v>
      </c>
      <c r="N74" s="590" t="s">
        <v>58</v>
      </c>
      <c r="O74" s="590"/>
      <c r="P74" s="590" t="s">
        <v>95</v>
      </c>
      <c r="Q74" s="590" t="s">
        <v>504</v>
      </c>
      <c r="R74" s="590" t="s">
        <v>92</v>
      </c>
      <c r="S74" s="590" t="s">
        <v>93</v>
      </c>
      <c r="T74" s="590"/>
      <c r="U74" s="590" t="s">
        <v>505</v>
      </c>
      <c r="V74" s="590">
        <v>2</v>
      </c>
    </row>
    <row r="75" spans="12:22">
      <c r="L75" s="590"/>
      <c r="M75" s="590" t="s">
        <v>51</v>
      </c>
      <c r="N75" s="590" t="s">
        <v>58</v>
      </c>
      <c r="O75" s="590"/>
      <c r="P75" s="590" t="s">
        <v>69</v>
      </c>
      <c r="Q75" s="590" t="s">
        <v>70</v>
      </c>
      <c r="R75" s="590" t="s">
        <v>86</v>
      </c>
      <c r="S75" s="590" t="s">
        <v>161</v>
      </c>
      <c r="T75" s="590"/>
      <c r="U75" s="590" t="s">
        <v>506</v>
      </c>
      <c r="V75" s="590">
        <v>1.35</v>
      </c>
    </row>
    <row r="76" spans="12:22">
      <c r="L76" s="590"/>
      <c r="M76" s="590" t="s">
        <v>51</v>
      </c>
      <c r="N76" s="590" t="s">
        <v>58</v>
      </c>
      <c r="O76" s="590"/>
      <c r="P76" s="590" t="s">
        <v>90</v>
      </c>
      <c r="Q76" s="590" t="s">
        <v>106</v>
      </c>
      <c r="R76" s="590" t="s">
        <v>92</v>
      </c>
      <c r="S76" s="590" t="s">
        <v>184</v>
      </c>
      <c r="T76" s="590"/>
      <c r="U76" s="590" t="s">
        <v>507</v>
      </c>
      <c r="V76" s="590">
        <v>0.97</v>
      </c>
    </row>
    <row r="77" spans="12:22">
      <c r="L77" s="590"/>
      <c r="M77" s="590" t="s">
        <v>51</v>
      </c>
      <c r="N77" s="590" t="s">
        <v>58</v>
      </c>
      <c r="O77" s="590"/>
      <c r="P77" s="590" t="s">
        <v>111</v>
      </c>
      <c r="Q77" s="590" t="s">
        <v>150</v>
      </c>
      <c r="R77" s="590" t="s">
        <v>86</v>
      </c>
      <c r="S77" s="590" t="s">
        <v>144</v>
      </c>
      <c r="T77" s="590"/>
      <c r="U77" s="590" t="s">
        <v>508</v>
      </c>
      <c r="V77" s="590">
        <v>0.84</v>
      </c>
    </row>
    <row r="78" spans="12:22">
      <c r="L78" s="590"/>
      <c r="M78" s="590" t="s">
        <v>51</v>
      </c>
      <c r="N78" s="590" t="s">
        <v>58</v>
      </c>
      <c r="O78" s="590"/>
      <c r="P78" s="590" t="s">
        <v>142</v>
      </c>
      <c r="Q78" s="590" t="s">
        <v>143</v>
      </c>
      <c r="R78" s="590" t="s">
        <v>86</v>
      </c>
      <c r="S78" s="590" t="s">
        <v>144</v>
      </c>
      <c r="T78" s="590"/>
      <c r="U78" s="590" t="s">
        <v>509</v>
      </c>
      <c r="V78" s="590">
        <v>2.41</v>
      </c>
    </row>
    <row r="79" spans="12:22">
      <c r="L79" s="590"/>
      <c r="M79" s="590" t="s">
        <v>51</v>
      </c>
      <c r="N79" s="590" t="s">
        <v>58</v>
      </c>
      <c r="O79" s="590"/>
      <c r="P79" s="590" t="s">
        <v>111</v>
      </c>
      <c r="Q79" s="590" t="s">
        <v>150</v>
      </c>
      <c r="R79" s="590" t="s">
        <v>86</v>
      </c>
      <c r="S79" s="590" t="s">
        <v>144</v>
      </c>
      <c r="T79" s="590"/>
      <c r="U79" s="590" t="s">
        <v>510</v>
      </c>
      <c r="V79" s="590">
        <v>0.77</v>
      </c>
    </row>
    <row r="80" spans="12:22">
      <c r="L80" s="590"/>
      <c r="M80" s="590" t="s">
        <v>51</v>
      </c>
      <c r="N80" s="590" t="s">
        <v>58</v>
      </c>
      <c r="O80" s="590"/>
      <c r="P80" s="590" t="s">
        <v>169</v>
      </c>
      <c r="Q80" s="590" t="s">
        <v>175</v>
      </c>
      <c r="R80" s="590" t="s">
        <v>167</v>
      </c>
      <c r="S80" s="590" t="s">
        <v>4</v>
      </c>
      <c r="T80" s="590"/>
      <c r="U80" s="590" t="s">
        <v>511</v>
      </c>
      <c r="V80" s="590">
        <v>1.78</v>
      </c>
    </row>
    <row r="81" spans="12:22">
      <c r="L81" s="590"/>
      <c r="M81" s="590" t="s">
        <v>51</v>
      </c>
      <c r="N81" s="590" t="s">
        <v>58</v>
      </c>
      <c r="O81" s="590"/>
      <c r="P81" s="590" t="s">
        <v>90</v>
      </c>
      <c r="Q81" s="590" t="s">
        <v>91</v>
      </c>
      <c r="R81" s="590" t="s">
        <v>92</v>
      </c>
      <c r="S81" s="590" t="s">
        <v>93</v>
      </c>
      <c r="T81" s="590">
        <v>1</v>
      </c>
      <c r="U81" s="590" t="s">
        <v>512</v>
      </c>
      <c r="V81" s="590">
        <v>23.45</v>
      </c>
    </row>
    <row r="82" spans="12:22">
      <c r="L82" s="590"/>
      <c r="M82" s="590" t="s">
        <v>51</v>
      </c>
      <c r="N82" s="590" t="s">
        <v>58</v>
      </c>
      <c r="O82" s="590"/>
      <c r="P82" s="590" t="s">
        <v>111</v>
      </c>
      <c r="Q82" s="590" t="s">
        <v>150</v>
      </c>
      <c r="R82" s="590" t="s">
        <v>92</v>
      </c>
      <c r="S82" s="590" t="s">
        <v>513</v>
      </c>
      <c r="T82" s="590"/>
      <c r="U82" s="590" t="s">
        <v>514</v>
      </c>
      <c r="V82" s="590">
        <v>0.3</v>
      </c>
    </row>
    <row r="83" spans="12:22">
      <c r="L83" s="590"/>
      <c r="M83" s="590" t="s">
        <v>51</v>
      </c>
      <c r="N83" s="590" t="s">
        <v>58</v>
      </c>
      <c r="O83" s="590"/>
      <c r="P83" s="590" t="s">
        <v>95</v>
      </c>
      <c r="Q83" s="590" t="s">
        <v>96</v>
      </c>
      <c r="R83" s="590" t="s">
        <v>92</v>
      </c>
      <c r="S83" s="590" t="s">
        <v>93</v>
      </c>
      <c r="T83" s="590"/>
      <c r="U83" s="590" t="s">
        <v>515</v>
      </c>
      <c r="V83" s="590">
        <v>5.05</v>
      </c>
    </row>
    <row r="84" spans="12:22">
      <c r="L84" s="590"/>
      <c r="M84" s="590" t="s">
        <v>51</v>
      </c>
      <c r="N84" s="590" t="s">
        <v>58</v>
      </c>
      <c r="O84" s="590"/>
      <c r="P84" s="590" t="s">
        <v>78</v>
      </c>
      <c r="Q84" s="590" t="s">
        <v>102</v>
      </c>
      <c r="R84" s="590" t="s">
        <v>92</v>
      </c>
      <c r="S84" s="590" t="s">
        <v>93</v>
      </c>
      <c r="T84" s="590"/>
      <c r="U84" s="590" t="s">
        <v>516</v>
      </c>
      <c r="V84" s="590">
        <v>0.98</v>
      </c>
    </row>
    <row r="85" spans="12:22">
      <c r="L85" s="590"/>
      <c r="M85" s="590" t="s">
        <v>51</v>
      </c>
      <c r="N85" s="590" t="s">
        <v>58</v>
      </c>
      <c r="O85" s="590"/>
      <c r="P85" s="590" t="s">
        <v>95</v>
      </c>
      <c r="Q85" s="590" t="s">
        <v>104</v>
      </c>
      <c r="R85" s="590" t="s">
        <v>92</v>
      </c>
      <c r="S85" s="590" t="s">
        <v>93</v>
      </c>
      <c r="T85" s="590"/>
      <c r="U85" s="590" t="s">
        <v>517</v>
      </c>
      <c r="V85" s="590">
        <v>7.78</v>
      </c>
    </row>
    <row r="86" spans="12:22">
      <c r="L86" s="590"/>
      <c r="M86" s="590" t="s">
        <v>51</v>
      </c>
      <c r="N86" s="590" t="s">
        <v>58</v>
      </c>
      <c r="O86" s="590"/>
      <c r="P86" s="590" t="s">
        <v>90</v>
      </c>
      <c r="Q86" s="590" t="s">
        <v>106</v>
      </c>
      <c r="R86" s="590" t="s">
        <v>92</v>
      </c>
      <c r="S86" s="590" t="s">
        <v>93</v>
      </c>
      <c r="T86" s="590">
        <v>1</v>
      </c>
      <c r="U86" s="590" t="s">
        <v>518</v>
      </c>
      <c r="V86" s="590">
        <v>27.2</v>
      </c>
    </row>
    <row r="87" spans="12:22">
      <c r="L87" s="590"/>
      <c r="M87" s="590" t="s">
        <v>116</v>
      </c>
      <c r="N87" s="590" t="s">
        <v>58</v>
      </c>
      <c r="O87" s="590"/>
      <c r="P87" s="590" t="s">
        <v>69</v>
      </c>
      <c r="Q87" s="590" t="s">
        <v>117</v>
      </c>
      <c r="R87" s="590" t="s">
        <v>86</v>
      </c>
      <c r="S87" s="590" t="s">
        <v>118</v>
      </c>
      <c r="T87" s="590"/>
      <c r="U87" s="590" t="s">
        <v>519</v>
      </c>
      <c r="V87" s="590">
        <v>4.53</v>
      </c>
    </row>
    <row r="88" spans="12:22">
      <c r="L88" s="590"/>
      <c r="M88" s="590" t="s">
        <v>116</v>
      </c>
      <c r="N88" s="590" t="s">
        <v>58</v>
      </c>
      <c r="O88" s="590"/>
      <c r="P88" s="590" t="s">
        <v>111</v>
      </c>
      <c r="Q88" s="590" t="s">
        <v>150</v>
      </c>
      <c r="R88" s="590" t="s">
        <v>86</v>
      </c>
      <c r="S88" s="590" t="s">
        <v>118</v>
      </c>
      <c r="T88" s="590"/>
      <c r="U88" s="590" t="s">
        <v>520</v>
      </c>
      <c r="V88" s="590">
        <v>0.9</v>
      </c>
    </row>
    <row r="89" spans="12:22">
      <c r="L89" s="590"/>
      <c r="M89" s="590" t="s">
        <v>116</v>
      </c>
      <c r="N89" s="590" t="s">
        <v>58</v>
      </c>
      <c r="O89" s="590"/>
      <c r="P89" s="590" t="s">
        <v>120</v>
      </c>
      <c r="Q89" s="590" t="s">
        <v>121</v>
      </c>
      <c r="R89" s="590" t="s">
        <v>92</v>
      </c>
      <c r="S89" s="590" t="s">
        <v>93</v>
      </c>
      <c r="T89" s="590"/>
      <c r="U89" s="590" t="s">
        <v>521</v>
      </c>
      <c r="V89" s="590">
        <v>0.6</v>
      </c>
    </row>
    <row r="90" spans="12:22">
      <c r="L90" s="590"/>
      <c r="M90" s="590" t="s">
        <v>57</v>
      </c>
      <c r="N90" s="590" t="s">
        <v>58</v>
      </c>
      <c r="O90" s="590"/>
      <c r="P90" s="590" t="s">
        <v>69</v>
      </c>
      <c r="Q90" s="590" t="s">
        <v>108</v>
      </c>
      <c r="R90" s="590" t="s">
        <v>61</v>
      </c>
      <c r="S90" s="590" t="s">
        <v>62</v>
      </c>
      <c r="T90" s="590"/>
      <c r="U90" s="590" t="s">
        <v>522</v>
      </c>
      <c r="V90" s="590">
        <v>4.58</v>
      </c>
    </row>
    <row r="91" spans="12:22">
      <c r="L91" s="590"/>
      <c r="M91" s="590" t="s">
        <v>57</v>
      </c>
      <c r="N91" s="590" t="s">
        <v>58</v>
      </c>
      <c r="O91" s="590"/>
      <c r="P91" s="590" t="s">
        <v>69</v>
      </c>
      <c r="Q91" s="590" t="s">
        <v>108</v>
      </c>
      <c r="R91" s="590" t="s">
        <v>61</v>
      </c>
      <c r="S91" s="590" t="s">
        <v>71</v>
      </c>
      <c r="T91" s="590"/>
      <c r="U91" s="590" t="s">
        <v>523</v>
      </c>
      <c r="V91" s="590">
        <v>2.84</v>
      </c>
    </row>
    <row r="92" spans="12:22" ht="20" customHeight="1">
      <c r="L92" s="591" t="s">
        <v>524</v>
      </c>
    </row>
    <row r="93" spans="12:22" ht="20" customHeight="1">
      <c r="L93" s="592" t="s">
        <v>525</v>
      </c>
    </row>
    <row r="94" spans="12:22" ht="20" customHeight="1">
      <c r="L94" s="592" t="s">
        <v>526</v>
      </c>
    </row>
    <row r="97" spans="13:23" ht="23" customHeight="1">
      <c r="M97" s="599" t="s">
        <v>527</v>
      </c>
    </row>
    <row r="98" spans="13:23">
      <c r="M98" s="528" t="s">
        <v>10</v>
      </c>
      <c r="N98" s="528" t="s">
        <v>11</v>
      </c>
      <c r="O98" s="528" t="s">
        <v>12</v>
      </c>
      <c r="P98" s="528" t="s">
        <v>13</v>
      </c>
      <c r="Q98" s="528" t="s">
        <v>14</v>
      </c>
      <c r="R98" s="528" t="s">
        <v>15</v>
      </c>
      <c r="S98" s="528" t="s">
        <v>16</v>
      </c>
      <c r="T98" s="528" t="s">
        <v>17</v>
      </c>
      <c r="U98" s="528" t="s">
        <v>18</v>
      </c>
      <c r="V98" s="528" t="s">
        <v>19</v>
      </c>
      <c r="W98" s="528" t="s">
        <v>20</v>
      </c>
    </row>
    <row r="99" spans="13:23">
      <c r="N99" t="s">
        <v>57</v>
      </c>
      <c r="O99" t="s">
        <v>58</v>
      </c>
      <c r="Q99" t="s">
        <v>59</v>
      </c>
      <c r="R99" t="s">
        <v>60</v>
      </c>
      <c r="S99" t="s">
        <v>61</v>
      </c>
      <c r="T99" t="s">
        <v>62</v>
      </c>
      <c r="V99" t="s">
        <v>218</v>
      </c>
      <c r="W99">
        <v>3.5</v>
      </c>
    </row>
    <row r="100" spans="13:23">
      <c r="N100" t="s">
        <v>59</v>
      </c>
      <c r="O100" t="s">
        <v>58</v>
      </c>
      <c r="Q100" t="s">
        <v>78</v>
      </c>
      <c r="R100" t="s">
        <v>136</v>
      </c>
      <c r="S100" t="s">
        <v>137</v>
      </c>
      <c r="T100" t="s">
        <v>138</v>
      </c>
      <c r="V100" t="s">
        <v>219</v>
      </c>
      <c r="W100">
        <v>10</v>
      </c>
    </row>
    <row r="101" spans="13:23">
      <c r="N101" t="s">
        <v>59</v>
      </c>
      <c r="O101" t="s">
        <v>58</v>
      </c>
      <c r="Q101" t="s">
        <v>111</v>
      </c>
      <c r="R101" t="s">
        <v>150</v>
      </c>
      <c r="S101" t="s">
        <v>86</v>
      </c>
      <c r="T101" t="s">
        <v>118</v>
      </c>
      <c r="V101" t="s">
        <v>220</v>
      </c>
      <c r="W101">
        <v>1</v>
      </c>
    </row>
    <row r="102" spans="13:23">
      <c r="N102" t="s">
        <v>59</v>
      </c>
      <c r="O102" t="s">
        <v>58</v>
      </c>
      <c r="Q102" t="s">
        <v>169</v>
      </c>
      <c r="R102" t="s">
        <v>175</v>
      </c>
      <c r="S102" t="s">
        <v>167</v>
      </c>
      <c r="T102" t="s">
        <v>4</v>
      </c>
      <c r="V102" t="s">
        <v>221</v>
      </c>
      <c r="W102">
        <v>5</v>
      </c>
    </row>
    <row r="103" spans="13:23">
      <c r="N103" t="s">
        <v>59</v>
      </c>
      <c r="O103" t="s">
        <v>58</v>
      </c>
      <c r="Q103" t="s">
        <v>169</v>
      </c>
      <c r="R103" t="s">
        <v>175</v>
      </c>
      <c r="S103" t="s">
        <v>167</v>
      </c>
      <c r="T103" t="s">
        <v>4</v>
      </c>
      <c r="V103" t="s">
        <v>222</v>
      </c>
      <c r="W103">
        <v>8</v>
      </c>
    </row>
    <row r="104" spans="13:23">
      <c r="N104" t="s">
        <v>59</v>
      </c>
      <c r="O104" t="s">
        <v>58</v>
      </c>
      <c r="Q104" t="s">
        <v>69</v>
      </c>
      <c r="R104" t="s">
        <v>70</v>
      </c>
      <c r="S104" t="s">
        <v>61</v>
      </c>
      <c r="T104" t="s">
        <v>62</v>
      </c>
      <c r="V104" t="s">
        <v>223</v>
      </c>
      <c r="W104">
        <v>6</v>
      </c>
    </row>
    <row r="105" spans="13:23">
      <c r="N105" t="s">
        <v>59</v>
      </c>
      <c r="O105" t="s">
        <v>76</v>
      </c>
      <c r="Q105" t="s">
        <v>191</v>
      </c>
      <c r="R105" t="s">
        <v>192</v>
      </c>
      <c r="S105" t="s">
        <v>80</v>
      </c>
      <c r="T105" t="s">
        <v>193</v>
      </c>
      <c r="V105" t="s">
        <v>224</v>
      </c>
      <c r="W105">
        <v>5.5</v>
      </c>
    </row>
    <row r="106" spans="13:23">
      <c r="N106" t="s">
        <v>59</v>
      </c>
      <c r="O106" t="s">
        <v>58</v>
      </c>
      <c r="Q106" t="s">
        <v>69</v>
      </c>
      <c r="R106" t="s">
        <v>70</v>
      </c>
      <c r="S106" t="s">
        <v>61</v>
      </c>
      <c r="T106" t="s">
        <v>62</v>
      </c>
      <c r="V106" t="s">
        <v>225</v>
      </c>
      <c r="W106">
        <v>4.5</v>
      </c>
    </row>
    <row r="107" spans="13:23">
      <c r="N107" t="s">
        <v>59</v>
      </c>
      <c r="O107" t="s">
        <v>58</v>
      </c>
      <c r="Q107" t="s">
        <v>59</v>
      </c>
      <c r="R107" t="s">
        <v>226</v>
      </c>
      <c r="S107" t="s">
        <v>80</v>
      </c>
      <c r="T107" t="s">
        <v>227</v>
      </c>
      <c r="V107" t="s">
        <v>228</v>
      </c>
      <c r="W107">
        <v>8</v>
      </c>
    </row>
    <row r="108" spans="13:23">
      <c r="N108" t="s">
        <v>59</v>
      </c>
      <c r="O108" t="s">
        <v>76</v>
      </c>
      <c r="Q108" t="s">
        <v>191</v>
      </c>
      <c r="R108" t="s">
        <v>192</v>
      </c>
      <c r="S108" t="s">
        <v>80</v>
      </c>
      <c r="T108" t="s">
        <v>229</v>
      </c>
      <c r="V108" t="s">
        <v>230</v>
      </c>
      <c r="W108">
        <v>10</v>
      </c>
    </row>
    <row r="109" spans="13:23">
      <c r="N109" t="s">
        <v>51</v>
      </c>
      <c r="O109" t="s">
        <v>58</v>
      </c>
      <c r="Q109" t="s">
        <v>69</v>
      </c>
      <c r="R109" t="s">
        <v>108</v>
      </c>
      <c r="S109" t="s">
        <v>86</v>
      </c>
      <c r="T109" t="s">
        <v>118</v>
      </c>
      <c r="V109" t="s">
        <v>231</v>
      </c>
      <c r="W109">
        <v>2.5</v>
      </c>
    </row>
    <row r="110" spans="13:23">
      <c r="N110" t="s">
        <v>51</v>
      </c>
      <c r="O110" t="s">
        <v>58</v>
      </c>
      <c r="Q110" t="s">
        <v>69</v>
      </c>
      <c r="R110" t="s">
        <v>70</v>
      </c>
      <c r="S110" t="s">
        <v>86</v>
      </c>
      <c r="T110" t="s">
        <v>161</v>
      </c>
      <c r="V110" t="s">
        <v>232</v>
      </c>
      <c r="W110">
        <v>1.5</v>
      </c>
    </row>
    <row r="111" spans="13:23">
      <c r="N111" t="s">
        <v>51</v>
      </c>
      <c r="O111" t="s">
        <v>58</v>
      </c>
      <c r="Q111" t="s">
        <v>90</v>
      </c>
      <c r="R111" t="s">
        <v>106</v>
      </c>
      <c r="S111" t="s">
        <v>92</v>
      </c>
      <c r="T111" t="s">
        <v>184</v>
      </c>
      <c r="V111" t="s">
        <v>233</v>
      </c>
      <c r="W111">
        <v>2</v>
      </c>
    </row>
    <row r="112" spans="13:23">
      <c r="N112" t="s">
        <v>51</v>
      </c>
      <c r="O112" t="s">
        <v>76</v>
      </c>
      <c r="Q112" t="s">
        <v>191</v>
      </c>
      <c r="R112" t="s">
        <v>192</v>
      </c>
      <c r="S112" t="s">
        <v>80</v>
      </c>
      <c r="T112" t="s">
        <v>234</v>
      </c>
      <c r="V112" t="s">
        <v>235</v>
      </c>
      <c r="W112">
        <v>4</v>
      </c>
    </row>
    <row r="113" spans="14:23">
      <c r="N113" t="s">
        <v>51</v>
      </c>
      <c r="O113" t="s">
        <v>58</v>
      </c>
      <c r="Q113" t="s">
        <v>142</v>
      </c>
      <c r="R113" t="s">
        <v>142</v>
      </c>
      <c r="S113" t="s">
        <v>86</v>
      </c>
      <c r="T113" t="s">
        <v>161</v>
      </c>
      <c r="V113" t="s">
        <v>236</v>
      </c>
      <c r="W113">
        <v>6</v>
      </c>
    </row>
    <row r="114" spans="14:23">
      <c r="N114" t="s">
        <v>51</v>
      </c>
      <c r="O114" t="s">
        <v>58</v>
      </c>
      <c r="Q114" t="s">
        <v>142</v>
      </c>
      <c r="R114" t="s">
        <v>143</v>
      </c>
      <c r="S114" t="s">
        <v>86</v>
      </c>
      <c r="T114" t="s">
        <v>144</v>
      </c>
      <c r="V114" t="s">
        <v>237</v>
      </c>
      <c r="W114">
        <v>6</v>
      </c>
    </row>
    <row r="115" spans="14:23">
      <c r="N115" t="s">
        <v>51</v>
      </c>
      <c r="O115" t="s">
        <v>58</v>
      </c>
      <c r="Q115" t="s">
        <v>169</v>
      </c>
      <c r="R115" t="s">
        <v>175</v>
      </c>
      <c r="S115" t="s">
        <v>167</v>
      </c>
      <c r="T115" t="s">
        <v>4</v>
      </c>
      <c r="V115" t="s">
        <v>238</v>
      </c>
      <c r="W115">
        <v>4</v>
      </c>
    </row>
    <row r="116" spans="14:23">
      <c r="N116" t="s">
        <v>51</v>
      </c>
      <c r="O116" t="s">
        <v>58</v>
      </c>
      <c r="Q116" t="s">
        <v>90</v>
      </c>
      <c r="R116" t="s">
        <v>91</v>
      </c>
      <c r="S116" t="s">
        <v>92</v>
      </c>
      <c r="T116" t="s">
        <v>93</v>
      </c>
      <c r="U116">
        <v>1</v>
      </c>
      <c r="V116" t="s">
        <v>239</v>
      </c>
      <c r="W116">
        <v>4</v>
      </c>
    </row>
    <row r="117" spans="14:23">
      <c r="N117" t="s">
        <v>51</v>
      </c>
      <c r="O117" t="s">
        <v>58</v>
      </c>
      <c r="Q117" t="s">
        <v>90</v>
      </c>
      <c r="R117" t="s">
        <v>91</v>
      </c>
      <c r="S117" t="s">
        <v>92</v>
      </c>
      <c r="T117" t="s">
        <v>93</v>
      </c>
      <c r="U117">
        <v>1</v>
      </c>
      <c r="V117" t="s">
        <v>240</v>
      </c>
      <c r="W117">
        <v>8</v>
      </c>
    </row>
    <row r="118" spans="14:23">
      <c r="N118" t="s">
        <v>51</v>
      </c>
      <c r="O118" t="s">
        <v>76</v>
      </c>
      <c r="Q118" t="s">
        <v>191</v>
      </c>
      <c r="R118" t="s">
        <v>192</v>
      </c>
      <c r="S118" t="s">
        <v>80</v>
      </c>
      <c r="T118" t="s">
        <v>193</v>
      </c>
      <c r="V118" t="s">
        <v>241</v>
      </c>
      <c r="W118">
        <v>9</v>
      </c>
    </row>
    <row r="119" spans="14:23">
      <c r="N119" t="s">
        <v>51</v>
      </c>
      <c r="O119" t="s">
        <v>58</v>
      </c>
      <c r="Q119" t="s">
        <v>90</v>
      </c>
      <c r="R119" t="s">
        <v>91</v>
      </c>
      <c r="S119" t="s">
        <v>92</v>
      </c>
      <c r="T119" t="s">
        <v>93</v>
      </c>
      <c r="U119">
        <v>1</v>
      </c>
      <c r="V119" t="s">
        <v>242</v>
      </c>
      <c r="W119">
        <v>7</v>
      </c>
    </row>
    <row r="120" spans="14:23">
      <c r="N120" t="s">
        <v>51</v>
      </c>
      <c r="O120" t="s">
        <v>58</v>
      </c>
      <c r="Q120" t="s">
        <v>90</v>
      </c>
      <c r="R120" t="s">
        <v>91</v>
      </c>
      <c r="S120" t="s">
        <v>92</v>
      </c>
      <c r="T120" t="s">
        <v>93</v>
      </c>
      <c r="U120">
        <v>1</v>
      </c>
      <c r="V120" t="s">
        <v>243</v>
      </c>
      <c r="W120">
        <v>20</v>
      </c>
    </row>
    <row r="121" spans="14:23">
      <c r="N121" t="s">
        <v>51</v>
      </c>
      <c r="O121" t="s">
        <v>58</v>
      </c>
      <c r="Q121" t="s">
        <v>95</v>
      </c>
      <c r="R121" t="s">
        <v>96</v>
      </c>
      <c r="S121" t="s">
        <v>92</v>
      </c>
      <c r="T121" t="s">
        <v>93</v>
      </c>
      <c r="V121" t="s">
        <v>244</v>
      </c>
      <c r="W121">
        <v>2.5</v>
      </c>
    </row>
    <row r="122" spans="14:23">
      <c r="N122" t="s">
        <v>51</v>
      </c>
      <c r="O122" t="s">
        <v>58</v>
      </c>
      <c r="Q122" t="s">
        <v>78</v>
      </c>
      <c r="R122" t="s">
        <v>102</v>
      </c>
      <c r="S122" t="s">
        <v>92</v>
      </c>
      <c r="T122" t="s">
        <v>93</v>
      </c>
      <c r="V122" t="s">
        <v>245</v>
      </c>
      <c r="W122">
        <v>1.5</v>
      </c>
    </row>
    <row r="123" spans="14:23">
      <c r="N123" t="s">
        <v>51</v>
      </c>
      <c r="O123" t="s">
        <v>58</v>
      </c>
      <c r="Q123" t="s">
        <v>95</v>
      </c>
      <c r="R123" t="s">
        <v>104</v>
      </c>
      <c r="S123" t="s">
        <v>92</v>
      </c>
      <c r="T123" t="s">
        <v>93</v>
      </c>
      <c r="V123" t="s">
        <v>246</v>
      </c>
      <c r="W123">
        <v>6</v>
      </c>
    </row>
    <row r="124" spans="14:23">
      <c r="N124" t="s">
        <v>51</v>
      </c>
      <c r="O124" t="s">
        <v>76</v>
      </c>
      <c r="Q124" t="s">
        <v>191</v>
      </c>
      <c r="R124" t="s">
        <v>192</v>
      </c>
      <c r="S124" t="s">
        <v>80</v>
      </c>
      <c r="T124" t="s">
        <v>229</v>
      </c>
      <c r="V124" t="s">
        <v>247</v>
      </c>
      <c r="W124">
        <v>3.5</v>
      </c>
    </row>
    <row r="125" spans="14:23">
      <c r="N125" t="s">
        <v>51</v>
      </c>
      <c r="O125" t="s">
        <v>58</v>
      </c>
      <c r="Q125" t="s">
        <v>90</v>
      </c>
      <c r="R125" t="s">
        <v>106</v>
      </c>
      <c r="S125" t="s">
        <v>92</v>
      </c>
      <c r="T125" t="s">
        <v>93</v>
      </c>
      <c r="U125">
        <v>1</v>
      </c>
      <c r="V125" t="s">
        <v>248</v>
      </c>
      <c r="W125">
        <v>14.5</v>
      </c>
    </row>
    <row r="126" spans="14:23">
      <c r="N126" t="s">
        <v>51</v>
      </c>
      <c r="O126" t="s">
        <v>58</v>
      </c>
      <c r="Q126" t="s">
        <v>90</v>
      </c>
      <c r="R126" t="s">
        <v>106</v>
      </c>
      <c r="S126" t="s">
        <v>92</v>
      </c>
      <c r="T126" t="s">
        <v>93</v>
      </c>
      <c r="U126">
        <v>1</v>
      </c>
      <c r="V126" t="s">
        <v>249</v>
      </c>
      <c r="W126">
        <v>8</v>
      </c>
    </row>
    <row r="127" spans="14:23">
      <c r="N127" t="s">
        <v>51</v>
      </c>
      <c r="O127" t="s">
        <v>76</v>
      </c>
      <c r="Q127" t="s">
        <v>191</v>
      </c>
      <c r="R127" t="s">
        <v>192</v>
      </c>
      <c r="S127" t="s">
        <v>80</v>
      </c>
      <c r="T127" t="s">
        <v>193</v>
      </c>
      <c r="V127" t="s">
        <v>250</v>
      </c>
      <c r="W127">
        <v>12</v>
      </c>
    </row>
    <row r="128" spans="14:23">
      <c r="N128" t="s">
        <v>51</v>
      </c>
      <c r="O128" t="s">
        <v>58</v>
      </c>
      <c r="Q128" t="s">
        <v>90</v>
      </c>
      <c r="R128" t="s">
        <v>106</v>
      </c>
      <c r="S128" t="s">
        <v>92</v>
      </c>
      <c r="T128" t="s">
        <v>93</v>
      </c>
      <c r="U128">
        <v>1</v>
      </c>
      <c r="V128" t="s">
        <v>251</v>
      </c>
      <c r="W128">
        <v>4</v>
      </c>
    </row>
    <row r="129" spans="13:23">
      <c r="N129" t="s">
        <v>51</v>
      </c>
      <c r="O129" t="s">
        <v>58</v>
      </c>
      <c r="Q129" t="s">
        <v>90</v>
      </c>
      <c r="R129" t="s">
        <v>106</v>
      </c>
      <c r="S129" t="s">
        <v>92</v>
      </c>
      <c r="T129" t="s">
        <v>93</v>
      </c>
      <c r="U129">
        <v>1</v>
      </c>
      <c r="V129" t="s">
        <v>252</v>
      </c>
      <c r="W129">
        <v>3</v>
      </c>
    </row>
    <row r="130" spans="13:23">
      <c r="N130" t="s">
        <v>51</v>
      </c>
      <c r="O130" t="s">
        <v>58</v>
      </c>
      <c r="Q130" t="s">
        <v>142</v>
      </c>
      <c r="R130" t="s">
        <v>142</v>
      </c>
      <c r="S130" t="s">
        <v>61</v>
      </c>
      <c r="T130" t="s">
        <v>62</v>
      </c>
      <c r="V130" t="s">
        <v>253</v>
      </c>
      <c r="W130">
        <v>1.5</v>
      </c>
    </row>
    <row r="131" spans="13:23">
      <c r="N131" t="s">
        <v>51</v>
      </c>
      <c r="O131" t="s">
        <v>58</v>
      </c>
      <c r="Q131" t="s">
        <v>90</v>
      </c>
      <c r="R131" t="s">
        <v>106</v>
      </c>
      <c r="S131" t="s">
        <v>92</v>
      </c>
      <c r="T131" t="s">
        <v>93</v>
      </c>
      <c r="U131">
        <v>1</v>
      </c>
      <c r="V131" t="s">
        <v>254</v>
      </c>
      <c r="W131">
        <v>5.5</v>
      </c>
    </row>
    <row r="132" spans="13:23">
      <c r="N132" t="s">
        <v>116</v>
      </c>
      <c r="O132" t="s">
        <v>58</v>
      </c>
      <c r="Q132" t="s">
        <v>69</v>
      </c>
      <c r="R132" t="s">
        <v>117</v>
      </c>
      <c r="S132" t="s">
        <v>86</v>
      </c>
      <c r="T132" t="s">
        <v>118</v>
      </c>
      <c r="V132" t="s">
        <v>255</v>
      </c>
      <c r="W132">
        <v>6</v>
      </c>
    </row>
    <row r="133" spans="13:23">
      <c r="N133" t="s">
        <v>57</v>
      </c>
      <c r="O133" t="s">
        <v>58</v>
      </c>
      <c r="Q133" t="s">
        <v>69</v>
      </c>
      <c r="R133" t="s">
        <v>108</v>
      </c>
      <c r="S133" t="s">
        <v>61</v>
      </c>
      <c r="T133" t="s">
        <v>62</v>
      </c>
      <c r="V133" t="s">
        <v>256</v>
      </c>
      <c r="W133">
        <v>1.5</v>
      </c>
    </row>
    <row r="134" spans="13:23">
      <c r="N134" t="s">
        <v>116</v>
      </c>
      <c r="O134" t="s">
        <v>58</v>
      </c>
      <c r="Q134" t="s">
        <v>111</v>
      </c>
      <c r="R134" t="s">
        <v>150</v>
      </c>
      <c r="S134" t="s">
        <v>86</v>
      </c>
      <c r="T134" t="s">
        <v>118</v>
      </c>
      <c r="V134" t="s">
        <v>257</v>
      </c>
      <c r="W134">
        <v>1</v>
      </c>
    </row>
    <row r="135" spans="13:23">
      <c r="N135" t="s">
        <v>116</v>
      </c>
      <c r="O135" t="s">
        <v>58</v>
      </c>
      <c r="Q135" t="s">
        <v>120</v>
      </c>
      <c r="R135" t="s">
        <v>121</v>
      </c>
      <c r="S135" t="s">
        <v>92</v>
      </c>
      <c r="T135" t="s">
        <v>93</v>
      </c>
      <c r="V135" t="s">
        <v>258</v>
      </c>
      <c r="W135">
        <v>0.5</v>
      </c>
    </row>
    <row r="136" spans="13:23">
      <c r="N136" t="s">
        <v>57</v>
      </c>
      <c r="O136" t="s">
        <v>58</v>
      </c>
      <c r="Q136" t="s">
        <v>69</v>
      </c>
      <c r="R136" t="s">
        <v>108</v>
      </c>
      <c r="S136" t="s">
        <v>61</v>
      </c>
      <c r="T136" t="s">
        <v>62</v>
      </c>
      <c r="V136" t="s">
        <v>259</v>
      </c>
      <c r="W136">
        <v>3</v>
      </c>
    </row>
    <row r="137" spans="13:23">
      <c r="N137" t="s">
        <v>57</v>
      </c>
      <c r="O137" t="s">
        <v>58</v>
      </c>
      <c r="Q137" t="s">
        <v>69</v>
      </c>
      <c r="R137" t="s">
        <v>108</v>
      </c>
      <c r="S137" t="s">
        <v>61</v>
      </c>
      <c r="T137" t="s">
        <v>71</v>
      </c>
      <c r="V137" t="s">
        <v>260</v>
      </c>
      <c r="W137">
        <v>2</v>
      </c>
    </row>
    <row r="138" spans="13:23">
      <c r="N138" t="s">
        <v>57</v>
      </c>
      <c r="O138" t="s">
        <v>58</v>
      </c>
      <c r="Q138" t="s">
        <v>69</v>
      </c>
      <c r="R138" t="s">
        <v>108</v>
      </c>
      <c r="S138" t="s">
        <v>61</v>
      </c>
      <c r="T138" t="s">
        <v>71</v>
      </c>
      <c r="V138" t="s">
        <v>261</v>
      </c>
      <c r="W138">
        <v>1</v>
      </c>
    </row>
    <row r="139" spans="13:23">
      <c r="M139" s="600" t="s">
        <v>524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pageSetUpPr fitToPage="1"/>
  </sheetPr>
  <dimension ref="A1:Q110"/>
  <sheetViews>
    <sheetView topLeftCell="A49" zoomScale="89" zoomScaleNormal="89" zoomScalePageLayoutView="135" workbookViewId="0">
      <selection activeCell="K49" sqref="K49:O49"/>
    </sheetView>
  </sheetViews>
  <sheetFormatPr defaultColWidth="11.15234375" defaultRowHeight="15.5"/>
  <cols>
    <col min="1" max="1" width="17.84375" customWidth="1"/>
    <col min="2" max="2" width="11.15234375" bestFit="1" customWidth="1"/>
    <col min="3" max="3" width="13" bestFit="1" customWidth="1"/>
    <col min="4" max="4" width="16.53515625" bestFit="1" customWidth="1"/>
    <col min="5" max="5" width="9.3828125" bestFit="1" customWidth="1"/>
    <col min="6" max="6" width="12.3828125" bestFit="1" customWidth="1"/>
    <col min="7" max="7" width="17.15234375" bestFit="1" customWidth="1"/>
    <col min="8" max="8" width="16.3828125" bestFit="1" customWidth="1"/>
    <col min="9" max="9" width="2.3828125" bestFit="1" customWidth="1"/>
    <col min="10" max="10" width="10" bestFit="1" customWidth="1"/>
    <col min="11" max="11" width="11.53515625" customWidth="1"/>
    <col min="12" max="13" width="13.15234375" bestFit="1" customWidth="1"/>
    <col min="14" max="14" width="14" bestFit="1" customWidth="1"/>
    <col min="15" max="15" width="11.53515625" bestFit="1" customWidth="1"/>
    <col min="16" max="16" width="16.53515625" bestFit="1" customWidth="1"/>
    <col min="17" max="17" width="24.15234375" customWidth="1"/>
  </cols>
  <sheetData>
    <row r="1" spans="1:17" ht="16" customHeight="1">
      <c r="A1" s="143"/>
      <c r="B1" s="143"/>
      <c r="C1" s="143"/>
      <c r="D1" s="143"/>
      <c r="E1" s="143"/>
      <c r="F1" s="143"/>
      <c r="G1" s="143"/>
      <c r="H1" s="143"/>
      <c r="I1" s="143"/>
      <c r="J1" s="143"/>
      <c r="K1" s="143"/>
      <c r="L1" s="143"/>
      <c r="M1" s="143"/>
      <c r="N1" s="143"/>
      <c r="O1" s="143"/>
      <c r="P1" s="143"/>
      <c r="Q1" s="143"/>
    </row>
    <row r="2" spans="1:17" ht="16" customHeight="1">
      <c r="A2" s="143"/>
      <c r="B2" s="143"/>
      <c r="C2" s="143"/>
      <c r="D2" s="143"/>
      <c r="E2" s="143"/>
      <c r="F2" s="143"/>
      <c r="G2" s="143"/>
      <c r="H2" s="143"/>
      <c r="I2" s="143"/>
      <c r="J2" s="143"/>
      <c r="K2" s="143"/>
      <c r="L2" s="143"/>
      <c r="M2" s="143"/>
      <c r="N2" s="143"/>
      <c r="O2" s="143"/>
      <c r="P2" s="143"/>
      <c r="Q2" s="143"/>
    </row>
    <row r="3" spans="1:17" ht="18" customHeight="1">
      <c r="A3" s="11"/>
      <c r="B3" s="240"/>
      <c r="C3" s="240"/>
      <c r="D3" s="240"/>
      <c r="E3" s="660" t="s">
        <v>528</v>
      </c>
      <c r="F3" s="613"/>
      <c r="G3" s="613"/>
      <c r="H3" s="613"/>
      <c r="I3" s="690">
        <f>'2. Для заполнения'!F1</f>
        <v>2</v>
      </c>
      <c r="J3" s="613"/>
      <c r="K3" s="242"/>
      <c r="L3" s="242"/>
      <c r="M3" s="242"/>
      <c r="N3" s="242"/>
      <c r="O3" s="242"/>
      <c r="P3" s="241" t="s">
        <v>529</v>
      </c>
      <c r="Q3" s="243">
        <f ca="1">'2. Для заполнения'!I1</f>
        <v>46202</v>
      </c>
    </row>
    <row r="4" spans="1:17" ht="16" customHeight="1">
      <c r="A4" s="11"/>
      <c r="B4" s="11"/>
      <c r="C4" s="11"/>
      <c r="D4" s="11"/>
      <c r="E4" s="11"/>
      <c r="F4" s="11"/>
      <c r="G4" s="11"/>
      <c r="H4" s="11"/>
      <c r="I4" s="143"/>
      <c r="J4" s="143"/>
      <c r="K4" s="143"/>
      <c r="L4" s="143"/>
      <c r="M4" s="143"/>
      <c r="N4" s="143"/>
      <c r="O4" s="143"/>
      <c r="P4" s="143"/>
      <c r="Q4" s="143"/>
    </row>
    <row r="5" spans="1:17" ht="21" customHeight="1">
      <c r="A5" s="645" t="s">
        <v>530</v>
      </c>
      <c r="B5" s="625"/>
      <c r="C5" s="625"/>
      <c r="D5" s="625"/>
      <c r="E5" s="625"/>
      <c r="F5" s="625"/>
      <c r="G5" s="625"/>
      <c r="H5" s="625"/>
      <c r="I5" s="145"/>
      <c r="J5" s="645" t="s">
        <v>531</v>
      </c>
      <c r="K5" s="625"/>
      <c r="L5" s="625"/>
      <c r="M5" s="625"/>
      <c r="N5" s="625"/>
      <c r="O5" s="625"/>
      <c r="P5" s="625"/>
      <c r="Q5" s="625"/>
    </row>
    <row r="6" spans="1:17" ht="30" customHeight="1">
      <c r="A6" s="686" t="s">
        <v>532</v>
      </c>
      <c r="B6" s="622"/>
      <c r="C6" s="621" t="str">
        <f>'2. Для заполнения'!D5</f>
        <v>Казанское</v>
      </c>
      <c r="D6" s="622"/>
      <c r="E6" s="155" t="s">
        <v>533</v>
      </c>
      <c r="F6" s="677" t="str">
        <f>'2. Для заполнения'!G5</f>
        <v>Воронков Вадим Анатольевич</v>
      </c>
      <c r="G6" s="622"/>
      <c r="H6" s="636"/>
      <c r="I6" s="145"/>
      <c r="J6" s="635" t="str">
        <f ca="1">"Работы, проводимые в период с 00:00 до 24:00 " &amp; TEXT(Q3-1, "ДД.ММ.ГГГГ")</f>
        <v>Работы, проводимые в период с 00:00 до 24:00 28.06.2026</v>
      </c>
      <c r="K6" s="622"/>
      <c r="L6" s="622"/>
      <c r="M6" s="622"/>
      <c r="N6" s="622"/>
      <c r="O6" s="622"/>
      <c r="P6" s="622"/>
      <c r="Q6" s="636"/>
    </row>
    <row r="7" spans="1:17" ht="21" customHeight="1">
      <c r="A7" s="617" t="s">
        <v>534</v>
      </c>
      <c r="B7" s="613"/>
      <c r="C7" s="678">
        <f>'2. Для заполнения'!D6</f>
        <v>26</v>
      </c>
      <c r="D7" s="613"/>
      <c r="E7" s="156" t="s">
        <v>535</v>
      </c>
      <c r="F7" s="653" t="str">
        <f>'2. Для заполнения'!G6</f>
        <v>kazanskoe.project@pobeditholding.com</v>
      </c>
      <c r="G7" s="625"/>
      <c r="H7" s="631"/>
      <c r="I7" s="145"/>
      <c r="J7" s="172" t="s">
        <v>9</v>
      </c>
      <c r="K7" s="173" t="s">
        <v>21</v>
      </c>
      <c r="L7" s="174" t="s">
        <v>31</v>
      </c>
      <c r="M7" s="174" t="s">
        <v>536</v>
      </c>
      <c r="N7" s="175" t="s">
        <v>537</v>
      </c>
      <c r="O7" s="652" t="s">
        <v>538</v>
      </c>
      <c r="P7" s="613"/>
      <c r="Q7" s="620"/>
    </row>
    <row r="8" spans="1:17" ht="21" customHeight="1">
      <c r="A8" s="617" t="s">
        <v>539</v>
      </c>
      <c r="B8" s="613"/>
      <c r="C8" s="165">
        <f>'2. Для заполнения'!D7</f>
        <v>330</v>
      </c>
      <c r="D8" s="165"/>
      <c r="E8" s="157" t="s">
        <v>10</v>
      </c>
      <c r="F8" s="154" t="s">
        <v>540</v>
      </c>
      <c r="G8" s="154" t="s">
        <v>541</v>
      </c>
      <c r="H8" s="158" t="s">
        <v>542</v>
      </c>
      <c r="I8" s="145"/>
      <c r="J8" s="641" t="str">
        <f>IF('2. Для заполнения'!B36&lt;&gt;" ", '2. Для заполнения'!H36, " ")</f>
        <v xml:space="preserve"> </v>
      </c>
      <c r="K8" s="616" t="str">
        <f>'2. Для заполнения'!B36</f>
        <v xml:space="preserve"> </v>
      </c>
      <c r="L8" s="626" t="str">
        <f>'2. Для заполнения'!C36</f>
        <v xml:space="preserve"> </v>
      </c>
      <c r="M8" s="626" t="str">
        <f>'2. Для заполнения'!D36</f>
        <v xml:space="preserve"> </v>
      </c>
      <c r="N8" s="615" t="str">
        <f>'2. Для заполнения'!E36</f>
        <v xml:space="preserve"> </v>
      </c>
      <c r="O8" s="619" t="str">
        <f>'2. Для заполнения'!F36</f>
        <v xml:space="preserve"> </v>
      </c>
      <c r="P8" s="613"/>
      <c r="Q8" s="620"/>
    </row>
    <row r="9" spans="1:17" ht="21" customHeight="1">
      <c r="A9" s="617" t="s">
        <v>543</v>
      </c>
      <c r="B9" s="613"/>
      <c r="C9" s="165" t="str">
        <f>'2. Для заполнения'!D8</f>
        <v>Добывающая</v>
      </c>
      <c r="D9" s="165"/>
      <c r="E9" s="166">
        <v>324</v>
      </c>
      <c r="F9" s="167">
        <f>'2. Для заполнения'!G9</f>
        <v>50</v>
      </c>
      <c r="G9" s="167">
        <f>'2. Для заполнения'!H9</f>
        <v>0</v>
      </c>
      <c r="H9" s="159" t="str">
        <f>'2. Для заполнения'!I9</f>
        <v xml:space="preserve"> </v>
      </c>
      <c r="I9" s="145"/>
      <c r="J9" s="638"/>
      <c r="K9" s="613"/>
      <c r="L9" s="613"/>
      <c r="M9" s="613"/>
      <c r="N9" s="613"/>
      <c r="O9" s="613"/>
      <c r="P9" s="613"/>
      <c r="Q9" s="620"/>
    </row>
    <row r="10" spans="1:17" ht="21" customHeight="1">
      <c r="A10" s="617" t="s">
        <v>544</v>
      </c>
      <c r="B10" s="613"/>
      <c r="C10" s="165" t="str">
        <f>'2. Для заполнения'!D9</f>
        <v>ООО "Газпром Добыча Томск"</v>
      </c>
      <c r="D10" s="165"/>
      <c r="E10" s="166">
        <v>245</v>
      </c>
      <c r="F10" s="167">
        <f>'2. Для заполнения'!G10</f>
        <v>1150.51</v>
      </c>
      <c r="G10" s="167">
        <f>'2. Для заполнения'!H10</f>
        <v>0</v>
      </c>
      <c r="H10" s="159" t="str">
        <f>'2. Для заполнения'!I10</f>
        <v xml:space="preserve"> </v>
      </c>
      <c r="I10" s="145"/>
      <c r="J10" s="641" t="str">
        <f>IF('2. Для заполнения'!B37&lt;&gt;" ", '2. Для заполнения'!H37, " ")</f>
        <v xml:space="preserve"> </v>
      </c>
      <c r="K10" s="616" t="str">
        <f>'2. Для заполнения'!B37</f>
        <v xml:space="preserve"> </v>
      </c>
      <c r="L10" s="626" t="str">
        <f>'2. Для заполнения'!C37</f>
        <v xml:space="preserve"> </v>
      </c>
      <c r="M10" s="626" t="str">
        <f>'2. Для заполнения'!D37</f>
        <v xml:space="preserve"> </v>
      </c>
      <c r="N10" s="615" t="str">
        <f>'2. Для заполнения'!E37</f>
        <v xml:space="preserve"> </v>
      </c>
      <c r="O10" s="619" t="str">
        <f>'2. Для заполнения'!F37</f>
        <v xml:space="preserve"> </v>
      </c>
      <c r="P10" s="613"/>
      <c r="Q10" s="620"/>
    </row>
    <row r="11" spans="1:17" ht="21" customHeight="1">
      <c r="A11" s="617" t="s">
        <v>545</v>
      </c>
      <c r="B11" s="613"/>
      <c r="C11" s="165" t="str">
        <f>'2. Для заполнения'!D10</f>
        <v>МБУ ZJ-30</v>
      </c>
      <c r="D11" s="168"/>
      <c r="E11" s="166">
        <v>146</v>
      </c>
      <c r="F11" s="167">
        <f>'2. Для заполнения'!G11</f>
        <v>2491</v>
      </c>
      <c r="G11" s="167">
        <f>'2. Для заполнения'!H11</f>
        <v>0</v>
      </c>
      <c r="H11" s="159" t="str">
        <f>'2. Для заполнения'!I11</f>
        <v xml:space="preserve"> </v>
      </c>
      <c r="I11" s="145"/>
      <c r="J11" s="638"/>
      <c r="K11" s="613"/>
      <c r="L11" s="613"/>
      <c r="M11" s="613"/>
      <c r="N11" s="613"/>
      <c r="O11" s="613"/>
      <c r="P11" s="613"/>
      <c r="Q11" s="620"/>
    </row>
    <row r="12" spans="1:17" ht="21" customHeight="1">
      <c r="A12" s="617" t="s">
        <v>546</v>
      </c>
      <c r="B12" s="613"/>
      <c r="C12" s="169">
        <f>'2. Для заполнения'!D14</f>
        <v>46145.098750000012</v>
      </c>
      <c r="D12" s="170"/>
      <c r="E12" s="160">
        <v>102</v>
      </c>
      <c r="F12" s="161">
        <f>'2. Для заполнения'!G12</f>
        <v>3591</v>
      </c>
      <c r="G12" s="161">
        <f>'2. Для заполнения'!H12</f>
        <v>0</v>
      </c>
      <c r="H12" s="162" t="str">
        <f>'2. Для заполнения'!I12</f>
        <v xml:space="preserve"> </v>
      </c>
      <c r="I12" s="145"/>
      <c r="J12" s="641" t="str">
        <f>IF('2. Для заполнения'!B38&lt;&gt;" ", '2. Для заполнения'!H38, " ")</f>
        <v xml:space="preserve"> </v>
      </c>
      <c r="K12" s="616" t="str">
        <f>'2. Для заполнения'!B38</f>
        <v xml:space="preserve"> </v>
      </c>
      <c r="L12" s="626" t="str">
        <f>'2. Для заполнения'!C38</f>
        <v xml:space="preserve"> </v>
      </c>
      <c r="M12" s="626" t="str">
        <f>'2. Для заполнения'!D38</f>
        <v xml:space="preserve"> </v>
      </c>
      <c r="N12" s="615" t="str">
        <f>'2. Для заполнения'!E38</f>
        <v xml:space="preserve"> </v>
      </c>
      <c r="O12" s="619" t="str">
        <f>'2. Для заполнения'!F38</f>
        <v xml:space="preserve"> </v>
      </c>
      <c r="P12" s="613"/>
      <c r="Q12" s="620"/>
    </row>
    <row r="13" spans="1:17" ht="21" customHeight="1">
      <c r="A13" s="617" t="s">
        <v>547</v>
      </c>
      <c r="B13" s="613"/>
      <c r="C13" s="341">
        <f>'2. Для заполнения'!D15</f>
        <v>7.4962500000000016</v>
      </c>
      <c r="D13" s="643" t="s">
        <v>548</v>
      </c>
      <c r="E13" s="613"/>
      <c r="F13" s="613"/>
      <c r="G13" s="171">
        <f>'2. Для заполнения'!G14</f>
        <v>3591</v>
      </c>
      <c r="H13" s="163"/>
      <c r="I13" s="145"/>
      <c r="J13" s="638"/>
      <c r="K13" s="613"/>
      <c r="L13" s="613"/>
      <c r="M13" s="613"/>
      <c r="N13" s="613"/>
      <c r="O13" s="613"/>
      <c r="P13" s="613"/>
      <c r="Q13" s="620"/>
    </row>
    <row r="14" spans="1:17" ht="21" customHeight="1">
      <c r="A14" s="617" t="s">
        <v>549</v>
      </c>
      <c r="B14" s="613"/>
      <c r="C14" s="341">
        <f>'2. Для заполнения'!D16</f>
        <v>50.666666666666536</v>
      </c>
      <c r="D14" s="643" t="s">
        <v>550</v>
      </c>
      <c r="E14" s="613"/>
      <c r="F14" s="613"/>
      <c r="G14" s="171">
        <f>'2. Для заполнения'!G15</f>
        <v>2475</v>
      </c>
      <c r="H14" s="163"/>
      <c r="I14" s="145"/>
      <c r="J14" s="641" t="str">
        <f>IF('2. Для заполнения'!B39&lt;&gt;" ", '2. Для заполнения'!H39, " ")</f>
        <v xml:space="preserve"> </v>
      </c>
      <c r="K14" s="616" t="str">
        <f>'2. Для заполнения'!B39</f>
        <v xml:space="preserve"> </v>
      </c>
      <c r="L14" s="626" t="str">
        <f>'2. Для заполнения'!C39</f>
        <v xml:space="preserve"> </v>
      </c>
      <c r="M14" s="626" t="str">
        <f>'2. Для заполнения'!D39</f>
        <v xml:space="preserve"> </v>
      </c>
      <c r="N14" s="615" t="str">
        <f>'2. Для заполнения'!E39</f>
        <v xml:space="preserve"> </v>
      </c>
      <c r="O14" s="619" t="str">
        <f>'2. Для заполнения'!F39</f>
        <v xml:space="preserve"> </v>
      </c>
      <c r="P14" s="613"/>
      <c r="Q14" s="620"/>
    </row>
    <row r="15" spans="1:17" ht="21" customHeight="1">
      <c r="A15" s="617" t="s">
        <v>551</v>
      </c>
      <c r="B15" s="613"/>
      <c r="C15" s="341" t="e">
        <f ca="1">'2. Для заполнения'!D17</f>
        <v>#REF!</v>
      </c>
      <c r="D15" s="643" t="s">
        <v>552</v>
      </c>
      <c r="E15" s="613"/>
      <c r="F15" s="613"/>
      <c r="G15" s="171">
        <f>'2. Для заполнения'!G16</f>
        <v>2469.3000000000002</v>
      </c>
      <c r="H15" s="163"/>
      <c r="I15" s="145"/>
      <c r="J15" s="638"/>
      <c r="K15" s="613"/>
      <c r="L15" s="613"/>
      <c r="M15" s="613"/>
      <c r="N15" s="613"/>
      <c r="O15" s="613"/>
      <c r="P15" s="613"/>
      <c r="Q15" s="620"/>
    </row>
    <row r="16" spans="1:17" ht="21" customHeight="1">
      <c r="A16" s="617" t="s">
        <v>553</v>
      </c>
      <c r="B16" s="613"/>
      <c r="C16" s="341">
        <f>'2. Для заполнения'!D19</f>
        <v>126</v>
      </c>
      <c r="D16" s="643" t="s">
        <v>554</v>
      </c>
      <c r="E16" s="613"/>
      <c r="F16" s="613"/>
      <c r="G16" s="171" t="str">
        <f>'2. Для заполнения'!G17</f>
        <v>Наклонно-направленный</v>
      </c>
      <c r="H16" s="164"/>
      <c r="I16" s="145"/>
      <c r="J16" s="641" t="str">
        <f>IF('2. Для заполнения'!B40&lt;&gt;" ", '2. Для заполнения'!H40, " ")</f>
        <v xml:space="preserve"> </v>
      </c>
      <c r="K16" s="616" t="str">
        <f>'2. Для заполнения'!B40</f>
        <v xml:space="preserve"> </v>
      </c>
      <c r="L16" s="626" t="str">
        <f>'2. Для заполнения'!C40</f>
        <v xml:space="preserve"> </v>
      </c>
      <c r="M16" s="626" t="str">
        <f>'2. Для заполнения'!D40</f>
        <v xml:space="preserve"> </v>
      </c>
      <c r="N16" s="615" t="str">
        <f>'2. Для заполнения'!E40</f>
        <v xml:space="preserve"> </v>
      </c>
      <c r="O16" s="619" t="str">
        <f>'2. Для заполнения'!F40</f>
        <v xml:space="preserve"> </v>
      </c>
      <c r="P16" s="613"/>
      <c r="Q16" s="620"/>
    </row>
    <row r="17" spans="1:17" ht="21" customHeight="1">
      <c r="A17" s="617" t="s">
        <v>555</v>
      </c>
      <c r="B17" s="613"/>
      <c r="C17" s="341">
        <f>'2. Для заполнения'!D20</f>
        <v>3538</v>
      </c>
      <c r="D17" s="643" t="s">
        <v>556</v>
      </c>
      <c r="E17" s="613"/>
      <c r="F17" s="613"/>
      <c r="G17" s="171" t="str">
        <f>'2. Для заполнения'!G18</f>
        <v>88,98</v>
      </c>
      <c r="H17" s="163"/>
      <c r="I17" s="145"/>
      <c r="J17" s="638"/>
      <c r="K17" s="613"/>
      <c r="L17" s="613"/>
      <c r="M17" s="613"/>
      <c r="N17" s="613"/>
      <c r="O17" s="613"/>
      <c r="P17" s="613"/>
      <c r="Q17" s="620"/>
    </row>
    <row r="18" spans="1:17" ht="21" customHeight="1">
      <c r="A18" s="617" t="s">
        <v>557</v>
      </c>
      <c r="B18" s="613"/>
      <c r="C18" s="341">
        <f>'2. Для заполнения'!D21</f>
        <v>2476.2600000000002</v>
      </c>
      <c r="D18" s="643" t="s">
        <v>558</v>
      </c>
      <c r="E18" s="613"/>
      <c r="F18" s="613"/>
      <c r="G18" s="171" t="str">
        <f>'2. Для заполнения'!G19</f>
        <v>1,5</v>
      </c>
      <c r="H18" s="163"/>
      <c r="I18" s="145"/>
      <c r="J18" s="641" t="str">
        <f>IF('2. Для заполнения'!B41&lt;&gt;" ", '2. Для заполнения'!H41, " ")</f>
        <v xml:space="preserve"> </v>
      </c>
      <c r="K18" s="616" t="str">
        <f>'2. Для заполнения'!B41</f>
        <v xml:space="preserve"> </v>
      </c>
      <c r="L18" s="626" t="str">
        <f>'2. Для заполнения'!C41</f>
        <v xml:space="preserve"> </v>
      </c>
      <c r="M18" s="626" t="str">
        <f>'2. Для заполнения'!D41</f>
        <v xml:space="preserve"> </v>
      </c>
      <c r="N18" s="615" t="str">
        <f>'2. Для заполнения'!E41</f>
        <v xml:space="preserve"> </v>
      </c>
      <c r="O18" s="619" t="str">
        <f>'2. Для заполнения'!F41</f>
        <v xml:space="preserve"> </v>
      </c>
      <c r="P18" s="613"/>
      <c r="Q18" s="620"/>
    </row>
    <row r="19" spans="1:17" ht="21" customHeight="1">
      <c r="A19" s="617" t="s">
        <v>559</v>
      </c>
      <c r="B19" s="613"/>
      <c r="C19" s="341">
        <f>'2. Для заполнения'!D22</f>
        <v>128</v>
      </c>
      <c r="D19" s="643" t="s">
        <v>560</v>
      </c>
      <c r="E19" s="613"/>
      <c r="F19" s="613"/>
      <c r="G19" s="171">
        <f>'2. Для заполнения'!G20</f>
        <v>2241.61</v>
      </c>
      <c r="H19" s="163"/>
      <c r="I19" s="145"/>
      <c r="J19" s="638"/>
      <c r="K19" s="613"/>
      <c r="L19" s="613"/>
      <c r="M19" s="613"/>
      <c r="N19" s="613"/>
      <c r="O19" s="613"/>
      <c r="P19" s="613"/>
      <c r="Q19" s="620"/>
    </row>
    <row r="20" spans="1:17" ht="21" customHeight="1">
      <c r="A20" s="617" t="s">
        <v>561</v>
      </c>
      <c r="B20" s="613"/>
      <c r="C20" s="341">
        <f>SUM(Хронология[Проходка, м])</f>
        <v>2758.16</v>
      </c>
      <c r="D20" s="643" t="s">
        <v>562</v>
      </c>
      <c r="E20" s="613"/>
      <c r="F20" s="613"/>
      <c r="G20" s="171">
        <f>'2. Для заполнения'!G24</f>
        <v>-27</v>
      </c>
      <c r="H20" s="163"/>
      <c r="I20" s="145"/>
      <c r="J20" s="641" t="str">
        <f>IF('2. Для заполнения'!B42&lt;&gt;" ", '2. Для заполнения'!H42, " ")</f>
        <v xml:space="preserve"> </v>
      </c>
      <c r="K20" s="616" t="str">
        <f>'2. Для заполнения'!B42</f>
        <v xml:space="preserve"> </v>
      </c>
      <c r="L20" s="626" t="str">
        <f>'2. Для заполнения'!C42</f>
        <v xml:space="preserve"> </v>
      </c>
      <c r="M20" s="626" t="str">
        <f>'2. Для заполнения'!D42</f>
        <v xml:space="preserve"> </v>
      </c>
      <c r="N20" s="615" t="str">
        <f>'2. Для заполнения'!E42</f>
        <v xml:space="preserve"> </v>
      </c>
      <c r="O20" s="619" t="str">
        <f>'2. Для заполнения'!F42</f>
        <v xml:space="preserve"> </v>
      </c>
      <c r="P20" s="613"/>
      <c r="Q20" s="620"/>
    </row>
    <row r="21" spans="1:17" ht="21" customHeight="1">
      <c r="A21" s="7"/>
      <c r="D21" s="643" t="s">
        <v>563</v>
      </c>
      <c r="E21" s="613"/>
      <c r="F21" s="613"/>
      <c r="G21" s="171" t="str">
        <f>'2. Для заполнения'!G25</f>
        <v>06.02.26г / 35 МПа</v>
      </c>
      <c r="H21" s="164"/>
      <c r="I21" s="145"/>
      <c r="J21" s="638"/>
      <c r="K21" s="613"/>
      <c r="L21" s="613"/>
      <c r="M21" s="613"/>
      <c r="N21" s="613"/>
      <c r="O21" s="613"/>
      <c r="P21" s="613"/>
      <c r="Q21" s="620"/>
    </row>
    <row r="22" spans="1:17" ht="21" customHeight="1">
      <c r="A22" s="7"/>
      <c r="D22" s="643" t="s">
        <v>564</v>
      </c>
      <c r="E22" s="613"/>
      <c r="F22" s="613"/>
      <c r="G22" s="171" t="str">
        <f>'2. Для заполнения'!G26</f>
        <v>ОП-5 230х35</v>
      </c>
      <c r="H22" s="163"/>
      <c r="I22" s="145"/>
      <c r="J22" s="641" t="str">
        <f>IF('2. Для заполнения'!B43&lt;&gt;" ", '2. Для заполнения'!H43, " ")</f>
        <v xml:space="preserve"> </v>
      </c>
      <c r="K22" s="616" t="str">
        <f>'2. Для заполнения'!B43</f>
        <v xml:space="preserve"> </v>
      </c>
      <c r="L22" s="626" t="str">
        <f>'2. Для заполнения'!C43</f>
        <v xml:space="preserve"> </v>
      </c>
      <c r="M22" s="626" t="str">
        <f>'2. Для заполнения'!D43</f>
        <v xml:space="preserve"> </v>
      </c>
      <c r="N22" s="615" t="str">
        <f>'2. Для заполнения'!E43</f>
        <v xml:space="preserve"> </v>
      </c>
      <c r="O22" s="619" t="str">
        <f>'2. Для заполнения'!F43</f>
        <v xml:space="preserve"> </v>
      </c>
      <c r="P22" s="613"/>
      <c r="Q22" s="620"/>
    </row>
    <row r="23" spans="1:17" ht="21" customHeight="1">
      <c r="A23" s="7"/>
      <c r="D23" s="643" t="s">
        <v>565</v>
      </c>
      <c r="E23" s="613"/>
      <c r="F23" s="613"/>
      <c r="G23" s="171" t="str">
        <f>'2. Для заполнения'!G27</f>
        <v>264,7\264,7</v>
      </c>
      <c r="H23" s="163"/>
      <c r="I23" s="145"/>
      <c r="J23" s="638"/>
      <c r="K23" s="613"/>
      <c r="L23" s="613"/>
      <c r="M23" s="613"/>
      <c r="N23" s="613"/>
      <c r="O23" s="613"/>
      <c r="P23" s="613"/>
      <c r="Q23" s="620"/>
    </row>
    <row r="24" spans="1:17" ht="21" customHeight="1">
      <c r="A24" s="679" t="s">
        <v>566</v>
      </c>
      <c r="B24" s="622"/>
      <c r="C24" s="680" t="str">
        <f>'2. Для заполнения'!D24</f>
        <v>ООО "Победит Холдинг"</v>
      </c>
      <c r="D24" s="622"/>
      <c r="E24" s="681" t="s">
        <v>567</v>
      </c>
      <c r="F24" s="622"/>
      <c r="G24" s="665" t="str">
        <f>'2. Для заполнения'!D28</f>
        <v>ООО "Интер-Сервис"</v>
      </c>
      <c r="H24" s="636"/>
      <c r="I24" s="145"/>
      <c r="J24" s="641" t="str">
        <f>IF('2. Для заполнения'!B44&lt;&gt;" ", '2. Для заполнения'!H44, " ")</f>
        <v xml:space="preserve"> </v>
      </c>
      <c r="K24" s="616" t="str">
        <f>'2. Для заполнения'!B44</f>
        <v xml:space="preserve"> </v>
      </c>
      <c r="L24" s="626" t="str">
        <f>'2. Для заполнения'!C44</f>
        <v xml:space="preserve"> </v>
      </c>
      <c r="M24" s="626" t="str">
        <f>'2. Для заполнения'!D44</f>
        <v xml:space="preserve"> </v>
      </c>
      <c r="N24" s="615" t="str">
        <f>'2. Для заполнения'!E44</f>
        <v xml:space="preserve"> </v>
      </c>
      <c r="O24" s="619" t="str">
        <f>'2. Для заполнения'!F44</f>
        <v xml:space="preserve"> </v>
      </c>
      <c r="P24" s="613"/>
      <c r="Q24" s="620"/>
    </row>
    <row r="25" spans="1:17" ht="21" customHeight="1">
      <c r="A25" s="687" t="s">
        <v>568</v>
      </c>
      <c r="B25" s="613"/>
      <c r="C25" s="685" t="str">
        <f>'2. Для заполнения'!D25</f>
        <v>ООО "Победит Холдинг"</v>
      </c>
      <c r="D25" s="613"/>
      <c r="E25" s="664" t="s">
        <v>569</v>
      </c>
      <c r="F25" s="613"/>
      <c r="G25" s="667" t="str">
        <f>'2. Для заполнения'!D29</f>
        <v>ООО "Нефтесервисная компания" "Буран"</v>
      </c>
      <c r="H25" s="620"/>
      <c r="I25" s="145"/>
      <c r="J25" s="638"/>
      <c r="K25" s="613"/>
      <c r="L25" s="613"/>
      <c r="M25" s="613"/>
      <c r="N25" s="613"/>
      <c r="O25" s="613"/>
      <c r="P25" s="613"/>
      <c r="Q25" s="620"/>
    </row>
    <row r="26" spans="1:17" ht="21" customHeight="1">
      <c r="A26" s="664" t="s">
        <v>570</v>
      </c>
      <c r="B26" s="613"/>
      <c r="C26" s="685" t="str">
        <f>'2. Для заполнения'!D26</f>
        <v>ООО "НСК Эшелон"</v>
      </c>
      <c r="D26" s="613"/>
      <c r="E26" s="664" t="s">
        <v>571</v>
      </c>
      <c r="F26" s="613"/>
      <c r="G26" s="667" t="str">
        <f>'2. Для заполнения'!D30</f>
        <v>ПФ «Востокгазгеофизика»</v>
      </c>
      <c r="H26" s="620"/>
      <c r="I26" s="145"/>
      <c r="J26" s="641" t="str">
        <f>IF('2. Для заполнения'!B45&lt;&gt;" ", '2. Для заполнения'!H45, " ")</f>
        <v xml:space="preserve"> </v>
      </c>
      <c r="K26" s="616" t="str">
        <f>'2. Для заполнения'!B45</f>
        <v xml:space="preserve"> </v>
      </c>
      <c r="L26" s="626" t="str">
        <f>'2. Для заполнения'!C45</f>
        <v xml:space="preserve"> </v>
      </c>
      <c r="M26" s="626" t="str">
        <f>'2. Для заполнения'!D45</f>
        <v xml:space="preserve"> </v>
      </c>
      <c r="N26" s="615" t="str">
        <f>'2. Для заполнения'!E45</f>
        <v xml:space="preserve"> </v>
      </c>
      <c r="O26" s="619" t="str">
        <f>'2. Для заполнения'!F45</f>
        <v xml:space="preserve"> </v>
      </c>
      <c r="P26" s="613"/>
      <c r="Q26" s="620"/>
    </row>
    <row r="27" spans="1:17" ht="21" customHeight="1">
      <c r="A27" s="640" t="s">
        <v>572</v>
      </c>
      <c r="B27" s="625"/>
      <c r="C27" s="644" t="str">
        <f>'2. Для заполнения'!D27</f>
        <v>ООО "Интер-Сервис"</v>
      </c>
      <c r="D27" s="625"/>
      <c r="E27" s="640" t="s">
        <v>573</v>
      </c>
      <c r="F27" s="625"/>
      <c r="G27" s="683" t="str">
        <f>'2. Для заполнения'!D31</f>
        <v>ООО "ЦЦС"</v>
      </c>
      <c r="H27" s="631"/>
      <c r="I27" s="145"/>
      <c r="J27" s="638"/>
      <c r="K27" s="613"/>
      <c r="L27" s="613"/>
      <c r="M27" s="613"/>
      <c r="N27" s="613"/>
      <c r="O27" s="613"/>
      <c r="P27" s="613"/>
      <c r="Q27" s="620"/>
    </row>
    <row r="28" spans="1:17" ht="21" customHeight="1">
      <c r="A28" s="145"/>
      <c r="B28" s="145"/>
      <c r="C28" s="145"/>
      <c r="D28" s="145"/>
      <c r="E28" s="145"/>
      <c r="F28" s="145"/>
      <c r="G28" s="145"/>
      <c r="H28" s="145"/>
      <c r="I28" s="145"/>
      <c r="J28" s="641" t="str">
        <f>IF('2. Для заполнения'!B46&lt;&gt;" ", '2. Для заполнения'!H46, " ")</f>
        <v xml:space="preserve"> </v>
      </c>
      <c r="K28" s="616" t="str">
        <f>'2. Для заполнения'!B46</f>
        <v xml:space="preserve"> </v>
      </c>
      <c r="L28" s="626" t="str">
        <f>'2. Для заполнения'!C46</f>
        <v xml:space="preserve"> </v>
      </c>
      <c r="M28" s="626" t="str">
        <f>'2. Для заполнения'!D46</f>
        <v xml:space="preserve"> </v>
      </c>
      <c r="N28" s="615" t="str">
        <f>'2. Для заполнения'!E46</f>
        <v xml:space="preserve"> </v>
      </c>
      <c r="O28" s="619" t="str">
        <f>'2. Для заполнения'!F46</f>
        <v xml:space="preserve"> </v>
      </c>
      <c r="P28" s="613"/>
      <c r="Q28" s="620"/>
    </row>
    <row r="29" spans="1:17" ht="21" customHeight="1">
      <c r="A29" s="633" t="s">
        <v>574</v>
      </c>
      <c r="B29" s="613"/>
      <c r="C29" s="613"/>
      <c r="D29" s="613"/>
      <c r="E29" s="613"/>
      <c r="F29" s="613"/>
      <c r="G29" s="613"/>
      <c r="H29" s="613"/>
      <c r="I29" s="145"/>
      <c r="J29" s="638"/>
      <c r="K29" s="613"/>
      <c r="L29" s="613"/>
      <c r="M29" s="613"/>
      <c r="N29" s="613"/>
      <c r="O29" s="613"/>
      <c r="P29" s="613"/>
      <c r="Q29" s="620"/>
    </row>
    <row r="30" spans="1:17" ht="21" customHeight="1">
      <c r="A30" s="684" t="s">
        <v>61</v>
      </c>
      <c r="B30" s="612" t="s">
        <v>575</v>
      </c>
      <c r="C30" s="612" t="s">
        <v>576</v>
      </c>
      <c r="D30" s="612" t="s">
        <v>577</v>
      </c>
      <c r="E30" s="612" t="s">
        <v>578</v>
      </c>
      <c r="F30" s="612" t="s">
        <v>579</v>
      </c>
      <c r="G30" s="612" t="s">
        <v>580</v>
      </c>
      <c r="H30" s="649" t="s">
        <v>581</v>
      </c>
      <c r="I30" s="145"/>
      <c r="J30" s="641" t="str">
        <f>IF('2. Для заполнения'!B47&lt;&gt;" ", '2. Для заполнения'!H47, " ")</f>
        <v xml:space="preserve"> </v>
      </c>
      <c r="K30" s="616" t="str">
        <f>'2. Для заполнения'!B47</f>
        <v xml:space="preserve"> </v>
      </c>
      <c r="L30" s="626" t="str">
        <f>'2. Для заполнения'!C47</f>
        <v xml:space="preserve"> </v>
      </c>
      <c r="M30" s="626" t="str">
        <f>'2. Для заполнения'!D47</f>
        <v xml:space="preserve"> </v>
      </c>
      <c r="N30" s="615" t="str">
        <f>'2. Для заполнения'!E47</f>
        <v xml:space="preserve"> </v>
      </c>
      <c r="O30" s="619" t="str">
        <f>'2. Для заполнения'!F47</f>
        <v xml:space="preserve"> </v>
      </c>
      <c r="P30" s="613"/>
      <c r="Q30" s="620"/>
    </row>
    <row r="31" spans="1:17" ht="21" customHeight="1" thickBot="1">
      <c r="A31" s="638"/>
      <c r="B31" s="613"/>
      <c r="C31" s="613"/>
      <c r="D31" s="613"/>
      <c r="E31" s="613"/>
      <c r="F31" s="613"/>
      <c r="G31" s="613"/>
      <c r="H31" s="620"/>
      <c r="I31" s="145"/>
      <c r="J31" s="638"/>
      <c r="K31" s="613"/>
      <c r="L31" s="613"/>
      <c r="M31" s="613"/>
      <c r="N31" s="613"/>
      <c r="O31" s="613"/>
      <c r="P31" s="613"/>
      <c r="Q31" s="620"/>
    </row>
    <row r="32" spans="1:17" ht="30" customHeight="1">
      <c r="A32" s="390" t="str">
        <f>IF('2. Для заполнения'!B71=0, " ", '2. Для заполнения'!B71)</f>
        <v>PDC TD-126,0 SVD 513-T1 S233 (4х7,9мм; 2х8,2мм) Технодрил</v>
      </c>
      <c r="B32" s="391">
        <f>IF('2. Для заполнения'!D71=0, " ", '2. Для заполнения'!D71)</f>
        <v>126</v>
      </c>
      <c r="C32" s="392" t="str">
        <f>IF('2. Для заполнения'!E71=0, " ", '2. Для заполнения'!E71)</f>
        <v>4х7,9мм; 2х8,2мм</v>
      </c>
      <c r="D32" s="393">
        <f>IF('2. Для заполнения'!F71=0, " ", '2. Для заполнения'!F71)</f>
        <v>0.18</v>
      </c>
      <c r="E32" s="393">
        <f>IF('2. Для заполнения'!G71=0, " ", '2. Для заполнения'!G71)</f>
        <v>0.18</v>
      </c>
      <c r="F32" s="393" t="str">
        <f>IF('2. Для заполнения'!H71=0, " ", '2. Для заполнения'!H71)</f>
        <v>190425</v>
      </c>
      <c r="G32" s="393" t="str">
        <f>IF('2. Для заполнения'!I71=0, " ", '2. Для заполнения'!I71)</f>
        <v>Нз76</v>
      </c>
      <c r="H32" s="394"/>
      <c r="I32" s="145"/>
      <c r="J32" s="641" t="str">
        <f>IF('2. Для заполнения'!B48&lt;&gt;" ", '2. Для заполнения'!H48, " ")</f>
        <v xml:space="preserve"> </v>
      </c>
      <c r="K32" s="616" t="str">
        <f>'2. Для заполнения'!B48</f>
        <v xml:space="preserve"> </v>
      </c>
      <c r="L32" s="626" t="str">
        <f>'2. Для заполнения'!C48</f>
        <v xml:space="preserve"> </v>
      </c>
      <c r="M32" s="626" t="str">
        <f>'2. Для заполнения'!D48</f>
        <v xml:space="preserve"> </v>
      </c>
      <c r="N32" s="615" t="str">
        <f>'2. Для заполнения'!E48</f>
        <v xml:space="preserve"> </v>
      </c>
      <c r="O32" s="619" t="str">
        <f>'2. Для заполнения'!F48</f>
        <v xml:space="preserve"> </v>
      </c>
      <c r="P32" s="613"/>
      <c r="Q32" s="620"/>
    </row>
    <row r="33" spans="1:17" ht="29.5" customHeight="1">
      <c r="A33" s="395" t="str">
        <f>IF('2. Для заполнения'!B72=0, " ", '2. Для заполнения'!B72)</f>
        <v xml:space="preserve">ДВ 106.7.531-Р 7/8 +КОБ (1º51´) ООО  "СОКОL" </v>
      </c>
      <c r="B33" s="342">
        <f>IF('2. Для заполнения'!D72=0, " ", '2. Для заполнения'!D72)</f>
        <v>108</v>
      </c>
      <c r="C33" s="389" t="str">
        <f>IF('2. Для заполнения'!E72=0, " ", '2. Для заполнения'!E72)</f>
        <v>.-</v>
      </c>
      <c r="D33" s="388">
        <f>IF('2. Для заполнения'!F72=0, " ", '2. Для заполнения'!F72)</f>
        <v>7.61</v>
      </c>
      <c r="E33" s="388">
        <f>IF('2. Для заполнения'!G72=0, " ", '2. Для заполнения'!G72)</f>
        <v>7.79</v>
      </c>
      <c r="F33" s="388" t="str">
        <f>IF('2. Для заполнения'!H72=0, " ", '2. Для заполнения'!H72)</f>
        <v>4249</v>
      </c>
      <c r="G33" s="388" t="str">
        <f>IF('2. Для заполнения'!I72=0, " ", '2. Для заполнения'!I72)</f>
        <v>Мз 86 х Мз 76</v>
      </c>
      <c r="H33" s="396"/>
      <c r="I33" s="145"/>
      <c r="J33" s="638"/>
      <c r="K33" s="613"/>
      <c r="L33" s="613"/>
      <c r="M33" s="613"/>
      <c r="N33" s="613"/>
      <c r="O33" s="613"/>
      <c r="P33" s="613"/>
      <c r="Q33" s="620"/>
    </row>
    <row r="34" spans="1:17" ht="21" customHeight="1">
      <c r="A34" s="395" t="str">
        <f>IF('2. Для заполнения'!B73=0, " ", '2. Для заполнения'!B73)</f>
        <v>Переводник Мз 73 х Нз 86</v>
      </c>
      <c r="B34" s="342">
        <f>IF('2. Для заполнения'!D73=0, " ", '2. Для заполнения'!D73)</f>
        <v>108</v>
      </c>
      <c r="C34" s="389">
        <f>IF('2. Для заполнения'!E73=0, " ", '2. Для заполнения'!E73)</f>
        <v>45</v>
      </c>
      <c r="D34" s="388">
        <f>IF('2. Для заполнения'!F73=0, " ", '2. Для заполнения'!F73)</f>
        <v>0.18</v>
      </c>
      <c r="E34" s="388">
        <f>IF('2. Для заполнения'!G73=0, " ", '2. Для заполнения'!G73)</f>
        <v>7.97</v>
      </c>
      <c r="F34" s="388" t="str">
        <f>IF('2. Для заполнения'!H73=0, " ", '2. Для заполнения'!H73)</f>
        <v>67</v>
      </c>
      <c r="G34" s="388" t="str">
        <f>IF('2. Для заполнения'!I73=0, " ", '2. Для заполнения'!I73)</f>
        <v>Мз 73 х Нз 86</v>
      </c>
      <c r="H34" s="396"/>
      <c r="I34" s="145"/>
      <c r="J34" s="641" t="str">
        <f>IF('2. Для заполнения'!B49&lt;&gt;" ", '2. Для заполнения'!H49, " ")</f>
        <v xml:space="preserve"> </v>
      </c>
      <c r="K34" s="616" t="str">
        <f>'2. Для заполнения'!B49</f>
        <v xml:space="preserve"> </v>
      </c>
      <c r="L34" s="626" t="str">
        <f>'2. Для заполнения'!C49</f>
        <v xml:space="preserve"> </v>
      </c>
      <c r="M34" s="626" t="str">
        <f>'2. Для заполнения'!D49</f>
        <v xml:space="preserve"> </v>
      </c>
      <c r="N34" s="615" t="str">
        <f>'2. Для заполнения'!E49</f>
        <v xml:space="preserve"> </v>
      </c>
      <c r="O34" s="619" t="str">
        <f>'2. Для заполнения'!F49</f>
        <v xml:space="preserve"> </v>
      </c>
      <c r="P34" s="613"/>
      <c r="Q34" s="620"/>
    </row>
    <row r="35" spans="1:17" ht="34.25" customHeight="1">
      <c r="A35" s="395" t="str">
        <f>IF('2. Для заполнения'!B74=0, " ", '2. Для заполнения'!B74)</f>
        <v>Резистивиметр (пульсатор №723,  батареи 1,2,3№1541;1638;1551,ТМС верхняя №129, ТМС нижняя №191, гамма №544, инклинометр №852)</v>
      </c>
      <c r="B35" s="342">
        <f>IF('2. Для заполнения'!D74=0, " ", '2. Для заполнения'!D74)</f>
        <v>95.2</v>
      </c>
      <c r="C35" s="389">
        <f>IF('2. Для заполнения'!E74=0, " ", '2. Для заполнения'!E74)</f>
        <v>31</v>
      </c>
      <c r="D35" s="388">
        <f>IF('2. Для заполнения'!F74=0, " ", '2. Для заполнения'!F74)</f>
        <v>9.4499999999999993</v>
      </c>
      <c r="E35" s="388">
        <f>IF('2. Для заполнения'!G74=0, " ", '2. Для заполнения'!G74)</f>
        <v>17.419999999999998</v>
      </c>
      <c r="F35" s="388" t="str">
        <f>IF('2. Для заполнения'!H74=0, " ", '2. Для заполнения'!H74)</f>
        <v>537</v>
      </c>
      <c r="G35" s="388" t="str">
        <f>IF('2. Для заполнения'!I74=0, " ", '2. Для заполнения'!I74)</f>
        <v>Мз 80 х Нз 73</v>
      </c>
      <c r="H35" s="396"/>
      <c r="I35" s="145"/>
      <c r="J35" s="638"/>
      <c r="K35" s="613"/>
      <c r="L35" s="613"/>
      <c r="M35" s="613"/>
      <c r="N35" s="613"/>
      <c r="O35" s="613"/>
      <c r="P35" s="613"/>
      <c r="Q35" s="620"/>
    </row>
    <row r="36" spans="1:17" ht="21" customHeight="1">
      <c r="A36" s="395" t="str">
        <f>IF('2. Для заполнения'!B75=0, " ", '2. Для заполнения'!B75)</f>
        <v>УБТН-95</v>
      </c>
      <c r="B36" s="342">
        <f>IF('2. Для заполнения'!D75=0, " ", '2. Для заполнения'!D75)</f>
        <v>95</v>
      </c>
      <c r="C36" s="389">
        <f>IF('2. Для заполнения'!E75=0, " ", '2. Для заполнения'!E75)</f>
        <v>55.8</v>
      </c>
      <c r="D36" s="388">
        <f>IF('2. Для заполнения'!F75=0, " ", '2. Для заполнения'!F75)</f>
        <v>9.25</v>
      </c>
      <c r="E36" s="388">
        <f>IF('2. Для заполнения'!G75=0, " ", '2. Для заполнения'!G75)</f>
        <v>26.669999999999998</v>
      </c>
      <c r="F36" s="388" t="str">
        <f>IF('2. Для заполнения'!H75=0, " ", '2. Для заполнения'!H75)</f>
        <v>80362/36598-2</v>
      </c>
      <c r="G36" s="388" t="str">
        <f>IF('2. Для заполнения'!I75=0, " ", '2. Для заполнения'!I75)</f>
        <v>Мз 80 х Нз 80</v>
      </c>
      <c r="H36" s="396"/>
      <c r="I36" s="145"/>
      <c r="J36" s="254"/>
      <c r="K36" s="255"/>
      <c r="L36" s="255"/>
      <c r="M36" s="255"/>
      <c r="N36" s="255"/>
      <c r="O36" s="693"/>
      <c r="P36" s="625"/>
      <c r="Q36" s="631"/>
    </row>
    <row r="37" spans="1:17" ht="33" customHeight="1">
      <c r="A37" s="395" t="str">
        <f>IF('2. Для заполнения'!B76=0, " ", '2. Для заполнения'!B76)</f>
        <v>Переводник Мз 86 х Нз 80</v>
      </c>
      <c r="B37" s="342">
        <f>IF('2. Для заполнения'!D76=0, " ", '2. Для заполнения'!D76)</f>
        <v>106</v>
      </c>
      <c r="C37" s="389">
        <f>IF('2. Для заполнения'!E76=0, " ", '2. Для заполнения'!E76)</f>
        <v>57.6</v>
      </c>
      <c r="D37" s="388">
        <f>IF('2. Для заполнения'!F76=0, " ", '2. Для заполнения'!F76)</f>
        <v>0.46</v>
      </c>
      <c r="E37" s="388">
        <f>IF('2. Для заполнения'!G76=0, " ", '2. Для заполнения'!G76)</f>
        <v>27.13</v>
      </c>
      <c r="F37" s="388" t="str">
        <f>IF('2. Для заполнения'!H76=0, " ", '2. Для заполнения'!H76)</f>
        <v>12025*30</v>
      </c>
      <c r="G37" s="388" t="str">
        <f>IF('2. Для заполнения'!I76=0, " ", '2. Для заполнения'!I76)</f>
        <v>Мз 86 х Нз 80</v>
      </c>
      <c r="H37" s="396"/>
      <c r="I37" s="145"/>
      <c r="J37" s="635" t="str">
        <f ca="1">"Работы, проводимые в период с 00:00 до 8:00" &amp; " " &amp; TEXT(Q3, "ДД.ММ.ГГГГ")</f>
        <v>Работы, проводимые в период с 00:00 до 8:00 29.06.2026</v>
      </c>
      <c r="K37" s="622"/>
      <c r="L37" s="622"/>
      <c r="M37" s="622"/>
      <c r="N37" s="622"/>
      <c r="O37" s="622"/>
      <c r="P37" s="622"/>
      <c r="Q37" s="636"/>
    </row>
    <row r="38" spans="1:17" ht="30" customHeight="1">
      <c r="A38" s="395" t="str">
        <f>IF('2. Для заполнения'!B77=0, " ", '2. Для заполнения'!B77)</f>
        <v>Ф106-С4</v>
      </c>
      <c r="B38" s="342">
        <f>IF('2. Для заполнения'!D77=0, " ", '2. Для заполнения'!D77)</f>
        <v>106</v>
      </c>
      <c r="C38" s="389" t="str">
        <f>IF('2. Для заполнения'!E77=0, " ", '2. Для заполнения'!E77)</f>
        <v>.-</v>
      </c>
      <c r="D38" s="388">
        <f>IF('2. Для заполнения'!F77=0, " ", '2. Для заполнения'!F77)</f>
        <v>0.51</v>
      </c>
      <c r="E38" s="388">
        <f>IF('2. Для заполнения'!G77=0, " ", '2. Для заполнения'!G77)</f>
        <v>27.64</v>
      </c>
      <c r="F38" s="388">
        <f>IF('2. Для заполнения'!H77=0, " ", '2. Для заполнения'!H77)</f>
        <v>277</v>
      </c>
      <c r="G38" s="388" t="str">
        <f>IF('2. Для заполнения'!I77=0, " ", '2. Для заполнения'!I77)</f>
        <v>Мз 86 х Нз 86</v>
      </c>
      <c r="H38" s="396"/>
      <c r="I38" s="145"/>
      <c r="J38" s="176" t="s">
        <v>31</v>
      </c>
      <c r="K38" s="174" t="s">
        <v>536</v>
      </c>
      <c r="L38" s="175" t="s">
        <v>537</v>
      </c>
      <c r="M38" s="173" t="s">
        <v>21</v>
      </c>
      <c r="N38" s="652" t="s">
        <v>538</v>
      </c>
      <c r="O38" s="613"/>
      <c r="P38" s="613"/>
      <c r="Q38" s="620"/>
    </row>
    <row r="39" spans="1:17" ht="32" customHeight="1">
      <c r="A39" s="395" t="str">
        <f>IF('2. Для заполнения'!B78=0, " ", '2. Для заполнения'!B78)</f>
        <v>СБТ-88,9х9,35мм (43 свечи)</v>
      </c>
      <c r="B39" s="342">
        <f>IF('2. Для заполнения'!D78=0, " ", '2. Для заполнения'!D78)</f>
        <v>88.9</v>
      </c>
      <c r="C39" s="389">
        <f>IF('2. Для заполнения'!E78=0, " ", '2. Для заполнения'!E78)</f>
        <v>50.8</v>
      </c>
      <c r="D39" s="388">
        <f>IF('2. Для заполнения'!F78=0, " ", '2. Для заполнения'!F78)</f>
        <v>788.46</v>
      </c>
      <c r="E39" s="388">
        <f>IF('2. Для заполнения'!G78=0, " ", '2. Для заполнения'!G78)</f>
        <v>816.1</v>
      </c>
      <c r="F39" s="388">
        <f>IF('2. Для заполнения'!H78=0, " ", '2. Для заполнения'!H78)</f>
        <v>4</v>
      </c>
      <c r="G39" s="388" t="str">
        <f>IF('2. Для заполнения'!I78=0, " ", '2. Для заполнения'!I78)</f>
        <v>Мз 86 х Нз 86</v>
      </c>
      <c r="H39" s="396"/>
      <c r="I39" s="145"/>
      <c r="J39" s="177" t="str">
        <f>IF('2. Для заполнения'!C58="", " ", '2. Для заполнения'!C58)</f>
        <v xml:space="preserve"> </v>
      </c>
      <c r="K39" s="178" t="str">
        <f>IF('2. Для заполнения'!D58="", " ", '2. Для заполнения'!D58)</f>
        <v xml:space="preserve"> </v>
      </c>
      <c r="L39" s="178" t="str">
        <f>IF('2. Для заполнения'!E58="", " ", '2. Для заполнения'!E58)</f>
        <v xml:space="preserve"> </v>
      </c>
      <c r="M39" s="179" t="str">
        <f>IF('2. Для заполнения'!B58=0, " ", '2. Для заполнения'!B58)</f>
        <v xml:space="preserve"> </v>
      </c>
      <c r="N39" s="656" t="str">
        <f>IF('2. Для заполнения'!F58=0, " ", '2. Для заполнения'!F58)</f>
        <v xml:space="preserve"> </v>
      </c>
      <c r="O39" s="613"/>
      <c r="P39" s="613"/>
      <c r="Q39" s="620"/>
    </row>
    <row r="40" spans="1:17" ht="29.5" customHeight="1">
      <c r="A40" s="395" t="str">
        <f>IF('2. Для заполнения'!B79=0, " ", '2. Для заполнения'!B79)</f>
        <v>ТБТ-К1-108-89-51 (3 свечи)</v>
      </c>
      <c r="B40" s="342">
        <f>IF('2. Для заполнения'!D79=0, " ", '2. Для заполнения'!D79)</f>
        <v>88.9</v>
      </c>
      <c r="C40" s="389">
        <f>IF('2. Для заполнения'!E79=0, " ", '2. Для заполнения'!E79)</f>
        <v>53</v>
      </c>
      <c r="D40" s="388">
        <f>IF('2. Для заполнения'!F79=0, " ", '2. Для заполнения'!F79)</f>
        <v>55.18</v>
      </c>
      <c r="E40" s="388">
        <f>IF('2. Для заполнения'!G79=0, " ", '2. Для заполнения'!G79)</f>
        <v>871.28</v>
      </c>
      <c r="F40" s="388">
        <f>IF('2. Для заполнения'!H79=0, " ", '2. Для заполнения'!H79)</f>
        <v>19</v>
      </c>
      <c r="G40" s="388" t="str">
        <f>IF('2. Для заполнения'!I79=0, " ", '2. Для заполнения'!I79)</f>
        <v>Мз 86 х Нз 86</v>
      </c>
      <c r="H40" s="396"/>
      <c r="I40" s="145"/>
      <c r="J40" s="177" t="str">
        <f>IF('2. Для заполнения'!C59="", " ", '2. Для заполнения'!C59)</f>
        <v xml:space="preserve"> </v>
      </c>
      <c r="K40" s="178" t="str">
        <f>IF('2. Для заполнения'!D59="", " ", '2. Для заполнения'!D59)</f>
        <v xml:space="preserve"> </v>
      </c>
      <c r="L40" s="178" t="str">
        <f>IF('2. Для заполнения'!E59="", " ", '2. Для заполнения'!E59)</f>
        <v xml:space="preserve"> </v>
      </c>
      <c r="M40" s="179" t="str">
        <f>IF('2. Для заполнения'!B59=0, " ", '2. Для заполнения'!B59)</f>
        <v xml:space="preserve"> </v>
      </c>
      <c r="N40" s="656" t="str">
        <f>IF('2. Для заполнения'!F59=0, " ", '2. Для заполнения'!F59)</f>
        <v xml:space="preserve"> </v>
      </c>
      <c r="O40" s="613"/>
      <c r="P40" s="613"/>
      <c r="Q40" s="620"/>
    </row>
    <row r="41" spans="1:17" ht="28.25" customHeight="1" thickBot="1">
      <c r="A41" s="397" t="str">
        <f>IF('2. Для заполнения'!B80=0, " ", '2. Для заполнения'!B80)</f>
        <v xml:space="preserve">ЯС-106 ГМ </v>
      </c>
      <c r="B41" s="398">
        <f>IF('2. Для заполнения'!D80=0, " ", '2. Для заполнения'!D80)</f>
        <v>108</v>
      </c>
      <c r="C41" s="399">
        <f>IF('2. Для заполнения'!E80=0, " ", '2. Для заполнения'!E80)</f>
        <v>50.8</v>
      </c>
      <c r="D41" s="400">
        <f>IF('2. Для заполнения'!F80=0, " ", '2. Для заполнения'!F80)</f>
        <v>5.74</v>
      </c>
      <c r="E41" s="398">
        <f>IF('2. Для заполнения'!F80=0, " ", '2. Для заполнения'!F80)</f>
        <v>5.74</v>
      </c>
      <c r="F41" s="400">
        <f>IF('2. Для заполнения'!H80=0, " ", '2. Для заполнения'!H80)</f>
        <v>146</v>
      </c>
      <c r="G41" s="400" t="str">
        <f>IF('2. Для заполнения'!I80=0, " ", '2. Для заполнения'!I80)</f>
        <v>Мз 86 х Нз 86</v>
      </c>
      <c r="H41" s="401"/>
      <c r="I41" s="145"/>
      <c r="J41" s="180" t="str">
        <f>IF('2. Для заполнения'!C60="", " ", '2. Для заполнения'!C60)</f>
        <v xml:space="preserve"> </v>
      </c>
      <c r="K41" s="181" t="str">
        <f>IF('2. Для заполнения'!D60="", " ", '2. Для заполнения'!D60)</f>
        <v xml:space="preserve"> </v>
      </c>
      <c r="L41" s="181" t="str">
        <f>IF('2. Для заполнения'!E60="", " ", '2. Для заполнения'!E60)</f>
        <v xml:space="preserve"> </v>
      </c>
      <c r="M41" s="182" t="str">
        <f>IF('2. Для заполнения'!B60=0, " ", '2. Для заполнения'!B60)</f>
        <v xml:space="preserve"> </v>
      </c>
      <c r="N41" s="674" t="str">
        <f>IF('2. Для заполнения'!F60=0, " ", '2. Для заполнения'!F60)</f>
        <v xml:space="preserve"> </v>
      </c>
      <c r="O41" s="625"/>
      <c r="P41" s="625"/>
      <c r="Q41" s="631"/>
    </row>
    <row r="42" spans="1:17" ht="23" customHeight="1">
      <c r="A42" s="342" t="str">
        <f>IF('2. Для заполнения'!B81=0, " ", '2. Для заполнения'!B81)</f>
        <v>ТБТ-К1-108-89-51 (3 свечи)</v>
      </c>
      <c r="B42" s="342" t="str">
        <f>IF('2. Для заполнения'!C81=0, " ", '2. Для заполнения'!C81)</f>
        <v xml:space="preserve"> </v>
      </c>
      <c r="C42" s="342">
        <f>IF('2. Для заполнения'!D81=0, " ", '2. Для заполнения'!D81)</f>
        <v>88.9</v>
      </c>
      <c r="D42" s="342">
        <f>IF('2. Для заполнения'!E81=0, " ", '2. Для заполнения'!E81)</f>
        <v>53</v>
      </c>
      <c r="E42" s="342">
        <f>IF('2. Для заполнения'!F81=0, " ", '2. Для заполнения'!F81)</f>
        <v>55.28</v>
      </c>
      <c r="F42" s="342">
        <f>IF('2. Для заполнения'!G81=0, " ", '2. Для заполнения'!G81)</f>
        <v>932.3</v>
      </c>
      <c r="G42" s="342">
        <f>IF('2. Для заполнения'!H81=0, " ", '2. Для заполнения'!H81)</f>
        <v>19</v>
      </c>
      <c r="H42" s="342" t="str">
        <f>IF('2. Для заполнения'!I81=0, " ", '2. Для заполнения'!I81)</f>
        <v>Мз 86 х Нз 86</v>
      </c>
      <c r="I42" s="145"/>
      <c r="J42" s="147"/>
      <c r="K42" s="147"/>
      <c r="L42" s="148"/>
      <c r="M42" s="148"/>
      <c r="N42" s="149"/>
      <c r="O42" s="149"/>
      <c r="P42" s="149"/>
      <c r="Q42" s="149"/>
    </row>
    <row r="43" spans="1:17" ht="21" customHeight="1">
      <c r="A43" s="183" t="str">
        <f>IF('2. Для заполнения'!B82=0, " ", '2. Для заполнения'!B82)</f>
        <v>СБТ-88,9х9,35мм (ост)</v>
      </c>
      <c r="B43" s="342" t="str">
        <f>IF('2. Для заполнения'!C82=0, " ", '2. Для заполнения'!C82)</f>
        <v xml:space="preserve"> </v>
      </c>
      <c r="C43" s="342">
        <f>IF('2. Для заполнения'!D82=0, " ", '2. Для заполнения'!D82)</f>
        <v>88.9</v>
      </c>
      <c r="D43" s="342">
        <f>IF('2. Для заполнения'!E82=0, " ", '2. Для заполнения'!E82)</f>
        <v>50.8</v>
      </c>
      <c r="E43" s="342">
        <f>IF('2. Для заполнения'!F82=0, " ", '2. Для заполнения'!F82)</f>
        <v>2658.7</v>
      </c>
      <c r="F43" s="342">
        <f>IF('2. Для заполнения'!G82=0, " ", '2. Для заполнения'!G82)</f>
        <v>3591</v>
      </c>
      <c r="G43" s="342">
        <f>IF('2. Для заполнения'!H82=0, " ", '2. Для заполнения'!H82)</f>
        <v>4</v>
      </c>
      <c r="H43" s="184" t="str">
        <f>IF('2. Для заполнения'!I82=0, " ", '2. Для заполнения'!I82)</f>
        <v>Мз 86 х Нз 86</v>
      </c>
      <c r="I43" s="145"/>
      <c r="J43" s="645" t="s">
        <v>582</v>
      </c>
      <c r="K43" s="625"/>
      <c r="L43" s="625"/>
      <c r="M43" s="625"/>
      <c r="N43" s="625"/>
      <c r="O43" s="625"/>
      <c r="P43" s="625"/>
      <c r="Q43" s="625"/>
    </row>
    <row r="44" spans="1:17" ht="27" customHeight="1">
      <c r="A44" s="183" t="str">
        <f>IF('2. Для заполнения'!B83=0, " ", '2. Для заполнения'!B83)</f>
        <v xml:space="preserve"> </v>
      </c>
      <c r="B44" s="342" t="str">
        <f>IF('2. Для заполнения'!C83=0, " ", '2. Для заполнения'!C83)</f>
        <v xml:space="preserve"> </v>
      </c>
      <c r="C44" s="342" t="str">
        <f>IF('2. Для заполнения'!D83=0, " ", '2. Для заполнения'!D83)</f>
        <v xml:space="preserve"> </v>
      </c>
      <c r="D44" s="342" t="str">
        <f>IF('2. Для заполнения'!E83=0, " ", '2. Для заполнения'!E83)</f>
        <v xml:space="preserve"> </v>
      </c>
      <c r="E44" s="342" t="str">
        <f>IF('2. Для заполнения'!F83=0, " ", '2. Для заполнения'!F83)</f>
        <v xml:space="preserve"> </v>
      </c>
      <c r="F44" s="342" t="str">
        <f>IF('2. Для заполнения'!G83=0, " ", '2. Для заполнения'!G83)</f>
        <v xml:space="preserve"> </v>
      </c>
      <c r="G44" s="342" t="str">
        <f>IF('2. Для заполнения'!H83=0, " ", '2. Для заполнения'!H83)</f>
        <v xml:space="preserve"> </v>
      </c>
      <c r="H44" s="184" t="str">
        <f>IF('2. Для заполнения'!I83=0, " ", '2. Для заполнения'!I83)</f>
        <v xml:space="preserve"> </v>
      </c>
      <c r="I44" s="145"/>
      <c r="J44" s="202" t="s">
        <v>9</v>
      </c>
      <c r="K44" s="661" t="s">
        <v>583</v>
      </c>
      <c r="L44" s="622"/>
      <c r="M44" s="622"/>
      <c r="N44" s="622"/>
      <c r="O44" s="622"/>
      <c r="P44" s="203" t="s">
        <v>584</v>
      </c>
      <c r="Q44" s="204" t="s">
        <v>581</v>
      </c>
    </row>
    <row r="45" spans="1:17" ht="27" customHeight="1">
      <c r="A45" s="183" t="str">
        <f>IF('2. Для заполнения'!B84=0, " ", '2. Для заполнения'!B84)</f>
        <v xml:space="preserve"> </v>
      </c>
      <c r="B45" s="342" t="str">
        <f>IF('2. Для заполнения'!C84=0, " ", '2. Для заполнения'!C84)</f>
        <v xml:space="preserve"> </v>
      </c>
      <c r="C45" s="342" t="str">
        <f>IF('2. Для заполнения'!D84=0, " ", '2. Для заполнения'!D84)</f>
        <v xml:space="preserve"> </v>
      </c>
      <c r="D45" s="342" t="str">
        <f>IF('2. Для заполнения'!E84=0, " ", '2. Для заполнения'!E84)</f>
        <v xml:space="preserve"> </v>
      </c>
      <c r="E45" s="342" t="str">
        <f>IF('2. Для заполнения'!F84=0, " ", '2. Для заполнения'!F84)</f>
        <v xml:space="preserve"> </v>
      </c>
      <c r="F45" s="342" t="str">
        <f>IF('2. Для заполнения'!G84=0, " ", '2. Для заполнения'!G84)</f>
        <v xml:space="preserve"> </v>
      </c>
      <c r="G45" s="342" t="str">
        <f>IF('2. Для заполнения'!H84=0, " ", '2. Для заполнения'!H84)</f>
        <v xml:space="preserve"> </v>
      </c>
      <c r="H45" s="184" t="str">
        <f>IF('2. Для заполнения'!I84=0, " ", '2. Для заполнения'!I84)</f>
        <v xml:space="preserve"> </v>
      </c>
      <c r="I45" s="145"/>
      <c r="J45" s="205">
        <f>'2. Для заполнения'!B100</f>
        <v>1</v>
      </c>
      <c r="K45" s="634" t="str">
        <f>IF('2. Для заполнения'!C100="", " ", '2. Для заполнения'!C100)</f>
        <v xml:space="preserve"> </v>
      </c>
      <c r="L45" s="613"/>
      <c r="M45" s="613"/>
      <c r="N45" s="613"/>
      <c r="O45" s="613"/>
      <c r="P45" s="190" t="str">
        <f>IF('2. Для заполнения'!H100="", " ", '2. Для заполнения'!H100)</f>
        <v xml:space="preserve"> </v>
      </c>
      <c r="Q45" s="194" t="str">
        <f>IF('2. Для заполнения'!I100="", " ", '2. Для заполнения'!I100)</f>
        <v xml:space="preserve"> </v>
      </c>
    </row>
    <row r="46" spans="1:17" ht="21" customHeight="1">
      <c r="A46" s="145"/>
      <c r="B46" s="145"/>
      <c r="C46" s="145"/>
      <c r="D46" s="145"/>
      <c r="E46" s="145"/>
      <c r="F46" s="145"/>
      <c r="G46" s="145"/>
      <c r="H46" s="145"/>
      <c r="I46" s="145"/>
      <c r="J46" s="205" t="str">
        <f>'2. Для заполнения'!B101</f>
        <v xml:space="preserve"> </v>
      </c>
      <c r="K46" s="634" t="str">
        <f>IF('2. Для заполнения'!C101="", " ", '2. Для заполнения'!C101)</f>
        <v xml:space="preserve"> </v>
      </c>
      <c r="L46" s="613"/>
      <c r="M46" s="613"/>
      <c r="N46" s="613"/>
      <c r="O46" s="613"/>
      <c r="P46" s="190" t="str">
        <f>IF('2. Для заполнения'!H101="", " ", '2. Для заполнения'!H101)</f>
        <v xml:space="preserve"> </v>
      </c>
      <c r="Q46" s="194" t="str">
        <f>IF('2. Для заполнения'!I101="", " ", '2. Для заполнения'!I101)</f>
        <v xml:space="preserve"> </v>
      </c>
    </row>
    <row r="47" spans="1:17" ht="21" customHeight="1">
      <c r="A47" s="633" t="s">
        <v>585</v>
      </c>
      <c r="B47" s="613"/>
      <c r="C47" s="613"/>
      <c r="D47" s="613"/>
      <c r="E47" s="633" t="s">
        <v>586</v>
      </c>
      <c r="F47" s="613"/>
      <c r="G47" s="613"/>
      <c r="H47" s="613"/>
      <c r="I47" s="145"/>
      <c r="J47" s="205" t="str">
        <f>'2. Для заполнения'!B102</f>
        <v xml:space="preserve"> </v>
      </c>
      <c r="K47" s="634" t="str">
        <f>IF('2. Для заполнения'!C102="", " ", '2. Для заполнения'!C102)</f>
        <v xml:space="preserve"> </v>
      </c>
      <c r="L47" s="613"/>
      <c r="M47" s="613"/>
      <c r="N47" s="613"/>
      <c r="O47" s="613"/>
      <c r="P47" s="190" t="str">
        <f>IF('2. Для заполнения'!H102="", " ", '2. Для заполнения'!H102)</f>
        <v xml:space="preserve"> </v>
      </c>
      <c r="Q47" s="194" t="str">
        <f>IF('2. Для заполнения'!I102="", " ", '2. Для заполнения'!I102)</f>
        <v xml:space="preserve"> </v>
      </c>
    </row>
    <row r="48" spans="1:17" ht="21" customHeight="1">
      <c r="A48" s="654" t="s">
        <v>587</v>
      </c>
      <c r="B48" s="622"/>
      <c r="C48" s="185">
        <f>IF('2. Для заполнения'!D117&lt;&gt;0, '2. Для заполнения'!D117, " ")</f>
        <v>4</v>
      </c>
      <c r="D48" s="682" t="s">
        <v>588</v>
      </c>
      <c r="E48" s="657" t="s">
        <v>589</v>
      </c>
      <c r="F48" s="622"/>
      <c r="G48" s="186" t="s">
        <v>590</v>
      </c>
      <c r="H48" s="187" t="s">
        <v>591</v>
      </c>
      <c r="I48" s="145"/>
      <c r="J48" s="205" t="str">
        <f>'2. Для заполнения'!B103</f>
        <v xml:space="preserve"> </v>
      </c>
      <c r="K48" s="634" t="str">
        <f>IF('2. Для заполнения'!C103="", " ", '2. Для заполнения'!C103)</f>
        <v xml:space="preserve"> </v>
      </c>
      <c r="L48" s="613"/>
      <c r="M48" s="613"/>
      <c r="N48" s="613"/>
      <c r="O48" s="613"/>
      <c r="P48" s="190" t="str">
        <f>IF('2. Для заполнения'!H103="", " ", '2. Для заполнения'!H103)</f>
        <v xml:space="preserve"> </v>
      </c>
      <c r="Q48" s="194" t="str">
        <f>IF('2. Для заполнения'!I103="", " ", '2. Для заполнения'!I103)</f>
        <v xml:space="preserve"> </v>
      </c>
    </row>
    <row r="49" spans="1:17" ht="21" customHeight="1">
      <c r="A49" s="618" t="s">
        <v>592</v>
      </c>
      <c r="B49" s="613"/>
      <c r="C49" s="190">
        <f>IF('2. Для заполнения'!D118&lt;&gt;0, '2. Для заполнения'!D118, " ")</f>
        <v>126</v>
      </c>
      <c r="D49" s="620"/>
      <c r="E49" s="618" t="s">
        <v>593</v>
      </c>
      <c r="F49" s="613"/>
      <c r="G49" s="192" t="str">
        <f>IF('2. Для заполнения'!D137&lt;&gt;0, '2. Для заполнения'!D137, " ")</f>
        <v>Ингибирующий хлоркалиевый</v>
      </c>
      <c r="H49" s="193" t="str">
        <f>IF('2. Для заполнения'!E137&lt;&gt;0, '2. Для заполнения'!E137, " ")</f>
        <v>Ингибирующий хлоркалиевый</v>
      </c>
      <c r="I49" s="145"/>
      <c r="J49" s="205" t="str">
        <f>'2. Для заполнения'!B104</f>
        <v xml:space="preserve"> </v>
      </c>
      <c r="K49" s="634" t="str">
        <f>IF('2. Для заполнения'!C104="", " ", '2. Для заполнения'!C104)</f>
        <v xml:space="preserve"> </v>
      </c>
      <c r="L49" s="613"/>
      <c r="M49" s="613"/>
      <c r="N49" s="613"/>
      <c r="O49" s="613"/>
      <c r="P49" s="190" t="str">
        <f>IF('2. Для заполнения'!H104="", " ", '2. Для заполнения'!H104)</f>
        <v xml:space="preserve"> </v>
      </c>
      <c r="Q49" s="194" t="str">
        <f>IF('2. Для заполнения'!I104="", " ", '2. Для заполнения'!I104)</f>
        <v xml:space="preserve"> </v>
      </c>
    </row>
    <row r="50" spans="1:17" ht="21" customHeight="1">
      <c r="A50" s="618" t="s">
        <v>594</v>
      </c>
      <c r="B50" s="613"/>
      <c r="C50" s="190" t="str">
        <f>IF('2. Для заполнения'!D119&lt;&gt;0, '2. Для заполнения'!D119, " ")</f>
        <v>PDC TD-126,0 SVD 513-T1 S233  Технодрил</v>
      </c>
      <c r="D50" s="194">
        <f>'2. Для заполнения'!G121</f>
        <v>1042</v>
      </c>
      <c r="E50" s="632" t="s">
        <v>595</v>
      </c>
      <c r="F50" s="613"/>
      <c r="G50" s="192">
        <f>IF('2. Для заполнения'!D138&lt;&gt;0, '2. Для заполнения'!D138, " ")</f>
        <v>1.1200000000000001</v>
      </c>
      <c r="H50" s="193">
        <f>IF('2. Для заполнения'!E138&lt;&gt;0, '2. Для заполнения'!E138, " ")</f>
        <v>1.1100000000000001</v>
      </c>
      <c r="I50" s="145"/>
      <c r="J50" s="205" t="str">
        <f>'2. Для заполнения'!B105</f>
        <v xml:space="preserve"> </v>
      </c>
      <c r="K50" s="634" t="str">
        <f>IF('2. Для заполнения'!C105="", " ", '2. Для заполнения'!C105)</f>
        <v xml:space="preserve"> </v>
      </c>
      <c r="L50" s="613"/>
      <c r="M50" s="613"/>
      <c r="N50" s="613"/>
      <c r="O50" s="613"/>
      <c r="P50" s="190" t="str">
        <f>IF('2. Для заполнения'!H105="", " ", '2. Для заполнения'!H105)</f>
        <v xml:space="preserve"> </v>
      </c>
      <c r="Q50" s="194" t="str">
        <f>IF('2. Для заполнения'!I105="", " ", '2. Для заполнения'!I105)</f>
        <v xml:space="preserve"> </v>
      </c>
    </row>
    <row r="51" spans="1:17" ht="21" customHeight="1">
      <c r="A51" s="618" t="s">
        <v>596</v>
      </c>
      <c r="B51" s="613"/>
      <c r="C51" s="190" t="str">
        <f>IF('2. Для заполнения'!D120&lt;&gt;0, '2. Для заполнения'!D120, " ")</f>
        <v>190425</v>
      </c>
      <c r="D51" s="190"/>
      <c r="E51" s="618" t="s">
        <v>597</v>
      </c>
      <c r="F51" s="613"/>
      <c r="G51" s="192" t="str">
        <f>IF('2. Для заполнения'!D139&lt;&gt;0, '2. Для заполнения'!D139, " ")</f>
        <v>30-60</v>
      </c>
      <c r="H51" s="193">
        <f>IF('2. Для заполнения'!E139&lt;&gt;0, '2. Для заполнения'!E139, " ")</f>
        <v>42</v>
      </c>
      <c r="I51" s="145"/>
      <c r="J51" s="205" t="str">
        <f>'2. Для заполнения'!B106</f>
        <v xml:space="preserve"> </v>
      </c>
      <c r="K51" s="634" t="str">
        <f>IF('2. Для заполнения'!C106="", " ", '2. Для заполнения'!C106)</f>
        <v xml:space="preserve"> </v>
      </c>
      <c r="L51" s="613"/>
      <c r="M51" s="613"/>
      <c r="N51" s="613"/>
      <c r="O51" s="613"/>
      <c r="P51" s="190" t="str">
        <f>IF('2. Для заполнения'!H106="", " ", '2. Для заполнения'!H106)</f>
        <v xml:space="preserve"> </v>
      </c>
      <c r="Q51" s="194" t="str">
        <f>IF('2. Для заполнения'!I106="", " ", '2. Для заполнения'!I106)</f>
        <v xml:space="preserve"> </v>
      </c>
    </row>
    <row r="52" spans="1:17" ht="21" customHeight="1">
      <c r="A52" s="618" t="s">
        <v>598</v>
      </c>
      <c r="B52" s="613"/>
      <c r="C52" s="190" t="str">
        <f>IF('2. Для заполнения'!D121&lt;&gt;0, '2. Для заполнения'!D121, " ")</f>
        <v>до 300</v>
      </c>
      <c r="D52" s="623" t="s">
        <v>599</v>
      </c>
      <c r="E52" s="632" t="s">
        <v>600</v>
      </c>
      <c r="F52" s="613"/>
      <c r="G52" s="192" t="str">
        <f>IF('2. Для заполнения'!D140&lt;&gt;0, '2. Для заполнения'!D140, " ")</f>
        <v>10-20</v>
      </c>
      <c r="H52" s="193" t="str">
        <f>IF('2. Для заполнения'!E140&lt;&gt;0, '2. Для заполнения'!E140, " ")</f>
        <v>11</v>
      </c>
      <c r="I52" s="145"/>
      <c r="J52" s="205" t="str">
        <f>'2. Для заполнения'!B107</f>
        <v xml:space="preserve"> </v>
      </c>
      <c r="K52" s="634" t="str">
        <f>IF('2. Для заполнения'!C107="", " ", '2. Для заполнения'!C107)</f>
        <v xml:space="preserve"> </v>
      </c>
      <c r="L52" s="613"/>
      <c r="M52" s="613"/>
      <c r="N52" s="613"/>
      <c r="O52" s="613"/>
      <c r="P52" s="190" t="str">
        <f>IF('2. Для заполнения'!H107="", " ", '2. Для заполнения'!H107)</f>
        <v xml:space="preserve"> </v>
      </c>
      <c r="Q52" s="194" t="str">
        <f>IF('2. Для заполнения'!I107="", " ", '2. Для заполнения'!I107)</f>
        <v xml:space="preserve"> </v>
      </c>
    </row>
    <row r="53" spans="1:17" ht="21" customHeight="1">
      <c r="A53" s="618" t="s">
        <v>601</v>
      </c>
      <c r="B53" s="613"/>
      <c r="C53" s="190" t="str">
        <f>IF('2. Для заполнения'!D122&lt;&gt;0, '2. Для заполнения'!D122, " ")</f>
        <v>до 10</v>
      </c>
      <c r="D53" s="620"/>
      <c r="E53" s="618" t="s">
        <v>602</v>
      </c>
      <c r="F53" s="613"/>
      <c r="G53" s="192" t="str">
        <f>IF('2. Для заполнения'!D141&lt;&gt;0, '2. Для заполнения'!D141, " ")</f>
        <v xml:space="preserve">15-25 </v>
      </c>
      <c r="H53" s="193" t="str">
        <f>IF('2. Для заполнения'!E141&lt;&gt;0, '2. Для заполнения'!E141, " ")</f>
        <v>19</v>
      </c>
      <c r="I53" s="145"/>
      <c r="J53" s="205" t="str">
        <f>'2. Для заполнения'!B108</f>
        <v xml:space="preserve"> </v>
      </c>
      <c r="K53" s="634" t="str">
        <f>IF('2. Для заполнения'!C108="", " ", '2. Для заполнения'!C108)</f>
        <v xml:space="preserve"> </v>
      </c>
      <c r="L53" s="613"/>
      <c r="M53" s="613"/>
      <c r="N53" s="613"/>
      <c r="O53" s="613"/>
      <c r="P53" s="190" t="str">
        <f>IF('2. Для заполнения'!H108="", " ", '2. Для заполнения'!H108)</f>
        <v xml:space="preserve"> </v>
      </c>
      <c r="Q53" s="194" t="str">
        <f>IF('2. Для заполнения'!I108="", " ", '2. Для заполнения'!I108)</f>
        <v xml:space="preserve"> </v>
      </c>
    </row>
    <row r="54" spans="1:17" ht="21" customHeight="1">
      <c r="A54" s="618" t="s">
        <v>603</v>
      </c>
      <c r="B54" s="613"/>
      <c r="C54" s="190" t="str">
        <f>IF('2. Для заполнения'!D123&lt;&gt;0, '2. Для заполнения'!D123, " ")</f>
        <v>4х7,9мм; 2х8,2мм</v>
      </c>
      <c r="D54" s="194">
        <f>'2. Для заполнения'!G124</f>
        <v>16.399999999999999</v>
      </c>
      <c r="E54" s="618" t="s">
        <v>604</v>
      </c>
      <c r="F54" s="613"/>
      <c r="G54" s="192" t="str">
        <f>IF('2. Для заполнения'!D142&lt;&gt;0, '2. Для заполнения'!D142, " ")</f>
        <v>6-15/8-20</v>
      </c>
      <c r="H54" s="193" t="str">
        <f>IF('2. Для заполнения'!E142&lt;&gt;0, '2. Для заполнения'!E142, " ")</f>
        <v>7/12</v>
      </c>
      <c r="I54" s="145"/>
      <c r="J54" s="206" t="str">
        <f>'2. Для заполнения'!B109</f>
        <v xml:space="preserve"> </v>
      </c>
      <c r="K54" s="629" t="str">
        <f>IF('2. Для заполнения'!C109="", " ", '2. Для заполнения'!C109)</f>
        <v xml:space="preserve"> </v>
      </c>
      <c r="L54" s="625"/>
      <c r="M54" s="625"/>
      <c r="N54" s="625"/>
      <c r="O54" s="625"/>
      <c r="P54" s="198" t="str">
        <f>IF('2. Для заполнения'!H109="", " ", '2. Для заполнения'!H109)</f>
        <v xml:space="preserve"> </v>
      </c>
      <c r="Q54" s="199" t="str">
        <f>IF('2. Для заполнения'!I109="", " ", '2. Для заполнения'!I109)</f>
        <v xml:space="preserve"> </v>
      </c>
    </row>
    <row r="55" spans="1:17" ht="21" customHeight="1">
      <c r="A55" s="688" t="s">
        <v>605</v>
      </c>
      <c r="B55" s="189" t="s">
        <v>606</v>
      </c>
      <c r="C55" s="190">
        <f>IF('2. Для заполнения'!D124&lt;&gt;0, '2. Для заполнения'!D124, " ")</f>
        <v>2496</v>
      </c>
      <c r="D55" s="190"/>
      <c r="E55" s="618" t="s">
        <v>607</v>
      </c>
      <c r="F55" s="613"/>
      <c r="G55" s="192" t="str">
        <f>IF('2. Для заполнения'!D143&lt;&gt;0, '2. Для заполнения'!D143, " ")</f>
        <v>&lt;0,5/ не менее 3</v>
      </c>
      <c r="H55" s="193" t="str">
        <f>IF('2. Для заполнения'!E143&lt;&gt;0, '2. Для заполнения'!E143, " ")</f>
        <v>0,2/4</v>
      </c>
      <c r="I55" s="145"/>
      <c r="J55" s="145"/>
      <c r="K55" s="145"/>
      <c r="L55" s="145"/>
      <c r="M55" s="145"/>
      <c r="N55" s="145"/>
      <c r="O55" s="145"/>
      <c r="P55" s="145"/>
      <c r="Q55" s="145"/>
    </row>
    <row r="56" spans="1:17" ht="21" customHeight="1">
      <c r="A56" s="638"/>
      <c r="B56" s="189" t="s">
        <v>608</v>
      </c>
      <c r="C56" s="190">
        <f>IF('2. Для заполнения'!D125&lt;&gt;0, '2. Для заполнения'!D125, " ")</f>
        <v>3538</v>
      </c>
      <c r="D56" s="623" t="s">
        <v>609</v>
      </c>
      <c r="E56" s="618" t="s">
        <v>610</v>
      </c>
      <c r="F56" s="613"/>
      <c r="G56" s="192" t="str">
        <f>IF('2. Для заполнения'!D144&lt;&gt;0, '2. Для заполнения'!D144, " ")</f>
        <v>&lt;0,5</v>
      </c>
      <c r="H56" s="193" t="str">
        <f>IF('2. Для заполнения'!E144&lt;&gt;0, '2. Для заполнения'!E144, " ")</f>
        <v>0,1</v>
      </c>
      <c r="I56" s="145"/>
      <c r="J56" s="645" t="s">
        <v>611</v>
      </c>
      <c r="K56" s="625"/>
      <c r="L56" s="625"/>
      <c r="M56" s="625"/>
      <c r="N56" s="625"/>
      <c r="O56" s="625"/>
      <c r="P56" s="625"/>
      <c r="Q56" s="625"/>
    </row>
    <row r="57" spans="1:17" ht="21" customHeight="1">
      <c r="A57" s="618" t="s">
        <v>612</v>
      </c>
      <c r="B57" s="613"/>
      <c r="C57" s="190">
        <f>IF('2. Для заполнения'!D126&lt;&gt;0, '2. Для заполнения'!D126, " ")</f>
        <v>128</v>
      </c>
      <c r="D57" s="620"/>
      <c r="E57" s="618" t="s">
        <v>613</v>
      </c>
      <c r="F57" s="613"/>
      <c r="G57" s="192" t="str">
        <f>IF('2. Для заполнения'!D145&lt;&gt;0, '2. Для заполнения'!D145, " ")</f>
        <v>20000-30000</v>
      </c>
      <c r="H57" s="193" t="str">
        <f>IF('2. Для заполнения'!E145&lt;&gt;0, '2. Для заполнения'!E145, " ")</f>
        <v>25000</v>
      </c>
      <c r="I57" s="145"/>
      <c r="J57" s="666" t="s">
        <v>590</v>
      </c>
      <c r="K57" s="622"/>
      <c r="L57" s="622"/>
      <c r="M57" s="622"/>
      <c r="N57" s="622"/>
      <c r="O57" s="622"/>
      <c r="P57" s="622"/>
      <c r="Q57" s="636"/>
    </row>
    <row r="58" spans="1:17" ht="21" customHeight="1">
      <c r="A58" s="618" t="s">
        <v>614</v>
      </c>
      <c r="B58" s="613"/>
      <c r="C58" s="190">
        <f>IF('2. Для заполнения'!D127&lt;&gt;0, '2. Для заполнения'!D127, " ")</f>
        <v>8.82</v>
      </c>
      <c r="D58" s="194">
        <f>'2. Для заполнения'!G127</f>
        <v>59.63</v>
      </c>
      <c r="E58" s="618" t="s">
        <v>615</v>
      </c>
      <c r="F58" s="613"/>
      <c r="G58" s="192" t="str">
        <f>IF('2. Для заполнения'!D146&lt;&gt;0, '2. Для заполнения'!D146, " ")</f>
        <v>4-6</v>
      </c>
      <c r="H58" s="193" t="str">
        <f>IF('2. Для заполнения'!E146&lt;&gt;0, '2. Для заполнения'!E146, " ")</f>
        <v>5,4</v>
      </c>
      <c r="I58" s="145"/>
      <c r="J58" s="614" t="s">
        <v>589</v>
      </c>
      <c r="K58" s="613"/>
      <c r="L58" s="648" t="s">
        <v>616</v>
      </c>
      <c r="M58" s="613"/>
      <c r="N58" s="613"/>
      <c r="O58" s="613"/>
      <c r="P58" s="613"/>
      <c r="Q58" s="620"/>
    </row>
    <row r="59" spans="1:17" ht="21" customHeight="1">
      <c r="A59" s="618" t="s">
        <v>617</v>
      </c>
      <c r="B59" s="613"/>
      <c r="C59" s="190">
        <f>IF('2. Для заполнения'!D128&lt;&gt;0, '2. Для заполнения'!D128, " ")</f>
        <v>14.512471655328797</v>
      </c>
      <c r="D59" s="190"/>
      <c r="E59" s="618" t="s">
        <v>618</v>
      </c>
      <c r="F59" s="613"/>
      <c r="G59" s="192" t="str">
        <f>IF('2. Для заполнения'!D147&lt;&gt;0, '2. Для заполнения'!D147, " ")</f>
        <v>9-10</v>
      </c>
      <c r="H59" s="193" t="str">
        <f>IF('2. Для заполнения'!E147&lt;&gt;0, '2. Для заполнения'!E147, " ")</f>
        <v>9</v>
      </c>
      <c r="I59" s="145"/>
      <c r="J59" s="614" t="s">
        <v>619</v>
      </c>
      <c r="K59" s="613"/>
      <c r="L59" s="192" t="str">
        <f>IF('2. Для заполнения'!D178&lt;&gt;0, '2. Для заполнения'!D178, " ")</f>
        <v xml:space="preserve"> </v>
      </c>
      <c r="M59" s="192" t="str">
        <f>IF('2. Для заполнения'!E178&lt;&gt;0, '2. Для заполнения'!E178, " ")</f>
        <v xml:space="preserve"> </v>
      </c>
      <c r="N59" s="192">
        <f>IF('2. Для заполнения'!F178&lt;&gt;0, '2. Для заполнения'!F178, " ")</f>
        <v>3538</v>
      </c>
      <c r="O59" s="192" t="str">
        <f>IF('2. Для заполнения'!G178&lt;&gt;0, '2. Для заполнения'!G178, " ")</f>
        <v xml:space="preserve"> </v>
      </c>
      <c r="P59" s="192" t="str">
        <f>IF('2. Для заполнения'!H178&lt;&gt;0, '2. Для заполнения'!H178, " ")</f>
        <v xml:space="preserve"> </v>
      </c>
      <c r="Q59" s="193" t="str">
        <f>IF('2. Для заполнения'!I178&lt;&gt;0, '2. Для заполнения'!I178, " ")</f>
        <v xml:space="preserve"> </v>
      </c>
    </row>
    <row r="60" spans="1:17" ht="21" customHeight="1">
      <c r="A60" s="618" t="s">
        <v>620</v>
      </c>
      <c r="B60" s="613"/>
      <c r="C60" s="190">
        <f>IF('2. Для заполнения'!D129&lt;&gt;0, '2. Для заполнения'!D129, " ")</f>
        <v>1042</v>
      </c>
      <c r="D60" s="623" t="s">
        <v>621</v>
      </c>
      <c r="E60" s="618" t="s">
        <v>622</v>
      </c>
      <c r="F60" s="613"/>
      <c r="G60" s="192" t="str">
        <f>IF('2. Для заполнения'!D148&lt;&gt;0, '2. Для заполнения'!D148, " ")</f>
        <v>&lt;25</v>
      </c>
      <c r="H60" s="193" t="str">
        <f>IF('2. Для заполнения'!E148&lt;&gt;0, '2. Для заполнения'!E148, " ")</f>
        <v>14,25</v>
      </c>
      <c r="I60" s="145"/>
      <c r="J60" s="614" t="s">
        <v>623</v>
      </c>
      <c r="K60" s="613"/>
      <c r="L60" s="192" t="str">
        <f>IF('2. Для заполнения'!D179&lt;&gt;0, '2. Для заполнения'!D179, " ")</f>
        <v xml:space="preserve"> </v>
      </c>
      <c r="M60" s="192" t="str">
        <f>IF('2. Для заполнения'!E179&lt;&gt;0, '2. Для заполнения'!E179, " ")</f>
        <v xml:space="preserve"> </v>
      </c>
      <c r="N60" s="192">
        <f>IF('2. Для заполнения'!F179&lt;&gt;0, '2. Для заполнения'!F179, " ")</f>
        <v>90.19</v>
      </c>
      <c r="O60" s="192" t="str">
        <f>IF('2. Для заполнения'!G179&lt;&gt;0, '2. Для заполнения'!G179, " ")</f>
        <v xml:space="preserve"> </v>
      </c>
      <c r="P60" s="192" t="str">
        <f>IF('2. Для заполнения'!H179&lt;&gt;0, '2. Для заполнения'!H179, " ")</f>
        <v xml:space="preserve"> </v>
      </c>
      <c r="Q60" s="193" t="str">
        <f>IF('2. Для заполнения'!I179&lt;&gt;0, '2. Для заполнения'!I179, " ")</f>
        <v xml:space="preserve"> </v>
      </c>
    </row>
    <row r="61" spans="1:17" ht="21" customHeight="1">
      <c r="A61" s="618" t="s">
        <v>624</v>
      </c>
      <c r="B61" s="613"/>
      <c r="C61" s="190">
        <f>IF('2. Для заполнения'!D130&lt;&gt;0, '2. Для заполнения'!D130, " ")</f>
        <v>16.399999999999999</v>
      </c>
      <c r="D61" s="620"/>
      <c r="E61" s="618" t="s">
        <v>625</v>
      </c>
      <c r="F61" s="613"/>
      <c r="G61" s="192" t="str">
        <f>IF('2. Для заполнения'!D149&lt;&gt;0, '2. Для заполнения'!D149, " ")</f>
        <v xml:space="preserve"> </v>
      </c>
      <c r="H61" s="193" t="str">
        <f>IF('2. Для заполнения'!E149&lt;&gt;0, '2. Для заполнения'!E149, " ")</f>
        <v xml:space="preserve"> </v>
      </c>
      <c r="I61" s="145"/>
      <c r="J61" s="614" t="s">
        <v>626</v>
      </c>
      <c r="K61" s="613"/>
      <c r="L61" s="192" t="str">
        <f>IF('2. Для заполнения'!D180&lt;&gt;0, '2. Для заполнения'!D180, " ")</f>
        <v xml:space="preserve"> </v>
      </c>
      <c r="M61" s="192" t="str">
        <f>IF('2. Для заполнения'!E180&lt;&gt;0, '2. Для заполнения'!E180, " ")</f>
        <v xml:space="preserve"> </v>
      </c>
      <c r="N61" s="192">
        <f>IF('2. Для заполнения'!F180&lt;&gt;0, '2. Для заполнения'!F180, " ")</f>
        <v>257</v>
      </c>
      <c r="O61" s="192" t="str">
        <f>IF('2. Для заполнения'!G180&lt;&gt;0, '2. Для заполнения'!G180, " ")</f>
        <v xml:space="preserve"> </v>
      </c>
      <c r="P61" s="192" t="str">
        <f>IF('2. Для заполнения'!H180&lt;&gt;0, '2. Для заполнения'!H180, " ")</f>
        <v xml:space="preserve"> </v>
      </c>
      <c r="Q61" s="193" t="str">
        <f>IF('2. Для заполнения'!I180&lt;&gt;0, '2. Для заполнения'!I180, " ")</f>
        <v xml:space="preserve"> </v>
      </c>
    </row>
    <row r="62" spans="1:17" ht="21" customHeight="1">
      <c r="A62" s="618" t="s">
        <v>627</v>
      </c>
      <c r="B62" s="613"/>
      <c r="C62" s="190">
        <f>IF('2. Для заполнения'!D131&lt;&gt;0, '2. Для заполнения'!D131, " ")</f>
        <v>59.63</v>
      </c>
      <c r="D62" s="194">
        <f>'2. Для заполнения'!G130</f>
        <v>0</v>
      </c>
      <c r="E62" s="618" t="s">
        <v>628</v>
      </c>
      <c r="F62" s="613"/>
      <c r="G62" s="192" t="str">
        <f>IF('2. Для заполнения'!D150&lt;&gt;0, '2. Для заполнения'!D150, " ")</f>
        <v>&gt;80</v>
      </c>
      <c r="H62" s="193" t="str">
        <f>IF('2. Для заполнения'!E150&lt;&gt;0, '2. Для заполнения'!E150, " ")</f>
        <v>80</v>
      </c>
      <c r="I62" s="145"/>
      <c r="J62" s="614" t="s">
        <v>629</v>
      </c>
      <c r="K62" s="613"/>
      <c r="L62" s="192" t="str">
        <f>IF('2. Для заполнения'!D181&lt;&gt;0, '2. Для заполнения'!D181, " ")</f>
        <v xml:space="preserve"> </v>
      </c>
      <c r="M62" s="192" t="str">
        <f>IF('2. Для заполнения'!E181&lt;&gt;0, '2. Для заполнения'!E181, " ")</f>
        <v xml:space="preserve"> </v>
      </c>
      <c r="N62" s="192">
        <f>IF('2. Для заполнения'!F181&lt;&gt;0, '2. Для заполнения'!F181, " ")</f>
        <v>2475.25</v>
      </c>
      <c r="O62" s="192" t="str">
        <f>IF('2. Для заполнения'!G181&lt;&gt;0, '2. Для заполнения'!G181, " ")</f>
        <v xml:space="preserve"> </v>
      </c>
      <c r="P62" s="192" t="str">
        <f>IF('2. Для заполнения'!H181&lt;&gt;0, '2. Для заполнения'!H181, " ")</f>
        <v xml:space="preserve"> </v>
      </c>
      <c r="Q62" s="193" t="str">
        <f>IF('2. Для заполнения'!I181&lt;&gt;0, '2. Для заполнения'!I181, " ")</f>
        <v xml:space="preserve"> </v>
      </c>
    </row>
    <row r="63" spans="1:17" ht="21" customHeight="1">
      <c r="A63" s="618" t="s">
        <v>630</v>
      </c>
      <c r="B63" s="613"/>
      <c r="C63" s="190" t="str">
        <f>IF('2. Для заполнения'!D132&lt;&gt;0, '2. Для заполнения'!D132, " ")</f>
        <v>New</v>
      </c>
      <c r="D63" s="194"/>
      <c r="E63" s="632" t="s">
        <v>631</v>
      </c>
      <c r="F63" s="613"/>
      <c r="G63" s="192" t="str">
        <f>IF('2. Для заполнения'!D151&lt;&gt;0, '2. Для заполнения'!D151, " ")</f>
        <v xml:space="preserve"> </v>
      </c>
      <c r="H63" s="193">
        <f>IF('2. Для заполнения'!E151&lt;&gt;0, '2. Для заполнения'!E151, " ")</f>
        <v>34</v>
      </c>
      <c r="I63" s="145"/>
      <c r="J63" s="614" t="s">
        <v>632</v>
      </c>
      <c r="K63" s="613"/>
      <c r="L63" s="192" t="str">
        <f>IF('2. Для заполнения'!D182&lt;&gt;0, '2. Для заполнения'!D182, " ")</f>
        <v xml:space="preserve"> </v>
      </c>
      <c r="M63" s="192" t="str">
        <f>IF('2. Для заполнения'!E182&lt;&gt;0, '2. Для заполнения'!E182, " ")</f>
        <v xml:space="preserve"> </v>
      </c>
      <c r="N63" s="192">
        <f>IF('2. Для заполнения'!F182&lt;&gt;0, '2. Для заполнения'!F182, " ")</f>
        <v>2164.94</v>
      </c>
      <c r="O63" s="192" t="str">
        <f>IF('2. Для заполнения'!G182&lt;&gt;0, '2. Для заполнения'!G182, " ")</f>
        <v xml:space="preserve"> </v>
      </c>
      <c r="P63" s="192" t="str">
        <f>IF('2. Для заполнения'!H182&lt;&gt;0, '2. Для заполнения'!H182, " ")</f>
        <v xml:space="preserve"> </v>
      </c>
      <c r="Q63" s="193" t="str">
        <f>IF('2. Для заполнения'!I182&lt;&gt;0, '2. Для заполнения'!I182, " ")</f>
        <v xml:space="preserve"> </v>
      </c>
    </row>
    <row r="64" spans="1:17" ht="21" customHeight="1">
      <c r="A64" s="188"/>
      <c r="B64" s="189"/>
      <c r="C64" s="190"/>
      <c r="D64" s="194"/>
      <c r="E64" s="632" t="s">
        <v>633</v>
      </c>
      <c r="F64" s="613"/>
      <c r="G64" s="192" t="str">
        <f>IF('2. Для заполнения'!D152&lt;&gt;0, '2. Для заполнения'!D152, " ")</f>
        <v xml:space="preserve"> </v>
      </c>
      <c r="H64" s="193">
        <f>IF('2. Для заполнения'!E152&lt;&gt;0, '2. Для заполнения'!E152, " ")</f>
        <v>31</v>
      </c>
      <c r="I64" s="145"/>
      <c r="J64" s="614" t="s">
        <v>634</v>
      </c>
      <c r="K64" s="613"/>
      <c r="L64" s="192" t="str">
        <f>IF('2. Для заполнения'!D183&lt;&gt;0, '2. Для заполнения'!D183, " ")</f>
        <v xml:space="preserve"> </v>
      </c>
      <c r="M64" s="192" t="str">
        <f>IF('2. Для заполнения'!E183&lt;&gt;0, '2. Для заполнения'!E183, " ")</f>
        <v xml:space="preserve"> </v>
      </c>
      <c r="N64" s="192" t="str">
        <f>IF('2. Для заполнения'!F183&lt;&gt;0, '2. Для заполнения'!F183, " ")</f>
        <v xml:space="preserve"> </v>
      </c>
      <c r="O64" s="192" t="str">
        <f>IF('2. Для заполнения'!G183&lt;&gt;0, '2. Для заполнения'!G183, " ")</f>
        <v xml:space="preserve"> </v>
      </c>
      <c r="P64" s="192" t="str">
        <f>IF('2. Для заполнения'!H183&lt;&gt;0, '2. Для заполнения'!H183, " ")</f>
        <v xml:space="preserve"> </v>
      </c>
      <c r="Q64" s="193" t="str">
        <f>IF('2. Для заполнения'!I183&lt;&gt;0, '2. Для заполнения'!I183, " ")</f>
        <v xml:space="preserve"> </v>
      </c>
    </row>
    <row r="65" spans="1:17" ht="21" customHeight="1">
      <c r="A65" s="188"/>
      <c r="B65" s="189"/>
      <c r="C65" s="190"/>
      <c r="D65" s="194"/>
      <c r="E65" s="632" t="s">
        <v>635</v>
      </c>
      <c r="F65" s="613"/>
      <c r="G65" s="192" t="str">
        <f>IF('2. Для заполнения'!D153&lt;&gt;0, '2. Для заполнения'!D153, " ")</f>
        <v xml:space="preserve"> </v>
      </c>
      <c r="H65" s="193">
        <f>IF('2. Для заполнения'!E153&lt;&gt;0, '2. Для заполнения'!E153, " ")</f>
        <v>65</v>
      </c>
      <c r="I65" s="145"/>
      <c r="J65" s="208"/>
      <c r="K65" s="190"/>
      <c r="L65" s="209"/>
      <c r="M65" s="209"/>
      <c r="N65" s="209"/>
      <c r="O65" s="209"/>
      <c r="P65" s="209"/>
      <c r="Q65" s="210"/>
    </row>
    <row r="66" spans="1:17" ht="21" customHeight="1">
      <c r="A66" s="196"/>
      <c r="B66" s="197"/>
      <c r="C66" s="198"/>
      <c r="D66" s="199"/>
      <c r="E66" s="669" t="s">
        <v>636</v>
      </c>
      <c r="F66" s="625"/>
      <c r="G66" s="200" t="str">
        <f>IF('2. Для заполнения'!D154&lt;&gt;0, '2. Для заполнения'!D154, " ")</f>
        <v xml:space="preserve"> </v>
      </c>
      <c r="H66" s="201">
        <f>IF('2. Для заполнения'!E154&lt;&gt;0, '2. Для заполнения'!E154, " ")</f>
        <v>48</v>
      </c>
      <c r="I66" s="145"/>
      <c r="J66" s="666" t="s">
        <v>591</v>
      </c>
      <c r="K66" s="622"/>
      <c r="L66" s="622"/>
      <c r="M66" s="622"/>
      <c r="N66" s="622"/>
      <c r="O66" s="622"/>
      <c r="P66" s="622"/>
      <c r="Q66" s="636"/>
    </row>
    <row r="67" spans="1:17" ht="21" customHeight="1">
      <c r="A67" s="150"/>
      <c r="B67" s="150"/>
      <c r="C67" s="146"/>
      <c r="D67" s="145"/>
      <c r="E67" s="145"/>
      <c r="F67" s="146"/>
      <c r="G67" s="146"/>
      <c r="H67" s="146"/>
      <c r="I67" s="145"/>
      <c r="J67" s="614" t="s">
        <v>589</v>
      </c>
      <c r="K67" s="613"/>
      <c r="L67" s="648" t="s">
        <v>616</v>
      </c>
      <c r="M67" s="613"/>
      <c r="N67" s="613"/>
      <c r="O67" s="613"/>
      <c r="P67" s="613"/>
      <c r="Q67" s="620"/>
    </row>
    <row r="68" spans="1:17" ht="21" customHeight="1">
      <c r="A68" s="145"/>
      <c r="B68" s="145"/>
      <c r="C68" s="145"/>
      <c r="D68" s="145"/>
      <c r="E68" s="145"/>
      <c r="F68" s="145"/>
      <c r="G68" s="145"/>
      <c r="H68" s="145"/>
      <c r="I68" s="145"/>
      <c r="J68" s="614" t="s">
        <v>619</v>
      </c>
      <c r="K68" s="613"/>
      <c r="L68" s="192" t="str">
        <f>IF('2. Для заполнения'!D187&lt;&gt;0, '2. Для заполнения'!D187, " ")</f>
        <v xml:space="preserve"> </v>
      </c>
      <c r="M68" s="192" t="str">
        <f>IF('2. Для заполнения'!E187&lt;&gt;0, '2. Для заполнения'!E187, " ")</f>
        <v xml:space="preserve"> </v>
      </c>
      <c r="N68" s="192">
        <f>IF('2. Для заполнения'!F187&lt;&gt;0, '2. Для заполнения'!F187, " ")</f>
        <v>3538</v>
      </c>
      <c r="O68" s="192" t="str">
        <f>IF('2. Для заполнения'!G187&lt;&gt;0, '2. Для заполнения'!G187, " ")</f>
        <v xml:space="preserve"> </v>
      </c>
      <c r="P68" s="192" t="str">
        <f>IF('2. Для заполнения'!H187&lt;&gt;0, '2. Для заполнения'!H187, " ")</f>
        <v xml:space="preserve"> </v>
      </c>
      <c r="Q68" s="193" t="str">
        <f>IF('2. Для заполнения'!I187&lt;&gt;0, '2. Для заполнения'!I187, " ")</f>
        <v xml:space="preserve"> </v>
      </c>
    </row>
    <row r="69" spans="1:17" ht="21" customHeight="1">
      <c r="A69" s="633" t="s">
        <v>637</v>
      </c>
      <c r="B69" s="613"/>
      <c r="C69" s="613"/>
      <c r="D69" s="613"/>
      <c r="E69" s="613"/>
      <c r="F69" s="613"/>
      <c r="G69" s="613"/>
      <c r="H69" s="613"/>
      <c r="I69" s="145"/>
      <c r="J69" s="614" t="s">
        <v>623</v>
      </c>
      <c r="K69" s="613"/>
      <c r="L69" s="192" t="str">
        <f>IF('2. Для заполнения'!D188&lt;&gt;0, '2. Для заполнения'!D188, " ")</f>
        <v xml:space="preserve"> </v>
      </c>
      <c r="M69" s="192" t="str">
        <f>IF('2. Для заполнения'!E188&lt;&gt;0, '2. Для заполнения'!E188, " ")</f>
        <v xml:space="preserve"> </v>
      </c>
      <c r="N69" s="192">
        <f>IF('2. Для заполнения'!F188&lt;&gt;0, '2. Для заполнения'!F188, " ")</f>
        <v>87.9</v>
      </c>
      <c r="O69" s="192" t="str">
        <f>IF('2. Для заполнения'!G188&lt;&gt;0, '2. Для заполнения'!G188, " ")</f>
        <v xml:space="preserve"> </v>
      </c>
      <c r="P69" s="192" t="str">
        <f>IF('2. Для заполнения'!H188&lt;&gt;0, '2. Для заполнения'!H188, " ")</f>
        <v xml:space="preserve"> </v>
      </c>
      <c r="Q69" s="193" t="str">
        <f>IF('2. Для заполнения'!I188&lt;&gt;0, '2. Для заполнения'!I188, " ")</f>
        <v xml:space="preserve"> </v>
      </c>
    </row>
    <row r="70" spans="1:17" ht="21" customHeight="1">
      <c r="A70" s="217" t="s">
        <v>638</v>
      </c>
      <c r="B70" s="203" t="s">
        <v>639</v>
      </c>
      <c r="C70" s="203" t="s">
        <v>640</v>
      </c>
      <c r="D70" s="203" t="s">
        <v>577</v>
      </c>
      <c r="E70" s="203" t="s">
        <v>641</v>
      </c>
      <c r="F70" s="203" t="s">
        <v>642</v>
      </c>
      <c r="G70" s="658" t="s">
        <v>643</v>
      </c>
      <c r="H70" s="636"/>
      <c r="I70" s="145"/>
      <c r="J70" s="614" t="s">
        <v>626</v>
      </c>
      <c r="K70" s="613"/>
      <c r="L70" s="192" t="str">
        <f>IF('2. Для заполнения'!D189&lt;&gt;0, '2. Для заполнения'!D189, " ")</f>
        <v xml:space="preserve"> </v>
      </c>
      <c r="M70" s="192" t="str">
        <f>IF('2. Для заполнения'!E189&lt;&gt;0, '2. Для заполнения'!E189, " ")</f>
        <v xml:space="preserve"> </v>
      </c>
      <c r="N70" s="192">
        <f>IF('2. Для заполнения'!F189&lt;&gt;0, '2. Для заполнения'!F189, " ")</f>
        <v>258.99</v>
      </c>
      <c r="O70" s="192" t="str">
        <f>IF('2. Для заполнения'!G189&lt;&gt;0, '2. Для заполнения'!G189, " ")</f>
        <v xml:space="preserve"> </v>
      </c>
      <c r="P70" s="192" t="str">
        <f>IF('2. Для заполнения'!H189&lt;&gt;0, '2. Для заполнения'!H189, " ")</f>
        <v xml:space="preserve"> </v>
      </c>
      <c r="Q70" s="193" t="str">
        <f>IF('2. Для заполнения'!I189&lt;&gt;0, '2. Для заполнения'!I189, " ")</f>
        <v xml:space="preserve"> </v>
      </c>
    </row>
    <row r="71" spans="1:17" ht="21" customHeight="1">
      <c r="A71" s="205">
        <f>IF('2. Для заполнения'!B171&lt;&gt;0, '2. Для заполнения'!B171, " ")</f>
        <v>4</v>
      </c>
      <c r="B71" s="229" t="str">
        <f>IF('2. Для заполнения'!C171&lt;&gt;0, '2. Для заполнения'!C171, " ")</f>
        <v>ДВ-106.Р.7/8_(1°51') ООО  "СОКОL"</v>
      </c>
      <c r="C71" s="229">
        <f>IF('2. Для заполнения'!D171&lt;&gt;0, '2. Для заполнения'!D171, " ")</f>
        <v>108</v>
      </c>
      <c r="D71" s="229">
        <f>IF('2. Для заполнения'!E171&lt;&gt;0, '2. Для заполнения'!E171, " ")</f>
        <v>7.61</v>
      </c>
      <c r="E71" s="229">
        <f>IF('2. Для заполнения'!F171&lt;&gt;0, '2. Для заполнения'!F171, " ")</f>
        <v>350.06</v>
      </c>
      <c r="F71" s="229">
        <f>IF('2. Для заполнения'!G171&lt;&gt;0, '2. Для заполнения'!G171, " ")</f>
        <v>150</v>
      </c>
      <c r="G71" s="229">
        <f>IF('2. Для заполнения'!H171&lt;&gt;0, '2. Для заполнения'!H171, " ")</f>
        <v>20.58</v>
      </c>
      <c r="H71" s="218">
        <f>IF('2. Для заполнения'!I171&lt;&gt;0, '2. Для заполнения'!I171, " ")</f>
        <v>59.63</v>
      </c>
      <c r="I71" s="145"/>
      <c r="J71" s="614" t="s">
        <v>629</v>
      </c>
      <c r="K71" s="613"/>
      <c r="L71" s="192" t="str">
        <f>IF('2. Для заполнения'!D190&lt;&gt;0, '2. Для заполнения'!D190, " ")</f>
        <v xml:space="preserve"> </v>
      </c>
      <c r="M71" s="192" t="str">
        <f>IF('2. Для заполнения'!E190&lt;&gt;0, '2. Для заполнения'!E190, " ")</f>
        <v xml:space="preserve"> </v>
      </c>
      <c r="N71" s="192">
        <f>IF('2. Для заполнения'!F190&lt;&gt;0, '2. Для заполнения'!F190, " ")</f>
        <v>2476.2600000000002</v>
      </c>
      <c r="O71" s="192" t="str">
        <f>IF('2. Для заполнения'!G190&lt;&gt;0, '2. Для заполнения'!G190, " ")</f>
        <v xml:space="preserve"> </v>
      </c>
      <c r="P71" s="192" t="str">
        <f>IF('2. Для заполнения'!H190&lt;&gt;0, '2. Для заполнения'!H190, " ")</f>
        <v xml:space="preserve"> </v>
      </c>
      <c r="Q71" s="193" t="str">
        <f>IF('2. Для заполнения'!I190&lt;&gt;0, '2. Для заполнения'!I190, " ")</f>
        <v xml:space="preserve"> </v>
      </c>
    </row>
    <row r="72" spans="1:17" ht="21" customHeight="1">
      <c r="A72" s="205" t="str">
        <f>IF('2. Для заполнения'!B172&lt;&gt;0, '2. Для заполнения'!B172, " ")</f>
        <v xml:space="preserve"> </v>
      </c>
      <c r="B72" s="229" t="str">
        <f>IF('2. Для заполнения'!C172&lt;&gt;0, '2. Для заполнения'!C172, " ")</f>
        <v xml:space="preserve"> </v>
      </c>
      <c r="C72" s="229" t="str">
        <f>IF('2. Для заполнения'!D172&lt;&gt;0, '2. Для заполнения'!D172, " ")</f>
        <v xml:space="preserve"> </v>
      </c>
      <c r="D72" s="229" t="str">
        <f>IF('2. Для заполнения'!E172&lt;&gt;0, '2. Для заполнения'!E172, " ")</f>
        <v xml:space="preserve"> </v>
      </c>
      <c r="E72" s="229" t="str">
        <f>IF('2. Для заполнения'!F172&lt;&gt;0, '2. Для заполнения'!F172, " ")</f>
        <v xml:space="preserve"> </v>
      </c>
      <c r="F72" s="229" t="str">
        <f>IF('2. Для заполнения'!G172&lt;&gt;0, '2. Для заполнения'!G172, " ")</f>
        <v xml:space="preserve"> </v>
      </c>
      <c r="G72" s="229" t="str">
        <f>IF('2. Для заполнения'!H172&lt;&gt;0, '2. Для заполнения'!H172, " ")</f>
        <v xml:space="preserve"> </v>
      </c>
      <c r="H72" s="218" t="str">
        <f>IF('2. Для заполнения'!I172&lt;&gt;0, '2. Для заполнения'!I172, " ")</f>
        <v xml:space="preserve"> </v>
      </c>
      <c r="I72" s="145"/>
      <c r="J72" s="614" t="s">
        <v>632</v>
      </c>
      <c r="K72" s="613"/>
      <c r="L72" s="192" t="str">
        <f>IF('2. Для заполнения'!D191&lt;&gt;0, '2. Для заполнения'!D191, " ")</f>
        <v xml:space="preserve"> </v>
      </c>
      <c r="M72" s="192" t="str">
        <f>IF('2. Для заполнения'!E191&lt;&gt;0, '2. Для заполнения'!E191, " ")</f>
        <v xml:space="preserve"> </v>
      </c>
      <c r="N72" s="192">
        <f>IF('2. Для заполнения'!F191&lt;&gt;0, '2. Для заполнения'!F191, " ")</f>
        <v>2166.7199999999998</v>
      </c>
      <c r="O72" s="192" t="str">
        <f>IF('2. Для заполнения'!G191&lt;&gt;0, '2. Для заполнения'!G191, " ")</f>
        <v xml:space="preserve"> </v>
      </c>
      <c r="P72" s="192" t="str">
        <f>IF('2. Для заполнения'!H191&lt;&gt;0, '2. Для заполнения'!H191, " ")</f>
        <v xml:space="preserve"> </v>
      </c>
      <c r="Q72" s="193" t="str">
        <f>IF('2. Для заполнения'!I191&lt;&gt;0, '2. Для заполнения'!I191, " ")</f>
        <v xml:space="preserve"> </v>
      </c>
    </row>
    <row r="73" spans="1:17" ht="21" customHeight="1">
      <c r="A73" s="206" t="str">
        <f>IF('2. Для заполнения'!B173&lt;&gt;0, '2. Для заполнения'!B173, " ")</f>
        <v xml:space="preserve"> </v>
      </c>
      <c r="B73" s="213" t="str">
        <f>IF('2. Для заполнения'!C173&lt;&gt;0, '2. Для заполнения'!C173, " ")</f>
        <v xml:space="preserve"> </v>
      </c>
      <c r="C73" s="213" t="str">
        <f>IF('2. Для заполнения'!D173&lt;&gt;0, '2. Для заполнения'!D173, " ")</f>
        <v xml:space="preserve"> </v>
      </c>
      <c r="D73" s="213" t="str">
        <f>IF('2. Для заполнения'!E173&lt;&gt;0, '2. Для заполнения'!E173, " ")</f>
        <v xml:space="preserve"> </v>
      </c>
      <c r="E73" s="213" t="str">
        <f>IF('2. Для заполнения'!F173&lt;&gt;0, '2. Для заполнения'!F173, " ")</f>
        <v xml:space="preserve"> </v>
      </c>
      <c r="F73" s="213" t="str">
        <f>IF('2. Для заполнения'!G173&lt;&gt;0, '2. Для заполнения'!G173, " ")</f>
        <v xml:space="preserve"> </v>
      </c>
      <c r="G73" s="213" t="str">
        <f>IF('2. Для заполнения'!H173&lt;&gt;0, '2. Для заполнения'!H173, " ")</f>
        <v xml:space="preserve"> </v>
      </c>
      <c r="H73" s="214" t="str">
        <f>IF('2. Для заполнения'!I173&lt;&gt;0, '2. Для заполнения'!I173, " ")</f>
        <v xml:space="preserve"> </v>
      </c>
      <c r="I73" s="145"/>
      <c r="J73" s="614" t="s">
        <v>634</v>
      </c>
      <c r="K73" s="613"/>
      <c r="L73" s="192" t="str">
        <f>IF('2. Для заполнения'!D192&lt;&gt;0, '2. Для заполнения'!D192, " ")</f>
        <v xml:space="preserve"> </v>
      </c>
      <c r="M73" s="192" t="str">
        <f>IF('2. Для заполнения'!E192&lt;&gt;0, '2. Для заполнения'!E192, " ")</f>
        <v xml:space="preserve"> </v>
      </c>
      <c r="N73" s="192">
        <f>IF('2. Для заполнения'!F192&lt;&gt;0, '2. Для заполнения'!F192, " ")</f>
        <v>0.32</v>
      </c>
      <c r="O73" s="192" t="str">
        <f>IF('2. Для заполнения'!G192&lt;&gt;0, '2. Для заполнения'!G192, " ")</f>
        <v xml:space="preserve"> </v>
      </c>
      <c r="P73" s="192" t="str">
        <f>IF('2. Для заполнения'!H192&lt;&gt;0, '2. Для заполнения'!H192, " ")</f>
        <v xml:space="preserve"> </v>
      </c>
      <c r="Q73" s="193" t="str">
        <f>IF('2. Для заполнения'!I192&lt;&gt;0, '2. Для заполнения'!I192, " ")</f>
        <v xml:space="preserve"> </v>
      </c>
    </row>
    <row r="74" spans="1:17" ht="21" customHeight="1">
      <c r="A74" s="145"/>
      <c r="B74" s="145"/>
      <c r="C74" s="145"/>
      <c r="D74" s="145"/>
      <c r="E74" s="145"/>
      <c r="F74" s="145"/>
      <c r="G74" s="145"/>
      <c r="H74" s="145"/>
      <c r="I74" s="145"/>
      <c r="J74" s="208"/>
      <c r="K74" s="190"/>
      <c r="L74" s="209"/>
      <c r="M74" s="209"/>
      <c r="N74" s="209"/>
      <c r="O74" s="209"/>
      <c r="P74" s="209"/>
      <c r="Q74" s="210"/>
    </row>
    <row r="75" spans="1:17" ht="21" customHeight="1">
      <c r="A75" s="633" t="s">
        <v>644</v>
      </c>
      <c r="B75" s="613"/>
      <c r="C75" s="613"/>
      <c r="D75" s="613"/>
      <c r="E75" s="613"/>
      <c r="F75" s="613"/>
      <c r="G75" s="613"/>
      <c r="H75" s="613"/>
      <c r="I75" s="145"/>
      <c r="J75" s="666" t="s">
        <v>645</v>
      </c>
      <c r="K75" s="622"/>
      <c r="L75" s="622"/>
      <c r="M75" s="622"/>
      <c r="N75" s="622"/>
      <c r="O75" s="622"/>
      <c r="P75" s="622"/>
      <c r="Q75" s="636"/>
    </row>
    <row r="76" spans="1:17" ht="21" customHeight="1">
      <c r="A76" s="663" t="s">
        <v>646</v>
      </c>
      <c r="B76" s="672" t="s">
        <v>647</v>
      </c>
      <c r="C76" s="642" t="s">
        <v>648</v>
      </c>
      <c r="D76" s="672" t="s">
        <v>649</v>
      </c>
      <c r="E76" s="642" t="s">
        <v>650</v>
      </c>
      <c r="F76" s="672" t="s">
        <v>651</v>
      </c>
      <c r="G76" s="642" t="s">
        <v>652</v>
      </c>
      <c r="H76" s="647" t="s">
        <v>653</v>
      </c>
      <c r="I76" s="145"/>
      <c r="J76" s="614" t="s">
        <v>589</v>
      </c>
      <c r="K76" s="613"/>
      <c r="L76" s="648" t="s">
        <v>616</v>
      </c>
      <c r="M76" s="613"/>
      <c r="N76" s="613"/>
      <c r="O76" s="613"/>
      <c r="P76" s="613"/>
      <c r="Q76" s="620"/>
    </row>
    <row r="77" spans="1:17" ht="21" customHeight="1">
      <c r="A77" s="638"/>
      <c r="B77" s="613"/>
      <c r="C77" s="613"/>
      <c r="D77" s="613"/>
      <c r="E77" s="613"/>
      <c r="F77" s="613"/>
      <c r="G77" s="613"/>
      <c r="H77" s="620"/>
      <c r="I77" s="145"/>
      <c r="J77" s="614" t="s">
        <v>619</v>
      </c>
      <c r="K77" s="613"/>
      <c r="L77" s="192" t="str">
        <f>IF('2. Для заполнения'!D196 &lt;&gt;0, '2. Для заполнения'!D196, " ")</f>
        <v xml:space="preserve"> </v>
      </c>
      <c r="M77" s="192" t="str">
        <f>IF('2. Для заполнения'!E196 &lt;&gt;0, '2. Для заполнения'!E196, " ")</f>
        <v xml:space="preserve"> </v>
      </c>
      <c r="N77" s="192" t="str">
        <f>IF('2. Для заполнения'!F196 &lt;&gt;0, '2. Для заполнения'!F196, " ")</f>
        <v xml:space="preserve"> </v>
      </c>
      <c r="O77" s="192" t="str">
        <f>IF('2. Для заполнения'!G196 &lt;&gt;0, '2. Для заполнения'!G196, " ")</f>
        <v xml:space="preserve"> </v>
      </c>
      <c r="P77" s="192" t="str">
        <f>IF('2. Для заполнения'!H196 &lt;&gt;0, '2. Для заполнения'!H196, " ")</f>
        <v xml:space="preserve"> </v>
      </c>
      <c r="Q77" s="193" t="str">
        <f>IF('2. Для заполнения'!I196 &lt;&gt;0, '2. Для заполнения'!I196, " ")</f>
        <v xml:space="preserve"> </v>
      </c>
    </row>
    <row r="78" spans="1:17" ht="21" customHeight="1">
      <c r="A78" s="216">
        <f>IF('2. Для заполнения'!B158&lt;&gt;0, '2. Для заполнения'!B158, " ")</f>
        <v>195</v>
      </c>
      <c r="B78" s="207">
        <f>IF('2. Для заполнения'!C158&lt;&gt;0, '2. Для заполнения'!C158, " ")</f>
        <v>110</v>
      </c>
      <c r="C78" s="207">
        <f>IF('2. Для заполнения'!D158&lt;&gt;0, '2. Для заполнения'!D158, " ")</f>
        <v>114</v>
      </c>
      <c r="D78" s="207">
        <f>IF('2. Для заполнения'!E158&lt;&gt;0, '2. Для заполнения'!E158, " ")</f>
        <v>36</v>
      </c>
      <c r="E78" s="207">
        <f>IF('2. Для заполнения'!F158&lt;&gt;0, '2. Для заполнения'!F158, " ")</f>
        <v>12</v>
      </c>
      <c r="F78" s="207">
        <f>IF('2. Для заполнения'!G158&lt;&gt;0, '2. Для заполнения'!G158, " ")</f>
        <v>47</v>
      </c>
      <c r="G78" s="207" t="str">
        <f>IF('2. Для заполнения'!H158&lt;&gt;0, '2. Для заполнения'!H158, " ")</f>
        <v xml:space="preserve"> </v>
      </c>
      <c r="H78" s="191" t="str">
        <f>IF('2. Для заполнения'!I158&lt;&gt;0, '2. Для заполнения'!I158, " ")</f>
        <v xml:space="preserve"> </v>
      </c>
      <c r="I78" s="145"/>
      <c r="J78" s="614" t="s">
        <v>623</v>
      </c>
      <c r="K78" s="613"/>
      <c r="L78" s="192" t="str">
        <f>IF('2. Для заполнения'!D197 &lt;&gt;0, '2. Для заполнения'!D197, " ")</f>
        <v xml:space="preserve"> </v>
      </c>
      <c r="M78" s="192" t="str">
        <f>IF('2. Для заполнения'!E197 &lt;&gt;0, '2. Для заполнения'!E197, " ")</f>
        <v xml:space="preserve"> </v>
      </c>
      <c r="N78" s="192">
        <f>IF('2. Для заполнения'!F197 &lt;&gt;0, '2. Для заполнения'!F197, " ")</f>
        <v>2.289999999999992</v>
      </c>
      <c r="O78" s="192" t="str">
        <f>IF('2. Для заполнения'!G197 &lt;&gt;0, '2. Для заполнения'!G197, " ")</f>
        <v xml:space="preserve"> </v>
      </c>
      <c r="P78" s="192" t="str">
        <f>IF('2. Для заполнения'!H197 &lt;&gt;0, '2. Для заполнения'!H197, " ")</f>
        <v xml:space="preserve"> </v>
      </c>
      <c r="Q78" s="193" t="str">
        <f>IF('2. Для заполнения'!I197 &lt;&gt;0, '2. Для заполнения'!I197, " ")</f>
        <v xml:space="preserve"> </v>
      </c>
    </row>
    <row r="79" spans="1:17" ht="21" customHeight="1">
      <c r="A79" s="220" t="str">
        <f>IF('2. Для заполнения'!B159&lt;&gt;0, '2. Для заполнения'!B159, " ")</f>
        <v xml:space="preserve"> </v>
      </c>
      <c r="B79" s="221" t="str">
        <f>IF('2. Для заполнения'!C159&lt;&gt;0, '2. Для заполнения'!C159, " ")</f>
        <v xml:space="preserve"> </v>
      </c>
      <c r="C79" s="221" t="str">
        <f>IF('2. Для заполнения'!D159&lt;&gt;0, '2. Для заполнения'!D159, " ")</f>
        <v xml:space="preserve"> </v>
      </c>
      <c r="D79" s="221" t="str">
        <f>IF('2. Для заполнения'!E159&lt;&gt;0, '2. Для заполнения'!E159, " ")</f>
        <v xml:space="preserve"> </v>
      </c>
      <c r="E79" s="221" t="str">
        <f>IF('2. Для заполнения'!F159&lt;&gt;0, '2. Для заполнения'!F159, " ")</f>
        <v xml:space="preserve"> </v>
      </c>
      <c r="F79" s="221" t="str">
        <f>IF('2. Для заполнения'!G159&lt;&gt;0, '2. Для заполнения'!G159, " ")</f>
        <v xml:space="preserve"> </v>
      </c>
      <c r="G79" s="221" t="str">
        <f>IF('2. Для заполнения'!H159&lt;&gt;0, '2. Для заполнения'!H159, " ")</f>
        <v xml:space="preserve"> </v>
      </c>
      <c r="H79" s="222" t="str">
        <f>IF('2. Для заполнения'!I159&lt;&gt;0, '2. Для заполнения'!I159, " ")</f>
        <v xml:space="preserve"> </v>
      </c>
      <c r="I79" s="145"/>
      <c r="J79" s="614" t="s">
        <v>626</v>
      </c>
      <c r="K79" s="613"/>
      <c r="L79" s="192" t="str">
        <f>IF('2. Для заполнения'!D198 &lt;&gt;0, '2. Для заполнения'!D198, " ")</f>
        <v xml:space="preserve"> </v>
      </c>
      <c r="M79" s="192" t="str">
        <f>IF('2. Для заполнения'!E198 &lt;&gt;0, '2. Для заполнения'!E198, " ")</f>
        <v xml:space="preserve"> </v>
      </c>
      <c r="N79" s="192">
        <f>IF('2. Для заполнения'!F198 &lt;&gt;0, '2. Для заполнения'!F198, " ")</f>
        <v>-1.9900000000000091</v>
      </c>
      <c r="O79" s="192" t="str">
        <f>IF('2. Для заполнения'!G198 &lt;&gt;0, '2. Для заполнения'!G198, " ")</f>
        <v xml:space="preserve"> </v>
      </c>
      <c r="P79" s="192" t="str">
        <f>IF('2. Для заполнения'!H198 &lt;&gt;0, '2. Для заполнения'!H198, " ")</f>
        <v xml:space="preserve"> </v>
      </c>
      <c r="Q79" s="193" t="str">
        <f>IF('2. Для заполнения'!I198 &lt;&gt;0, '2. Для заполнения'!I198, " ")</f>
        <v xml:space="preserve"> </v>
      </c>
    </row>
    <row r="80" spans="1:17" ht="21" customHeight="1">
      <c r="A80" s="145"/>
      <c r="B80" s="145"/>
      <c r="C80" s="145"/>
      <c r="D80" s="145"/>
      <c r="E80" s="145"/>
      <c r="F80" s="145"/>
      <c r="G80" s="145"/>
      <c r="H80" s="145"/>
      <c r="I80" s="145"/>
      <c r="J80" s="614" t="s">
        <v>629</v>
      </c>
      <c r="K80" s="613"/>
      <c r="L80" s="192" t="str">
        <f>IF('2. Для заполнения'!D199 &lt;&gt;0, '2. Для заполнения'!D199, " ")</f>
        <v xml:space="preserve"> </v>
      </c>
      <c r="M80" s="192" t="str">
        <f>IF('2. Для заполнения'!E199 &lt;&gt;0, '2. Для заполнения'!E199, " ")</f>
        <v xml:space="preserve"> </v>
      </c>
      <c r="N80" s="192">
        <f>IF('2. Для заполнения'!F199 &lt;&gt;0, '2. Для заполнения'!F199, " ")</f>
        <v>-1.0100000000002183</v>
      </c>
      <c r="O80" s="192" t="str">
        <f>IF('2. Для заполнения'!G199 &lt;&gt;0, '2. Для заполнения'!G199, " ")</f>
        <v xml:space="preserve"> </v>
      </c>
      <c r="P80" s="192" t="str">
        <f>IF('2. Для заполнения'!H199 &lt;&gt;0, '2. Для заполнения'!H199, " ")</f>
        <v xml:space="preserve"> </v>
      </c>
      <c r="Q80" s="193" t="str">
        <f>IF('2. Для заполнения'!I199 &lt;&gt;0, '2. Для заполнения'!I199, " ")</f>
        <v xml:space="preserve"> </v>
      </c>
    </row>
    <row r="81" spans="1:17" ht="21" customHeight="1">
      <c r="A81" s="633" t="s">
        <v>654</v>
      </c>
      <c r="B81" s="613"/>
      <c r="C81" s="613"/>
      <c r="D81" s="613"/>
      <c r="E81" s="613"/>
      <c r="F81" s="613"/>
      <c r="G81" s="613"/>
      <c r="H81" s="613"/>
      <c r="I81" s="145"/>
      <c r="J81" s="614" t="s">
        <v>632</v>
      </c>
      <c r="K81" s="613"/>
      <c r="L81" s="192" t="str">
        <f>IF('2. Для заполнения'!D200 &lt;&gt;0, '2. Для заполнения'!D200, " ")</f>
        <v xml:space="preserve"> </v>
      </c>
      <c r="M81" s="192" t="str">
        <f>IF('2. Для заполнения'!E200 &lt;&gt;0, '2. Для заполнения'!E200, " ")</f>
        <v xml:space="preserve"> </v>
      </c>
      <c r="N81" s="192">
        <f>IF('2. Для заполнения'!F200 &lt;&gt;0, '2. Для заполнения'!F200, " ")</f>
        <v>-1.7799999999997453</v>
      </c>
      <c r="O81" s="192" t="str">
        <f>IF('2. Для заполнения'!G200 &lt;&gt;0, '2. Для заполнения'!G200, " ")</f>
        <v xml:space="preserve"> </v>
      </c>
      <c r="P81" s="192" t="str">
        <f>IF('2. Для заполнения'!H200 &lt;&gt;0, '2. Для заполнения'!H200, " ")</f>
        <v xml:space="preserve"> </v>
      </c>
      <c r="Q81" s="193" t="str">
        <f>IF('2. Для заполнения'!I200 &lt;&gt;0, '2. Для заполнения'!I200, " ")</f>
        <v xml:space="preserve"> </v>
      </c>
    </row>
    <row r="82" spans="1:17" ht="21" customHeight="1">
      <c r="A82" s="689" t="s">
        <v>655</v>
      </c>
      <c r="B82" s="622"/>
      <c r="C82" s="622"/>
      <c r="D82" s="622"/>
      <c r="E82" s="219" t="s">
        <v>656</v>
      </c>
      <c r="F82" s="219" t="s">
        <v>657</v>
      </c>
      <c r="G82" s="219" t="s">
        <v>658</v>
      </c>
      <c r="H82" s="223" t="s">
        <v>659</v>
      </c>
      <c r="I82" s="145"/>
      <c r="J82" s="614" t="s">
        <v>634</v>
      </c>
      <c r="K82" s="613"/>
      <c r="L82" s="192" t="str">
        <f>IF('2. Для заполнения'!D201 &lt;&gt;0, '2. Для заполнения'!D201, " ")</f>
        <v xml:space="preserve"> </v>
      </c>
      <c r="M82" s="192" t="str">
        <f>IF('2. Для заполнения'!E201 &lt;&gt;0, '2. Для заполнения'!E201, " ")</f>
        <v xml:space="preserve"> </v>
      </c>
      <c r="N82" s="192">
        <f>IF('2. Для заполнения'!F201 &lt;&gt;0, '2. Для заполнения'!F201, " ")</f>
        <v>-0.32</v>
      </c>
      <c r="O82" s="192" t="str">
        <f>IF('2. Для заполнения'!G201 &lt;&gt;0, '2. Для заполнения'!G201, " ")</f>
        <v xml:space="preserve"> </v>
      </c>
      <c r="P82" s="192" t="str">
        <f>IF('2. Для заполнения'!H201 &lt;&gt;0, '2. Для заполнения'!H201, " ")</f>
        <v xml:space="preserve"> </v>
      </c>
      <c r="Q82" s="193" t="str">
        <f>IF('2. Для заполнения'!I201 &lt;&gt;0, '2. Для заполнения'!I201, " ")</f>
        <v xml:space="preserve"> </v>
      </c>
    </row>
    <row r="83" spans="1:17" ht="21" customHeight="1">
      <c r="A83" s="651" t="s">
        <v>660</v>
      </c>
      <c r="B83" s="613"/>
      <c r="C83" s="613"/>
      <c r="D83" s="613"/>
      <c r="E83" s="207" t="str">
        <f>IF('2. Для заполнения'!C164 &lt;&gt;0, '2. Для заполнения'!C164, " ")</f>
        <v>270/270/200/200</v>
      </c>
      <c r="F83" s="207" t="str">
        <f>IF('2. Для заполнения'!D164 &lt;&gt;0, '2. Для заполнения'!D164, " ")</f>
        <v>270/270/270/200</v>
      </c>
      <c r="G83" s="207" t="str">
        <f>IF('2. Для заполнения'!E164 &lt;&gt;0, '2. Для заполнения'!E164, " ")</f>
        <v>325/325/325/325</v>
      </c>
      <c r="H83" s="191" t="str">
        <f>IF('2. Для заполнения'!F164 &lt;&gt;0, '2. Для заполнения'!F164, " ")</f>
        <v xml:space="preserve"> </v>
      </c>
      <c r="I83" s="145"/>
      <c r="J83" s="624" t="s">
        <v>661</v>
      </c>
      <c r="K83" s="625"/>
      <c r="L83" s="625"/>
      <c r="M83" s="655"/>
      <c r="N83" s="625"/>
      <c r="O83" s="625"/>
      <c r="P83" s="625"/>
      <c r="Q83" s="631"/>
    </row>
    <row r="84" spans="1:17" ht="21" customHeight="1">
      <c r="A84" s="651" t="s">
        <v>662</v>
      </c>
      <c r="B84" s="613"/>
      <c r="C84" s="613"/>
      <c r="D84" s="613"/>
      <c r="E84" s="623" t="str">
        <f>IF('2. Для заполнения'!C165 &lt;&gt;0, '2. Для заполнения'!C165, " ")</f>
        <v>1,12/1,05 (1,71)</v>
      </c>
      <c r="F84" s="613"/>
      <c r="G84" s="613"/>
      <c r="H84" s="620"/>
      <c r="I84" s="145"/>
      <c r="J84" s="145"/>
      <c r="K84" s="145"/>
      <c r="L84" s="145"/>
      <c r="M84" s="145"/>
      <c r="N84" s="145"/>
      <c r="O84" s="145"/>
      <c r="P84" s="145"/>
      <c r="Q84" s="145"/>
    </row>
    <row r="85" spans="1:17" ht="21" customHeight="1">
      <c r="A85" s="651" t="s">
        <v>663</v>
      </c>
      <c r="B85" s="613"/>
      <c r="C85" s="613"/>
      <c r="D85" s="613"/>
      <c r="E85" s="623" t="str">
        <f>IF('2. Для заполнения'!C166 &lt;&gt;0, '2. Для заполнения'!C166, " ")</f>
        <v>1,22/1,37</v>
      </c>
      <c r="F85" s="613"/>
      <c r="G85" s="613"/>
      <c r="H85" s="620"/>
      <c r="I85" s="145"/>
      <c r="J85" s="645" t="s">
        <v>664</v>
      </c>
      <c r="K85" s="625"/>
      <c r="L85" s="625"/>
      <c r="M85" s="625"/>
      <c r="N85" s="625"/>
      <c r="O85" s="625"/>
      <c r="P85" s="625"/>
      <c r="Q85" s="625"/>
    </row>
    <row r="86" spans="1:17" ht="21" customHeight="1">
      <c r="A86" s="692" t="s">
        <v>665</v>
      </c>
      <c r="B86" s="625"/>
      <c r="C86" s="625"/>
      <c r="D86" s="625"/>
      <c r="E86" s="221" t="str">
        <f>IF('2. Для заполнения'!C167 &lt;&gt;0, '2. Для заполнения'!C167, " ")</f>
        <v>12/2</v>
      </c>
      <c r="F86" s="221"/>
      <c r="G86" s="221"/>
      <c r="H86" s="222"/>
      <c r="I86" s="145"/>
      <c r="J86" s="666" t="s">
        <v>666</v>
      </c>
      <c r="K86" s="622"/>
      <c r="L86" s="636"/>
      <c r="M86" s="666" t="s">
        <v>667</v>
      </c>
      <c r="N86" s="622"/>
      <c r="O86" s="622"/>
      <c r="P86" s="622"/>
      <c r="Q86" s="636"/>
    </row>
    <row r="87" spans="1:17" ht="21" customHeight="1">
      <c r="A87" s="152"/>
      <c r="B87" s="152"/>
      <c r="C87" s="151"/>
      <c r="D87" s="151"/>
      <c r="E87" s="151"/>
      <c r="F87" s="151"/>
      <c r="G87" s="151"/>
      <c r="H87" s="151"/>
      <c r="I87" s="145"/>
      <c r="J87" s="215" t="s">
        <v>9</v>
      </c>
      <c r="K87" s="175" t="s">
        <v>668</v>
      </c>
      <c r="L87" s="175" t="s">
        <v>584</v>
      </c>
      <c r="M87" s="663" t="s">
        <v>669</v>
      </c>
      <c r="N87" s="622"/>
      <c r="O87" s="219" t="s">
        <v>670</v>
      </c>
      <c r="P87" s="219" t="s">
        <v>671</v>
      </c>
      <c r="Q87" s="223" t="s">
        <v>672</v>
      </c>
    </row>
    <row r="88" spans="1:17" ht="21" customHeight="1">
      <c r="A88" s="633" t="s">
        <v>673</v>
      </c>
      <c r="B88" s="613"/>
      <c r="C88" s="613"/>
      <c r="D88" s="613"/>
      <c r="E88" s="613"/>
      <c r="F88" s="613"/>
      <c r="G88" s="613"/>
      <c r="H88" s="613"/>
      <c r="I88" s="145"/>
      <c r="J88" s="256">
        <f>'2. Для заполнения'!B208</f>
        <v>1</v>
      </c>
      <c r="K88" s="227" t="str">
        <f>IF('2. Для заполнения'!C208&lt;&gt;0, '2. Для заполнения'!C208, " ")</f>
        <v>Вакуумник УРАЛ С 613 РВ 70</v>
      </c>
      <c r="L88" s="259">
        <f>IF('2. Для заполнения'!D208&lt;&gt;0, '2. Для заполнения'!D208, " ")</f>
        <v>1</v>
      </c>
      <c r="M88" s="627">
        <f>'2. Для заполнения'!F208</f>
        <v>0</v>
      </c>
      <c r="N88" s="613"/>
      <c r="O88" s="207">
        <f>IF('2. Для заполнения'!G208&lt;&gt;0, '2. Для заполнения'!G208, " ")</f>
        <v>24</v>
      </c>
      <c r="P88" s="207"/>
      <c r="Q88" s="191">
        <f>'2. Для заполнения'!I208</f>
        <v>1284</v>
      </c>
    </row>
    <row r="89" spans="1:17" ht="34.25" customHeight="1">
      <c r="A89" s="662" t="s">
        <v>674</v>
      </c>
      <c r="B89" s="639" t="s">
        <v>675</v>
      </c>
      <c r="C89" s="639" t="s">
        <v>676</v>
      </c>
      <c r="D89" s="639" t="s">
        <v>677</v>
      </c>
      <c r="E89" s="639" t="s">
        <v>678</v>
      </c>
      <c r="F89" s="639" t="s">
        <v>679</v>
      </c>
      <c r="G89" s="639" t="s">
        <v>680</v>
      </c>
      <c r="H89" s="682" t="s">
        <v>681</v>
      </c>
      <c r="I89" s="145"/>
      <c r="J89" s="257">
        <f>'2. Для заполнения'!B209</f>
        <v>2</v>
      </c>
      <c r="K89" s="207" t="str">
        <f>IF('2. Для заполнения'!C209&lt;&gt;0, '2. Для заполнения'!C209, " ")</f>
        <v>Площадка УРАЛ Н 748 ТО 174</v>
      </c>
      <c r="L89" s="193">
        <f>IF('2. Для заполнения'!D209&lt;&gt;0, '2. Для заполнения'!D209, " ")</f>
        <v>1</v>
      </c>
      <c r="M89" s="627">
        <f>'2. Для заполнения'!F209</f>
        <v>0</v>
      </c>
      <c r="N89" s="613"/>
      <c r="O89" s="207" t="str">
        <f>IF('2. Для заполнения'!G209&lt;&gt;0, '2. Для заполнения'!G209, " ")</f>
        <v xml:space="preserve"> </v>
      </c>
      <c r="P89" s="207"/>
      <c r="Q89" s="191">
        <f>'2. Для заполнения'!I209</f>
        <v>0</v>
      </c>
    </row>
    <row r="90" spans="1:17" ht="42" customHeight="1">
      <c r="A90" s="638"/>
      <c r="B90" s="613"/>
      <c r="C90" s="613"/>
      <c r="D90" s="613"/>
      <c r="E90" s="613"/>
      <c r="F90" s="613"/>
      <c r="G90" s="613"/>
      <c r="H90" s="620"/>
      <c r="I90" s="145"/>
      <c r="J90" s="257">
        <f>'2. Для заполнения'!B210</f>
        <v>3</v>
      </c>
      <c r="K90" s="207" t="str">
        <f>IF('2. Для заполнения'!C210&lt;&gt;0, '2. Для заполнения'!C210, " ")</f>
        <v>Погрузчик LONKIN 7719 ММ 77</v>
      </c>
      <c r="L90" s="193">
        <f>IF('2. Для заполнения'!D210&lt;&gt;0, '2. Для заполнения'!D210, " ")</f>
        <v>1</v>
      </c>
      <c r="M90" s="627">
        <f>'2. Для заполнения'!F210</f>
        <v>0</v>
      </c>
      <c r="N90" s="613"/>
      <c r="O90" s="207">
        <f>IF('2. Для заполнения'!G210&lt;&gt;0, '2. Для заполнения'!G210, " ")</f>
        <v>24</v>
      </c>
      <c r="P90" s="207"/>
      <c r="Q90" s="191">
        <f>'2. Для заполнения'!I210</f>
        <v>1157</v>
      </c>
    </row>
    <row r="91" spans="1:17" ht="48.5" customHeight="1">
      <c r="A91" s="216">
        <f>'2. Для заполнения'!B225</f>
        <v>5</v>
      </c>
      <c r="B91" s="207">
        <f>'2. Для заполнения'!C225</f>
        <v>3</v>
      </c>
      <c r="C91" s="207">
        <v>6</v>
      </c>
      <c r="D91" s="207">
        <f>'2. Для заполнения'!E225</f>
        <v>9</v>
      </c>
      <c r="E91" s="207">
        <f>'2. Для заполнения'!F225</f>
        <v>1</v>
      </c>
      <c r="F91" s="207">
        <v>18</v>
      </c>
      <c r="G91" s="207">
        <f>'2. Для заполнения'!H225</f>
        <v>4</v>
      </c>
      <c r="H91" s="191">
        <f>SUM(A91:G91)</f>
        <v>46</v>
      </c>
      <c r="I91" s="145"/>
      <c r="J91" s="257">
        <f>'2. Для заполнения'!B211</f>
        <v>4</v>
      </c>
      <c r="K91" s="207" t="str">
        <f>IF('2. Для заполнения'!C211&lt;&gt;0, '2. Для заполнения'!C211, " ")</f>
        <v>Водовоза УРАЛ 10м³ Т 455 АС 797</v>
      </c>
      <c r="L91" s="193">
        <f>IF('2. Для заполнения'!D211&lt;&gt;0, '2. Для заполнения'!D211, " ")</f>
        <v>1</v>
      </c>
      <c r="M91" s="627">
        <f>'2. Для заполнения'!F211</f>
        <v>0</v>
      </c>
      <c r="N91" s="613"/>
      <c r="O91" s="207" t="str">
        <f>IF('2. Для заполнения'!G211&lt;&gt;0, '2. Для заполнения'!G211, " ")</f>
        <v xml:space="preserve"> </v>
      </c>
      <c r="P91" s="207"/>
      <c r="Q91" s="191">
        <f>'2. Для заполнения'!I211</f>
        <v>0</v>
      </c>
    </row>
    <row r="92" spans="1:17" ht="21" customHeight="1">
      <c r="A92" s="691" t="s">
        <v>682</v>
      </c>
      <c r="B92" s="613"/>
      <c r="C92" s="613"/>
      <c r="D92" s="225"/>
      <c r="E92" s="648" t="s">
        <v>683</v>
      </c>
      <c r="F92" s="613"/>
      <c r="G92" s="613"/>
      <c r="H92" s="620"/>
      <c r="I92" s="145"/>
      <c r="J92" s="257">
        <f>'2. Для заполнения'!B212</f>
        <v>5</v>
      </c>
      <c r="K92" s="207" t="str">
        <f>IF('2. Для заполнения'!C212&lt;&gt;0, '2. Для заполнения'!C212, " ")</f>
        <v>Водовоза УРАЛ 20м³  В 312 КВ 70</v>
      </c>
      <c r="L92" s="193">
        <f>IF('2. Для заполнения'!D212&lt;&gt;0, '2. Для заполнения'!D212, " ")</f>
        <v>1</v>
      </c>
      <c r="M92" s="627">
        <f>'2. Для заполнения'!F212</f>
        <v>0</v>
      </c>
      <c r="N92" s="613"/>
      <c r="O92" s="207">
        <f>IF('2. Для заполнения'!G212&lt;&gt;0, '2. Для заполнения'!G212, " ")</f>
        <v>24</v>
      </c>
      <c r="P92" s="207"/>
      <c r="Q92" s="191">
        <f>'2. Для заполнения'!I212</f>
        <v>407</v>
      </c>
    </row>
    <row r="93" spans="1:17" ht="33.5" customHeight="1">
      <c r="A93" s="224" t="s">
        <v>684</v>
      </c>
      <c r="B93" s="628" t="s">
        <v>685</v>
      </c>
      <c r="C93" s="613"/>
      <c r="D93" s="225"/>
      <c r="E93" s="650" t="s">
        <v>684</v>
      </c>
      <c r="F93" s="613"/>
      <c r="G93" s="652" t="s">
        <v>685</v>
      </c>
      <c r="H93" s="620"/>
      <c r="I93" s="145"/>
      <c r="J93" s="257">
        <f>'2. Для заполнения'!B213</f>
        <v>6</v>
      </c>
      <c r="K93" s="207" t="e">
        <f>IF('2. Для заполнения'!#REF!&lt;&gt;0, '2. Для заполнения'!#REF!, " ")</f>
        <v>#REF!</v>
      </c>
      <c r="L93" s="193" t="str">
        <f>IF('2. Для заполнения'!D213&lt;&gt;0, '2. Для заполнения'!D213, " ")</f>
        <v xml:space="preserve"> </v>
      </c>
      <c r="M93" s="627">
        <f>'2. Для заполнения'!F213</f>
        <v>0</v>
      </c>
      <c r="N93" s="613"/>
      <c r="O93" s="207">
        <f>IF('2. Для заполнения'!G213&lt;&gt;0, '2. Для заполнения'!G213, " ")</f>
        <v>16</v>
      </c>
      <c r="P93" s="207"/>
      <c r="Q93" s="191">
        <f>'2. Для заполнения'!I213</f>
        <v>0</v>
      </c>
    </row>
    <row r="94" spans="1:17" ht="30" customHeight="1">
      <c r="A94" s="195" t="s">
        <v>686</v>
      </c>
      <c r="B94" s="671" t="str">
        <f>IF('2. Для заполнения'!D229 &lt;&gt;0, '2. Для заполнения'!D229, " ")</f>
        <v xml:space="preserve"> </v>
      </c>
      <c r="C94" s="613"/>
      <c r="D94" s="209"/>
      <c r="E94" s="673" t="s">
        <v>687</v>
      </c>
      <c r="F94" s="613"/>
      <c r="G94" s="623" t="str">
        <f>IF('2. Для заполнения'!H229 &lt;&gt;0, '2. Для заполнения'!H229, " ")</f>
        <v>Грот Дмитрий Александрович</v>
      </c>
      <c r="H94" s="620"/>
      <c r="I94" s="145"/>
      <c r="J94" s="257">
        <f>'2. Для заполнения'!B214</f>
        <v>7</v>
      </c>
      <c r="K94" s="207" t="str">
        <f>IF('2. Для заполнения'!C213&lt;&gt;0, '2. Для заполнения'!C213, " ")</f>
        <v xml:space="preserve"> </v>
      </c>
      <c r="L94" s="193" t="str">
        <f>IF('2. Для заполнения'!D214&lt;&gt;0, '2. Для заполнения'!D214, " ")</f>
        <v xml:space="preserve"> </v>
      </c>
      <c r="M94" s="627">
        <f>'2. Для заполнения'!F214</f>
        <v>0</v>
      </c>
      <c r="N94" s="613"/>
      <c r="O94" s="207">
        <f>IF('2. Для заполнения'!G214&lt;&gt;0, '2. Для заполнения'!G214, " ")</f>
        <v>11</v>
      </c>
      <c r="P94" s="207"/>
      <c r="Q94" s="191">
        <f>'2. Для заполнения'!I214</f>
        <v>376</v>
      </c>
    </row>
    <row r="95" spans="1:17" ht="42.5" customHeight="1">
      <c r="A95" s="353" t="s">
        <v>688</v>
      </c>
      <c r="B95" s="668" t="str">
        <f>IF('2. Для заполнения'!D230 &lt;&gt;0, '2. Для заполнения'!D230, " ")</f>
        <v>Ведущий инженер-механик</v>
      </c>
      <c r="C95" s="613"/>
      <c r="D95" s="352"/>
      <c r="E95" s="675" t="s">
        <v>689</v>
      </c>
      <c r="F95" s="613"/>
      <c r="G95" s="676" t="str">
        <f>IF('2. Для заполнения'!H230 &lt;&gt;0, '2. Для заполнения'!H230, " ")</f>
        <v>Коротков Денис Сергеевич</v>
      </c>
      <c r="H95" s="620"/>
      <c r="I95" s="145"/>
      <c r="J95" s="257">
        <f>'2. Для заполнения'!B215</f>
        <v>8</v>
      </c>
      <c r="K95" s="207" t="str">
        <f>IF('2. Для заполнения'!C215&lt;&gt;0, '2. Для заполнения'!C215, " ")</f>
        <v>Голова УРАЛ Х 226 АН 797</v>
      </c>
      <c r="L95" s="193" t="str">
        <f>IF('2. Для заполнения'!D215&lt;&gt;0, '2. Для заполнения'!D215, " ")</f>
        <v xml:space="preserve"> </v>
      </c>
      <c r="M95" s="627">
        <f>'2. Для заполнения'!F215</f>
        <v>0</v>
      </c>
      <c r="N95" s="613"/>
      <c r="O95" s="207">
        <f>IF('2. Для заполнения'!G215&lt;&gt;0, '2. Для заполнения'!G215, " ")</f>
        <v>16</v>
      </c>
      <c r="P95" s="207"/>
      <c r="Q95" s="191">
        <f>'2. Для заполнения'!I215</f>
        <v>0</v>
      </c>
    </row>
    <row r="96" spans="1:17" ht="29.5" customHeight="1">
      <c r="A96" s="195" t="s">
        <v>690</v>
      </c>
      <c r="B96" s="671" t="str">
        <f>IF('2. Для заполнения'!D231 &lt;&gt;0, '2. Для заполнения'!D231, " ")</f>
        <v>Черноиванов Павел Вячеславович</v>
      </c>
      <c r="C96" s="613"/>
      <c r="D96" s="209"/>
      <c r="E96" s="673" t="s">
        <v>691</v>
      </c>
      <c r="F96" s="613"/>
      <c r="G96" s="623" t="str">
        <f>IF('2. Для заполнения'!H231 &lt;&gt;0, '2. Для заполнения'!H231, " ")</f>
        <v>Воронков Вадим Анатольевич</v>
      </c>
      <c r="H96" s="620"/>
      <c r="I96" s="145"/>
      <c r="J96" s="257">
        <f>'2. Для заполнения'!B216</f>
        <v>9</v>
      </c>
      <c r="K96" s="207" t="str">
        <f>IF('2. Для заполнения'!C216&lt;&gt;0, '2. Для заполнения'!C216, " ")</f>
        <v xml:space="preserve"> </v>
      </c>
      <c r="L96" s="193" t="str">
        <f>IF('2. Для заполнения'!D216&lt;&gt;0, '2. Для заполнения'!D216, " ")</f>
        <v xml:space="preserve"> </v>
      </c>
      <c r="M96" s="627">
        <f>'2. Для заполнения'!F216</f>
        <v>0</v>
      </c>
      <c r="N96" s="613"/>
      <c r="O96" s="207">
        <f>IF('2. Для заполнения'!G216&lt;&gt;0, '2. Для заполнения'!G216, " ")</f>
        <v>16</v>
      </c>
      <c r="P96" s="207" t="str">
        <f>IF('2. Для заполнения'!H216&lt;&gt;0, '2. Для заполнения'!H216, " ")</f>
        <v xml:space="preserve"> </v>
      </c>
      <c r="Q96" s="191">
        <f>'2. Для заполнения'!I216</f>
        <v>0</v>
      </c>
    </row>
    <row r="97" spans="1:17" ht="25.25" customHeight="1">
      <c r="A97" s="353" t="s">
        <v>692</v>
      </c>
      <c r="B97" s="670" t="str">
        <f>IF('2. Для заполнения'!D232 &lt;&gt;0, '2. Для заполнения'!D232, " ")</f>
        <v>Горшков Александр Владимирович</v>
      </c>
      <c r="C97" s="625"/>
      <c r="D97" s="226"/>
      <c r="E97" s="659"/>
      <c r="F97" s="625"/>
      <c r="G97" s="630"/>
      <c r="H97" s="631"/>
      <c r="I97" s="145"/>
      <c r="J97" s="257"/>
      <c r="K97" s="207" t="str">
        <f>IF('2. Для заполнения'!C217&lt;&gt;0, '2. Для заполнения'!C217, " ")</f>
        <v xml:space="preserve"> </v>
      </c>
      <c r="L97" s="193" t="str">
        <f>IF('2. Для заполнения'!D217&lt;&gt;0, '2. Для заполнения'!D217, " ")</f>
        <v xml:space="preserve"> </v>
      </c>
      <c r="M97" s="627">
        <f>'2. Для заполнения'!F217</f>
        <v>0</v>
      </c>
      <c r="N97" s="613"/>
      <c r="O97" s="207">
        <f>IF('2. Для заполнения'!G217&lt;&gt;0, '2. Для заполнения'!G217, " ")</f>
        <v>13</v>
      </c>
      <c r="P97" s="207" t="str">
        <f>IF('2. Для заполнения'!H217&lt;&gt;0, '2. Для заполнения'!H217, " ")</f>
        <v xml:space="preserve"> </v>
      </c>
      <c r="Q97" s="191">
        <f>'2. Для заполнения'!I217</f>
        <v>0</v>
      </c>
    </row>
    <row r="98" spans="1:17" ht="21" customHeight="1">
      <c r="A98" s="145"/>
      <c r="B98" s="145"/>
      <c r="C98" s="145"/>
      <c r="D98" s="145"/>
      <c r="E98" s="145"/>
      <c r="F98" s="145"/>
      <c r="G98" s="145"/>
      <c r="H98" s="145"/>
      <c r="I98" s="145"/>
      <c r="J98" s="257"/>
      <c r="K98" s="207"/>
      <c r="L98" s="193"/>
      <c r="M98" s="627">
        <f>'2. Для заполнения'!F218</f>
        <v>0</v>
      </c>
      <c r="N98" s="613"/>
      <c r="O98" s="207" t="str">
        <f>IF('2. Для заполнения'!G218&lt;&gt;0, '2. Для заполнения'!G218, " ")</f>
        <v xml:space="preserve"> </v>
      </c>
      <c r="P98" s="207"/>
      <c r="Q98" s="191">
        <f>'2. Для заполнения'!I218</f>
        <v>0</v>
      </c>
    </row>
    <row r="99" spans="1:17" ht="21" customHeight="1">
      <c r="A99" s="145"/>
      <c r="B99" s="145"/>
      <c r="C99" s="145"/>
      <c r="D99" s="145"/>
      <c r="E99" s="145"/>
      <c r="F99" s="145"/>
      <c r="G99" s="145"/>
      <c r="H99" s="145"/>
      <c r="I99" s="145"/>
      <c r="J99" s="257"/>
      <c r="K99" s="207"/>
      <c r="L99" s="193"/>
      <c r="M99" s="627">
        <f>'2. Для заполнения'!F220</f>
        <v>0</v>
      </c>
      <c r="N99" s="613"/>
      <c r="O99" s="207" t="str">
        <f>IF('2. Для заполнения'!G220&lt;&gt;0, '2. Для заполнения'!G220, " ")</f>
        <v xml:space="preserve"> </v>
      </c>
      <c r="P99" s="207"/>
      <c r="Q99" s="191">
        <f>'2. Для заполнения'!I220</f>
        <v>0</v>
      </c>
    </row>
    <row r="100" spans="1:17" ht="21" customHeight="1">
      <c r="A100" s="145"/>
      <c r="B100" s="145"/>
      <c r="C100" s="145"/>
      <c r="D100" s="145"/>
      <c r="E100" s="145"/>
      <c r="F100" s="145"/>
      <c r="G100" s="145"/>
      <c r="H100" s="145"/>
      <c r="I100" s="145"/>
      <c r="J100" s="258"/>
      <c r="K100" s="221"/>
      <c r="L100" s="201"/>
      <c r="M100" s="211" t="s">
        <v>693</v>
      </c>
      <c r="N100" s="212"/>
      <c r="O100" s="200">
        <f>SUM(O88:O99)</f>
        <v>144</v>
      </c>
      <c r="P100" s="200">
        <f>SUM(P88:P99)</f>
        <v>0</v>
      </c>
      <c r="Q100" s="201">
        <f>SUM(Q88:Q99)</f>
        <v>3224</v>
      </c>
    </row>
    <row r="101" spans="1:17" ht="21" customHeight="1">
      <c r="A101" s="145"/>
      <c r="B101" s="145"/>
      <c r="C101" s="145"/>
      <c r="D101" s="145"/>
      <c r="E101" s="145"/>
      <c r="F101" s="145"/>
      <c r="G101" s="145"/>
      <c r="H101" s="145"/>
      <c r="I101" s="145"/>
      <c r="J101" s="153"/>
      <c r="K101" s="153"/>
      <c r="L101" s="153"/>
      <c r="M101" s="153"/>
      <c r="N101" s="153"/>
      <c r="O101" s="153"/>
      <c r="P101" s="153"/>
      <c r="Q101" s="153"/>
    </row>
    <row r="102" spans="1:17" ht="21" customHeight="1">
      <c r="A102" s="145"/>
      <c r="B102" s="145"/>
      <c r="C102" s="145"/>
      <c r="D102" s="145"/>
      <c r="E102" s="145"/>
      <c r="F102" s="145"/>
      <c r="G102" s="145"/>
      <c r="H102" s="145"/>
      <c r="I102" s="145"/>
      <c r="J102" s="645" t="s">
        <v>694</v>
      </c>
      <c r="K102" s="625"/>
      <c r="L102" s="625"/>
      <c r="M102" s="625"/>
      <c r="N102" s="625"/>
      <c r="O102" s="625"/>
      <c r="P102" s="625"/>
      <c r="Q102" s="625"/>
    </row>
    <row r="103" spans="1:17" ht="21" customHeight="1">
      <c r="A103" s="145"/>
      <c r="B103" s="145"/>
      <c r="C103" s="145"/>
      <c r="D103" s="145"/>
      <c r="E103" s="145"/>
      <c r="F103" s="145"/>
      <c r="G103" s="145"/>
      <c r="H103" s="145"/>
      <c r="I103" s="145"/>
      <c r="J103" s="637" t="s">
        <v>695</v>
      </c>
      <c r="K103" s="228" t="str">
        <f>'2. Для заполнения'!C236</f>
        <v>Растворы</v>
      </c>
      <c r="L103" s="228" t="str">
        <f>'2. Для заполнения'!D236</f>
        <v>ННБ</v>
      </c>
      <c r="M103" s="228" t="str">
        <f>'2. Для заполнения'!E236</f>
        <v>ГТИ</v>
      </c>
      <c r="N103" s="228" t="str">
        <f>'2. Для заполнения'!F236</f>
        <v>Спуск ОК</v>
      </c>
      <c r="O103" s="228" t="str">
        <f>'2. Для заполнения'!G236</f>
        <v>ГИС</v>
      </c>
      <c r="P103" s="228" t="str">
        <f>'2. Для заполнения'!H236</f>
        <v>Цементаж</v>
      </c>
      <c r="Q103" s="230" t="str">
        <f>'2. Для заполнения'!I236</f>
        <v>Прочий сервис</v>
      </c>
    </row>
    <row r="104" spans="1:17" ht="34" customHeight="1">
      <c r="A104" s="145"/>
      <c r="B104" s="145"/>
      <c r="C104" s="145"/>
      <c r="D104" s="145"/>
      <c r="E104" s="145"/>
      <c r="F104" s="145"/>
      <c r="G104" s="145"/>
      <c r="H104" s="145"/>
      <c r="I104" s="145"/>
      <c r="J104" s="638"/>
      <c r="K104" s="228" t="str">
        <f>'2. Для заполнения'!C237</f>
        <v>ООО "НСК Эшелон"</v>
      </c>
      <c r="L104" s="228" t="str">
        <f>'2. Для заполнения'!D237</f>
        <v>ООО "Интер-Сервис"</v>
      </c>
      <c r="M104" s="228" t="str">
        <f>'2. Для заполнения'!E237</f>
        <v>ПФ «Востокгазгеофизика»</v>
      </c>
      <c r="N104" s="228" t="str">
        <f>'2. Для заполнения'!F237</f>
        <v>ООО "Нефтесервисная компания" "Буран"</v>
      </c>
      <c r="O104" s="228" t="str">
        <f>'2. Для заполнения'!G237</f>
        <v>ПФ «Востокгазгеофизика»</v>
      </c>
      <c r="P104" s="228" t="str">
        <f>'2. Для заполнения'!H237</f>
        <v>ООО "ЦЦС"</v>
      </c>
      <c r="Q104" s="230" t="str">
        <f>'2. Для заполнения'!I237</f>
        <v>ООО «ЭТТЦ»</v>
      </c>
    </row>
    <row r="105" spans="1:17" ht="30" customHeight="1">
      <c r="A105" s="145"/>
      <c r="B105" s="145"/>
      <c r="C105" s="145"/>
      <c r="D105" s="145"/>
      <c r="E105" s="145"/>
      <c r="F105" s="145"/>
      <c r="G105" s="145"/>
      <c r="H105" s="145"/>
      <c r="I105" s="145"/>
      <c r="J105" s="144" t="s">
        <v>696</v>
      </c>
      <c r="K105" s="231">
        <f>'2. Для заполнения'!C238</f>
        <v>2</v>
      </c>
      <c r="L105" s="231">
        <f>'2. Для заполнения'!D238</f>
        <v>3</v>
      </c>
      <c r="M105" s="231">
        <f>'2. Для заполнения'!E238</f>
        <v>4</v>
      </c>
      <c r="N105" s="231">
        <f>'2. Для заполнения'!F238</f>
        <v>1</v>
      </c>
      <c r="O105" s="231">
        <f>'2. Для заполнения'!G238</f>
        <v>0</v>
      </c>
      <c r="P105" s="231">
        <f>'2. Для заполнения'!H238</f>
        <v>0</v>
      </c>
      <c r="Q105" s="232">
        <f>'2. Для заполнения'!I238</f>
        <v>2</v>
      </c>
    </row>
    <row r="106" spans="1:17" ht="21" customHeight="1">
      <c r="A106" s="145"/>
      <c r="B106" s="145"/>
      <c r="C106" s="145"/>
      <c r="D106" s="145"/>
      <c r="E106" s="145"/>
      <c r="F106" s="145"/>
      <c r="G106" s="145"/>
      <c r="H106" s="145"/>
      <c r="I106" s="145"/>
      <c r="J106" s="153"/>
      <c r="K106" s="153"/>
      <c r="L106" s="153"/>
      <c r="M106" s="153"/>
      <c r="N106" s="153"/>
      <c r="O106" s="153"/>
      <c r="P106" s="153"/>
      <c r="Q106" s="153"/>
    </row>
    <row r="107" spans="1:17" ht="21" customHeight="1">
      <c r="A107" s="145"/>
      <c r="B107" s="145"/>
      <c r="C107" s="145"/>
      <c r="D107" s="145"/>
      <c r="E107" s="145"/>
      <c r="F107" s="145"/>
      <c r="G107" s="145"/>
      <c r="H107" s="145"/>
      <c r="I107" s="145"/>
      <c r="J107" s="153"/>
      <c r="K107" s="153"/>
      <c r="L107" s="153"/>
      <c r="M107" s="153"/>
      <c r="N107" s="153"/>
      <c r="O107" s="153"/>
      <c r="P107" s="153"/>
      <c r="Q107" s="153"/>
    </row>
    <row r="108" spans="1:17" ht="21" customHeight="1">
      <c r="A108" s="145"/>
      <c r="B108" s="145"/>
      <c r="C108" s="145"/>
      <c r="D108" s="145"/>
      <c r="E108" s="145"/>
      <c r="F108" s="145"/>
      <c r="G108" s="145"/>
      <c r="H108" s="145"/>
      <c r="I108" s="145"/>
      <c r="J108" s="145"/>
      <c r="K108" s="145"/>
      <c r="L108" s="145"/>
      <c r="M108" s="145"/>
      <c r="N108" s="145"/>
      <c r="O108" s="145"/>
      <c r="P108" s="145"/>
      <c r="Q108" s="145"/>
    </row>
    <row r="109" spans="1:17" ht="35.5" customHeight="1">
      <c r="A109" s="646" t="s">
        <v>697</v>
      </c>
      <c r="B109" s="613"/>
      <c r="C109" s="659"/>
      <c r="D109" s="625"/>
      <c r="E109" s="694" t="str">
        <f>G94</f>
        <v>Грот Дмитрий Александрович</v>
      </c>
      <c r="F109" s="613"/>
      <c r="G109" s="189"/>
      <c r="H109" s="189" t="s">
        <v>698</v>
      </c>
      <c r="I109" s="659"/>
      <c r="J109" s="625"/>
      <c r="K109" s="671" t="str">
        <f>G95</f>
        <v>Коротков Денис Сергеевич</v>
      </c>
      <c r="L109" s="613"/>
      <c r="M109" s="189"/>
      <c r="N109" s="189" t="s">
        <v>699</v>
      </c>
      <c r="O109" s="659"/>
      <c r="P109" s="625"/>
      <c r="Q109" s="207"/>
    </row>
    <row r="110" spans="1:17" ht="39" customHeight="1"/>
  </sheetData>
  <mergeCells count="302">
    <mergeCell ref="I109:J109"/>
    <mergeCell ref="D60:D61"/>
    <mergeCell ref="A86:D86"/>
    <mergeCell ref="N20:N21"/>
    <mergeCell ref="J76:K76"/>
    <mergeCell ref="O36:Q36"/>
    <mergeCell ref="K24:K25"/>
    <mergeCell ref="E97:F97"/>
    <mergeCell ref="A13:B13"/>
    <mergeCell ref="A47:D47"/>
    <mergeCell ref="E109:F109"/>
    <mergeCell ref="A58:B58"/>
    <mergeCell ref="M96:N96"/>
    <mergeCell ref="I3:J3"/>
    <mergeCell ref="J70:K70"/>
    <mergeCell ref="A50:B50"/>
    <mergeCell ref="N10:N11"/>
    <mergeCell ref="M30:M31"/>
    <mergeCell ref="K14:K15"/>
    <mergeCell ref="K52:O52"/>
    <mergeCell ref="J63:K63"/>
    <mergeCell ref="O26:Q27"/>
    <mergeCell ref="N34:N35"/>
    <mergeCell ref="J66:Q66"/>
    <mergeCell ref="A20:B20"/>
    <mergeCell ref="D19:F19"/>
    <mergeCell ref="K53:O53"/>
    <mergeCell ref="M94:N94"/>
    <mergeCell ref="J80:K80"/>
    <mergeCell ref="A82:D82"/>
    <mergeCell ref="K50:O50"/>
    <mergeCell ref="G93:H93"/>
    <mergeCell ref="K12:K13"/>
    <mergeCell ref="M16:M17"/>
    <mergeCell ref="E60:F60"/>
    <mergeCell ref="A18:B18"/>
    <mergeCell ref="D15:F15"/>
    <mergeCell ref="O24:Q25"/>
    <mergeCell ref="J16:J17"/>
    <mergeCell ref="J79:K79"/>
    <mergeCell ref="J85:Q85"/>
    <mergeCell ref="A92:C92"/>
    <mergeCell ref="B89:B90"/>
    <mergeCell ref="D89:D90"/>
    <mergeCell ref="A84:D84"/>
    <mergeCell ref="B76:B77"/>
    <mergeCell ref="J75:Q75"/>
    <mergeCell ref="E96:F96"/>
    <mergeCell ref="K18:K19"/>
    <mergeCell ref="G96:H96"/>
    <mergeCell ref="N32:N33"/>
    <mergeCell ref="A24:B24"/>
    <mergeCell ref="D13:F13"/>
    <mergeCell ref="J67:K67"/>
    <mergeCell ref="C24:D24"/>
    <mergeCell ref="A60:B60"/>
    <mergeCell ref="E24:F24"/>
    <mergeCell ref="H89:H90"/>
    <mergeCell ref="C89:C90"/>
    <mergeCell ref="J72:K72"/>
    <mergeCell ref="G27:H27"/>
    <mergeCell ref="J28:J29"/>
    <mergeCell ref="L28:L29"/>
    <mergeCell ref="A30:A31"/>
    <mergeCell ref="J86:L86"/>
    <mergeCell ref="J69:K69"/>
    <mergeCell ref="C26:D26"/>
    <mergeCell ref="L58:Q58"/>
    <mergeCell ref="L24:L25"/>
    <mergeCell ref="J78:K78"/>
    <mergeCell ref="K22:K23"/>
    <mergeCell ref="J102:Q102"/>
    <mergeCell ref="A88:H88"/>
    <mergeCell ref="D76:D77"/>
    <mergeCell ref="F76:F77"/>
    <mergeCell ref="O34:Q35"/>
    <mergeCell ref="K109:L109"/>
    <mergeCell ref="A83:D83"/>
    <mergeCell ref="J24:J25"/>
    <mergeCell ref="E94:F94"/>
    <mergeCell ref="N41:Q41"/>
    <mergeCell ref="J26:J27"/>
    <mergeCell ref="E30:E31"/>
    <mergeCell ref="E59:F59"/>
    <mergeCell ref="G30:G31"/>
    <mergeCell ref="E92:H92"/>
    <mergeCell ref="M32:M33"/>
    <mergeCell ref="L26:L27"/>
    <mergeCell ref="A57:B57"/>
    <mergeCell ref="M95:N95"/>
    <mergeCell ref="E95:F95"/>
    <mergeCell ref="M89:N89"/>
    <mergeCell ref="G95:H95"/>
    <mergeCell ref="E61:F61"/>
    <mergeCell ref="O109:P109"/>
    <mergeCell ref="B97:C97"/>
    <mergeCell ref="E50:F50"/>
    <mergeCell ref="M20:M21"/>
    <mergeCell ref="J81:K81"/>
    <mergeCell ref="A49:B49"/>
    <mergeCell ref="L32:L33"/>
    <mergeCell ref="O10:Q11"/>
    <mergeCell ref="J57:Q57"/>
    <mergeCell ref="E52:F52"/>
    <mergeCell ref="B96:C96"/>
    <mergeCell ref="F89:F90"/>
    <mergeCell ref="D16:F16"/>
    <mergeCell ref="O18:Q19"/>
    <mergeCell ref="D18:F18"/>
    <mergeCell ref="M12:M13"/>
    <mergeCell ref="A12:B12"/>
    <mergeCell ref="O20:Q21"/>
    <mergeCell ref="M14:M15"/>
    <mergeCell ref="J18:J19"/>
    <mergeCell ref="A14:B14"/>
    <mergeCell ref="D20:F20"/>
    <mergeCell ref="M97:N97"/>
    <mergeCell ref="E57:F57"/>
    <mergeCell ref="K48:O48"/>
    <mergeCell ref="M91:N91"/>
    <mergeCell ref="N30:N31"/>
    <mergeCell ref="A52:B52"/>
    <mergeCell ref="E25:F25"/>
    <mergeCell ref="B95:C95"/>
    <mergeCell ref="A63:B63"/>
    <mergeCell ref="N39:Q39"/>
    <mergeCell ref="G25:H25"/>
    <mergeCell ref="A10:B10"/>
    <mergeCell ref="E66:F66"/>
    <mergeCell ref="J61:K61"/>
    <mergeCell ref="D21:F21"/>
    <mergeCell ref="M93:N93"/>
    <mergeCell ref="E58:F58"/>
    <mergeCell ref="K20:K21"/>
    <mergeCell ref="K49:O49"/>
    <mergeCell ref="M26:M27"/>
    <mergeCell ref="O12:Q13"/>
    <mergeCell ref="E84:H84"/>
    <mergeCell ref="K10:K11"/>
    <mergeCell ref="E54:F54"/>
    <mergeCell ref="D22:F22"/>
    <mergeCell ref="K16:K17"/>
    <mergeCell ref="B94:C94"/>
    <mergeCell ref="M87:N87"/>
    <mergeCell ref="E26:F26"/>
    <mergeCell ref="A8:B8"/>
    <mergeCell ref="G26:H26"/>
    <mergeCell ref="K34:K35"/>
    <mergeCell ref="B30:B31"/>
    <mergeCell ref="K28:K29"/>
    <mergeCell ref="D30:D31"/>
    <mergeCell ref="O22:Q23"/>
    <mergeCell ref="J14:J15"/>
    <mergeCell ref="O8:Q9"/>
    <mergeCell ref="K8:K9"/>
    <mergeCell ref="E56:F56"/>
    <mergeCell ref="A16:B16"/>
    <mergeCell ref="J30:J31"/>
    <mergeCell ref="M22:M23"/>
    <mergeCell ref="L76:Q76"/>
    <mergeCell ref="L30:L31"/>
    <mergeCell ref="D48:D49"/>
    <mergeCell ref="L8:L9"/>
    <mergeCell ref="A25:B25"/>
    <mergeCell ref="C25:D25"/>
    <mergeCell ref="N8:N9"/>
    <mergeCell ref="A55:A56"/>
    <mergeCell ref="C109:D109"/>
    <mergeCell ref="J77:K77"/>
    <mergeCell ref="E3:H3"/>
    <mergeCell ref="K47:O47"/>
    <mergeCell ref="J20:J21"/>
    <mergeCell ref="L20:L21"/>
    <mergeCell ref="K44:O44"/>
    <mergeCell ref="A89:A90"/>
    <mergeCell ref="M28:M29"/>
    <mergeCell ref="A76:A77"/>
    <mergeCell ref="K46:O46"/>
    <mergeCell ref="C76:C77"/>
    <mergeCell ref="M24:M25"/>
    <mergeCell ref="A26:B26"/>
    <mergeCell ref="L22:L23"/>
    <mergeCell ref="O30:Q31"/>
    <mergeCell ref="G24:H24"/>
    <mergeCell ref="M86:Q86"/>
    <mergeCell ref="M8:M9"/>
    <mergeCell ref="O32:Q33"/>
    <mergeCell ref="G89:G90"/>
    <mergeCell ref="J12:J13"/>
    <mergeCell ref="L34:L35"/>
    <mergeCell ref="N28:N29"/>
    <mergeCell ref="E85:H85"/>
    <mergeCell ref="J5:Q5"/>
    <mergeCell ref="D17:F17"/>
    <mergeCell ref="E48:F48"/>
    <mergeCell ref="G70:H70"/>
    <mergeCell ref="K45:O45"/>
    <mergeCell ref="A61:B61"/>
    <mergeCell ref="J37:Q37"/>
    <mergeCell ref="M10:M11"/>
    <mergeCell ref="L18:L19"/>
    <mergeCell ref="O7:Q7"/>
    <mergeCell ref="F6:H6"/>
    <mergeCell ref="C7:D7"/>
    <mergeCell ref="A6:B6"/>
    <mergeCell ref="D56:D57"/>
    <mergeCell ref="L10:L11"/>
    <mergeCell ref="A5:H5"/>
    <mergeCell ref="A17:B17"/>
    <mergeCell ref="A53:B53"/>
    <mergeCell ref="A109:B109"/>
    <mergeCell ref="H76:H77"/>
    <mergeCell ref="J56:Q56"/>
    <mergeCell ref="A62:B62"/>
    <mergeCell ref="L67:Q67"/>
    <mergeCell ref="J43:Q43"/>
    <mergeCell ref="H30:H31"/>
    <mergeCell ref="A29:H29"/>
    <mergeCell ref="A81:H81"/>
    <mergeCell ref="J8:J9"/>
    <mergeCell ref="G94:H94"/>
    <mergeCell ref="A19:B19"/>
    <mergeCell ref="J62:K62"/>
    <mergeCell ref="J71:K71"/>
    <mergeCell ref="L16:L17"/>
    <mergeCell ref="E53:F53"/>
    <mergeCell ref="E93:F93"/>
    <mergeCell ref="N16:N17"/>
    <mergeCell ref="J58:K58"/>
    <mergeCell ref="A85:D85"/>
    <mergeCell ref="N38:Q38"/>
    <mergeCell ref="M99:N99"/>
    <mergeCell ref="J103:J104"/>
    <mergeCell ref="A75:H75"/>
    <mergeCell ref="E89:E90"/>
    <mergeCell ref="A27:B27"/>
    <mergeCell ref="E65:F65"/>
    <mergeCell ref="J32:J33"/>
    <mergeCell ref="E76:E77"/>
    <mergeCell ref="G76:G77"/>
    <mergeCell ref="C27:D27"/>
    <mergeCell ref="E49:F49"/>
    <mergeCell ref="E27:F27"/>
    <mergeCell ref="A48:B48"/>
    <mergeCell ref="M34:M35"/>
    <mergeCell ref="J64:K64"/>
    <mergeCell ref="M92:N92"/>
    <mergeCell ref="K30:K31"/>
    <mergeCell ref="J73:K73"/>
    <mergeCell ref="A59:B59"/>
    <mergeCell ref="E55:F55"/>
    <mergeCell ref="N26:N27"/>
    <mergeCell ref="M83:Q83"/>
    <mergeCell ref="N40:Q40"/>
    <mergeCell ref="J34:J35"/>
    <mergeCell ref="J83:L83"/>
    <mergeCell ref="L12:L13"/>
    <mergeCell ref="M98:N98"/>
    <mergeCell ref="N12:N13"/>
    <mergeCell ref="B93:C93"/>
    <mergeCell ref="J59:K59"/>
    <mergeCell ref="K54:O54"/>
    <mergeCell ref="G97:H97"/>
    <mergeCell ref="E64:F64"/>
    <mergeCell ref="J60:K60"/>
    <mergeCell ref="M88:N88"/>
    <mergeCell ref="F30:F31"/>
    <mergeCell ref="O28:Q29"/>
    <mergeCell ref="J68:K68"/>
    <mergeCell ref="A54:B54"/>
    <mergeCell ref="E51:F51"/>
    <mergeCell ref="A69:H69"/>
    <mergeCell ref="N14:N15"/>
    <mergeCell ref="K51:O51"/>
    <mergeCell ref="E47:H47"/>
    <mergeCell ref="L14:L15"/>
    <mergeCell ref="E63:F63"/>
    <mergeCell ref="M90:N90"/>
    <mergeCell ref="D14:F14"/>
    <mergeCell ref="C30:C31"/>
    <mergeCell ref="J82:K82"/>
    <mergeCell ref="N22:N23"/>
    <mergeCell ref="K32:K33"/>
    <mergeCell ref="A15:B15"/>
    <mergeCell ref="K26:K27"/>
    <mergeCell ref="E62:F62"/>
    <mergeCell ref="O14:Q15"/>
    <mergeCell ref="C6:D6"/>
    <mergeCell ref="A51:B51"/>
    <mergeCell ref="D52:D53"/>
    <mergeCell ref="J6:Q6"/>
    <mergeCell ref="A7:B7"/>
    <mergeCell ref="D23:F23"/>
    <mergeCell ref="O16:Q17"/>
    <mergeCell ref="J22:J23"/>
    <mergeCell ref="M18:M19"/>
    <mergeCell ref="N24:N25"/>
    <mergeCell ref="F7:H7"/>
    <mergeCell ref="A9:B9"/>
    <mergeCell ref="J10:J11"/>
    <mergeCell ref="N18:N19"/>
    <mergeCell ref="A11:B11"/>
  </mergeCells>
  <printOptions horizontalCentered="1" verticalCentered="1"/>
  <pageMargins left="0.23622047244094491" right="0.23622047244094491" top="0.23622047244094491" bottom="0.23622047244094491" header="0" footer="0"/>
  <pageSetup scale="29" orientation="portrait"/>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pageSetUpPr fitToPage="1"/>
  </sheetPr>
  <dimension ref="A1:BQ238"/>
  <sheetViews>
    <sheetView showGridLines="0" topLeftCell="AH1" zoomScale="68" zoomScaleNormal="55" workbookViewId="0">
      <pane ySplit="1" topLeftCell="A137" activePane="bottomLeft" state="frozen"/>
      <selection activeCell="K49" sqref="K49"/>
      <selection pane="bottomLeft" activeCell="T138" sqref="T138"/>
    </sheetView>
  </sheetViews>
  <sheetFormatPr defaultColWidth="11.15234375" defaultRowHeight="50.5" customHeight="1" outlineLevelCol="1"/>
  <cols>
    <col min="1" max="1" width="16.15234375" bestFit="1" customWidth="1"/>
    <col min="2" max="2" width="18.69140625" bestFit="1" customWidth="1"/>
    <col min="3" max="3" width="24.84375" bestFit="1" customWidth="1"/>
    <col min="4" max="4" width="13.53515625" style="247" bestFit="1" customWidth="1"/>
    <col min="5" max="5" width="18.3046875" style="247" bestFit="1" customWidth="1"/>
    <col min="6" max="6" width="17" style="610" bestFit="1" customWidth="1"/>
    <col min="7" max="7" width="24" style="247" bestFit="1" customWidth="1"/>
    <col min="8" max="8" width="19.15234375" style="247" bestFit="1" customWidth="1"/>
    <col min="9" max="9" width="17.84375" style="611" bestFit="1" customWidth="1"/>
    <col min="10" max="10" width="14.84375" style="247" bestFit="1" customWidth="1"/>
    <col min="11" max="11" width="11.3828125" style="610" customWidth="1" outlineLevel="1" collapsed="1"/>
    <col min="12" max="12" width="14" customWidth="1" outlineLevel="1"/>
    <col min="13" max="13" width="25" bestFit="1" customWidth="1" outlineLevel="1"/>
    <col min="14" max="14" width="26" customWidth="1" outlineLevel="1"/>
    <col min="15" max="15" width="28.3046875" style="247" customWidth="1" outlineLevel="1"/>
    <col min="16" max="16" width="26.15234375" style="247" bestFit="1" customWidth="1" outlineLevel="1"/>
    <col min="17" max="17" width="25.53515625" style="247" bestFit="1" customWidth="1" outlineLevel="1"/>
    <col min="18" max="18" width="24.3828125" style="247" bestFit="1" customWidth="1" outlineLevel="1"/>
    <col min="19" max="19" width="13.53515625" style="339" customWidth="1" outlineLevel="1"/>
    <col min="20" max="20" width="125.3828125" style="7" customWidth="1"/>
    <col min="21" max="21" width="14" bestFit="1" customWidth="1"/>
    <col min="22" max="22" width="14.84375" style="247" bestFit="1" customWidth="1"/>
    <col min="23" max="23" width="17.3828125" bestFit="1" customWidth="1"/>
    <col min="24" max="24" width="24.84375" bestFit="1" customWidth="1"/>
    <col min="25" max="25" width="24.84375" hidden="1" customWidth="1" outlineLevel="1"/>
    <col min="26" max="26" width="12.69140625" style="339" hidden="1" customWidth="1" outlineLevel="1"/>
    <col min="27" max="28" width="14.84375" style="339" hidden="1" customWidth="1" outlineLevel="1"/>
    <col min="29" max="30" width="16.53515625" style="339" hidden="1" customWidth="1" outlineLevel="1"/>
    <col min="31" max="31" width="16.53515625" style="549" customWidth="1" collapsed="1"/>
    <col min="32" max="32" width="16.53515625" style="339" customWidth="1"/>
    <col min="33" max="33" width="16.53515625" customWidth="1"/>
    <col min="34" max="34" width="14.84375" style="247" customWidth="1"/>
    <col min="35" max="35" width="14.3828125" style="247" customWidth="1"/>
    <col min="36" max="36" width="19.15234375" style="247" customWidth="1"/>
    <col min="37" max="37" width="11" style="247" customWidth="1" outlineLevel="1"/>
    <col min="38" max="38" width="12.69140625" style="247" customWidth="1" outlineLevel="1"/>
    <col min="39" max="39" width="12.69140625" customWidth="1" outlineLevel="1"/>
    <col min="40" max="40" width="16.15234375" customWidth="1" outlineLevel="1"/>
    <col min="41" max="41" width="26.53515625" customWidth="1" outlineLevel="1"/>
    <col min="42" max="42" width="23.15234375" customWidth="1" outlineLevel="1"/>
    <col min="43" max="43" width="17.3828125" style="339" customWidth="1" outlineLevel="1"/>
    <col min="44" max="44" width="20" style="339" customWidth="1" outlineLevel="1"/>
    <col min="45" max="45" width="20" customWidth="1" outlineLevel="1"/>
    <col min="46" max="46" width="36.3828125" style="339" customWidth="1" outlineLevel="1"/>
    <col min="47" max="47" width="71.15234375" customWidth="1" outlineLevel="1"/>
    <col min="48" max="48" width="62.3828125" customWidth="1" outlineLevel="1"/>
    <col min="49" max="49" width="34.3046875" customWidth="1" outlineLevel="1"/>
    <col min="50" max="50" width="41.15234375" style="339" bestFit="1" customWidth="1"/>
    <col min="51" max="51" width="46.3828125" style="339" bestFit="1" customWidth="1"/>
    <col min="53" max="53" width="24.15234375" style="339" bestFit="1" customWidth="1"/>
    <col min="54" max="54" width="61.69140625" customWidth="1"/>
    <col min="55" max="55" width="24.69140625" style="247" customWidth="1"/>
    <col min="56" max="56" width="37.53515625" style="339" bestFit="1" customWidth="1"/>
    <col min="57" max="57" width="44.3828125" style="339" bestFit="1" customWidth="1"/>
    <col min="58" max="58" width="40.15234375" style="339" customWidth="1"/>
    <col min="59" max="59" width="50.3828125" style="339" customWidth="1"/>
    <col min="62" max="62" width="14.3828125" style="339" bestFit="1" customWidth="1"/>
    <col min="63" max="63" width="15.3828125" style="339" bestFit="1" customWidth="1"/>
    <col min="64" max="64" width="17.3828125" style="339" bestFit="1" customWidth="1"/>
    <col min="65" max="65" width="18.3828125" style="339" bestFit="1" customWidth="1"/>
    <col min="66" max="66" width="19.84375" style="339" bestFit="1" customWidth="1"/>
    <col min="67" max="67" width="19.15234375" style="339" bestFit="1" customWidth="1"/>
    <col min="68" max="68" width="48.53515625" style="339" bestFit="1" customWidth="1"/>
    <col min="69" max="69" width="18.53515625" style="339" bestFit="1" customWidth="1"/>
    <col min="70" max="70" width="16.3828125" style="247" bestFit="1" customWidth="1"/>
    <col min="71" max="71" width="19.3828125" style="247" customWidth="1"/>
    <col min="72" max="73" width="11.15234375" style="247" customWidth="1"/>
    <col min="74" max="16384" width="11.15234375" style="247"/>
  </cols>
  <sheetData>
    <row r="1" spans="1:69" s="539" customFormat="1" ht="50.5" customHeight="1">
      <c r="A1" s="604" t="s">
        <v>0</v>
      </c>
      <c r="B1" s="604" t="s">
        <v>1</v>
      </c>
      <c r="C1" s="604" t="s">
        <v>2</v>
      </c>
      <c r="D1" s="604" t="s">
        <v>3</v>
      </c>
      <c r="E1" s="604" t="s">
        <v>4</v>
      </c>
      <c r="F1" s="605" t="s">
        <v>5</v>
      </c>
      <c r="G1" s="604" t="s">
        <v>6</v>
      </c>
      <c r="H1" s="604" t="s">
        <v>7</v>
      </c>
      <c r="I1" s="606" t="s">
        <v>8</v>
      </c>
      <c r="J1" s="606" t="s">
        <v>9</v>
      </c>
      <c r="K1" s="607" t="s">
        <v>10</v>
      </c>
      <c r="L1" s="606" t="s">
        <v>11</v>
      </c>
      <c r="M1" s="606" t="s">
        <v>12</v>
      </c>
      <c r="N1" s="606" t="s">
        <v>13</v>
      </c>
      <c r="O1" s="606" t="s">
        <v>14</v>
      </c>
      <c r="P1" s="606" t="s">
        <v>15</v>
      </c>
      <c r="Q1" s="606" t="s">
        <v>16</v>
      </c>
      <c r="R1" s="606" t="s">
        <v>17</v>
      </c>
      <c r="S1" s="606" t="s">
        <v>18</v>
      </c>
      <c r="T1" s="605" t="s">
        <v>19</v>
      </c>
      <c r="U1" s="604" t="s">
        <v>20</v>
      </c>
      <c r="V1" s="606" t="s">
        <v>21</v>
      </c>
      <c r="W1" s="606" t="s">
        <v>22</v>
      </c>
      <c r="X1" s="606" t="s">
        <v>23</v>
      </c>
      <c r="Y1" s="538" t="s">
        <v>24</v>
      </c>
      <c r="Z1" s="538" t="s">
        <v>25</v>
      </c>
      <c r="AA1" s="538" t="s">
        <v>26</v>
      </c>
      <c r="AB1" s="538" t="s">
        <v>27</v>
      </c>
      <c r="AC1" s="538" t="s">
        <v>28</v>
      </c>
      <c r="AD1" s="538" t="s">
        <v>29</v>
      </c>
      <c r="AE1" s="607" t="s">
        <v>30</v>
      </c>
      <c r="AF1" s="606" t="s">
        <v>31</v>
      </c>
      <c r="AG1" s="606" t="s">
        <v>32</v>
      </c>
      <c r="AH1" s="606" t="s">
        <v>33</v>
      </c>
      <c r="AI1" s="606" t="s">
        <v>34</v>
      </c>
      <c r="AJ1" s="606" t="s">
        <v>35</v>
      </c>
      <c r="AK1" s="606" t="s">
        <v>36</v>
      </c>
      <c r="AL1" s="606" t="s">
        <v>37</v>
      </c>
      <c r="AM1" s="606" t="s">
        <v>38</v>
      </c>
      <c r="AN1" s="606" t="s">
        <v>39</v>
      </c>
      <c r="AO1" s="606" t="s">
        <v>40</v>
      </c>
      <c r="AP1" s="606" t="s">
        <v>41</v>
      </c>
      <c r="AQ1" s="606" t="s">
        <v>42</v>
      </c>
      <c r="AR1" s="606" t="s">
        <v>43</v>
      </c>
      <c r="AS1" s="606" t="s">
        <v>44</v>
      </c>
      <c r="AT1" s="606" t="s">
        <v>45</v>
      </c>
      <c r="AU1" s="606" t="s">
        <v>46</v>
      </c>
      <c r="AV1" s="606" t="s">
        <v>47</v>
      </c>
      <c r="AW1" s="606" t="s">
        <v>48</v>
      </c>
      <c r="AX1" s="606" t="s">
        <v>49</v>
      </c>
    </row>
    <row r="2" spans="1:69" ht="50.5" customHeight="1">
      <c r="A2" s="540" t="s">
        <v>50</v>
      </c>
      <c r="B2" s="541" t="s">
        <v>51</v>
      </c>
      <c r="C2" s="541" t="s">
        <v>52</v>
      </c>
      <c r="D2" s="542">
        <v>1</v>
      </c>
      <c r="E2" s="542" t="s">
        <v>53</v>
      </c>
      <c r="F2" s="515" t="s">
        <v>54</v>
      </c>
      <c r="G2" s="517"/>
      <c r="H2" s="516" t="s">
        <v>55</v>
      </c>
      <c r="I2" s="518">
        <v>1</v>
      </c>
      <c r="J2" s="517" t="s">
        <v>56</v>
      </c>
      <c r="K2" s="514"/>
      <c r="L2" s="516" t="s">
        <v>57</v>
      </c>
      <c r="M2" s="516" t="s">
        <v>58</v>
      </c>
      <c r="N2" s="516"/>
      <c r="O2" s="516" t="s">
        <v>59</v>
      </c>
      <c r="P2" s="516" t="s">
        <v>60</v>
      </c>
      <c r="Q2" s="516" t="s">
        <v>61</v>
      </c>
      <c r="R2" s="516" t="s">
        <v>62</v>
      </c>
      <c r="S2" s="516"/>
      <c r="T2" s="608" t="s">
        <v>63</v>
      </c>
      <c r="U2" s="516">
        <v>4</v>
      </c>
      <c r="V2" s="516"/>
      <c r="W2" s="516" t="s">
        <v>64</v>
      </c>
      <c r="X2" s="609" t="s">
        <v>65</v>
      </c>
      <c r="Y2" s="519"/>
      <c r="Z2" s="519"/>
      <c r="AA2" s="519"/>
      <c r="AB2" s="519"/>
      <c r="AC2" s="519"/>
      <c r="AD2" s="519"/>
      <c r="AE2" s="514">
        <f>IFERROR(IF(Хронология[[#This Row],[Забой, м]]-V1&lt;0, 0, Хронология[[#This Row],[Забой, м]]-V1), 0)</f>
        <v>0</v>
      </c>
      <c r="AF2" s="520">
        <v>46144.833333333343</v>
      </c>
      <c r="AG2" s="521">
        <f>Хронология[[#This Row],[Начало]]+Хронология[[#This Row],[Сутки]]</f>
        <v>46145.000000000007</v>
      </c>
      <c r="AH2" s="522">
        <f>Хронология[[#This Row],[Часы]]/24</f>
        <v>0.16666666666666666</v>
      </c>
      <c r="AI2" s="522">
        <f>IFERROR(Хронология[[#This Row],[Сутки]]+AI1, Хронология[[#This Row],[Сутки]])</f>
        <v>0.16666666666666666</v>
      </c>
      <c r="AJ2"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ПВ</v>
      </c>
      <c r="AK2"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4</v>
      </c>
      <c r="AL2"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v>
      </c>
      <c r="AM2" s="527">
        <f>IF(Хронология[[#This Row],[Результат]]="НПВ", Хронология[[#This Row],[Часы]], 0)</f>
        <v>0</v>
      </c>
      <c r="AN2" s="518">
        <f>SUMIFS(Хронология[НПВ], Хронология[Скважина], Хронология[[#This Row],[Скважина]], Хронология[Начало], "&lt;=" &amp; Хронология[[#This Row],[Начало]])</f>
        <v>0</v>
      </c>
      <c r="AO2" s="518">
        <f>SUMIFS(Хронология[ПНВ], Хронология[Скважина], Хронология[[#This Row],[Скважина]], Хронология[Начало], "&lt;=" &amp; Хронология[[#This Row],[Начало]])</f>
        <v>0</v>
      </c>
      <c r="AP2" s="523">
        <f>INT(ROUND(Хронология[[#This Row],[Начало]], 3))</f>
        <v>46144</v>
      </c>
      <c r="AQ2" s="524">
        <f>Хронология[[#This Row],[Начало]]-INT(Хронология[[#This Row],[Начало]])</f>
        <v>0.83333333334303461</v>
      </c>
      <c r="AR2" s="523">
        <f>INT(ROUND(Хронология[[#This Row],[Окончание]], 3))</f>
        <v>46145</v>
      </c>
      <c r="AS2" s="524">
        <f>Хронология[[#This Row],[Окончание]]-INT(Хронология[[#This Row],[Окончание]])</f>
        <v>0</v>
      </c>
      <c r="AT2" s="524" t="str">
        <f>Хронология[[#This Row],[Мастер]] &amp; CHAR(10) &amp; Хронология[[#This Row],[Помощник мастера]] &amp; CHAR(10) &amp; Хронология[[#This Row],[Бурильщик]]</f>
        <v>Вдовин И.О.
Жангазиев С.К.</v>
      </c>
      <c r="AU2"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6 бис ОК– ДПМ Передвижка УПА </v>
      </c>
      <c r="AV2" s="518" t="str">
        <f>Хронология[[#This Row],[Результат]]&amp;":  "&amp;Хронология[[#This Row],[Событие]]&amp; CHAR(10) &amp;Хронология[[#This Row],[Вид работ]]&amp;"  "&amp;Хронология[[#This Row],[Объект работ]]</f>
        <v>ПВ:  
Передвижка  УПА</v>
      </c>
      <c r="AW2" s="522">
        <f>SUMIF($AU$2:AU2, Хронология[[#This Row],[Ключ]], $AH$2:AH2)</f>
        <v>0.16666666666666666</v>
      </c>
      <c r="AX2" s="516" t="str">
        <f>Хронология[[#This Row],[Вид работ]] &amp; " " &amp; Хронология[[#This Row],[Объект работ]]</f>
        <v>Передвижка УПА</v>
      </c>
      <c r="AY2" s="247"/>
      <c r="AZ2" s="247"/>
      <c r="BA2" s="247"/>
      <c r="BB2" s="247"/>
      <c r="BD2" s="247"/>
      <c r="BE2" s="247"/>
      <c r="BF2" s="247"/>
      <c r="BG2" s="247"/>
      <c r="BH2" s="247"/>
      <c r="BI2" s="247"/>
      <c r="BJ2" s="247"/>
      <c r="BK2" s="247"/>
      <c r="BL2" s="247"/>
      <c r="BM2" s="247"/>
      <c r="BN2" s="247"/>
      <c r="BO2" s="247"/>
      <c r="BP2" s="247"/>
      <c r="BQ2" s="247"/>
    </row>
    <row r="3" spans="1:69" ht="50.5" customHeight="1">
      <c r="A3" s="540" t="s">
        <v>50</v>
      </c>
      <c r="B3" s="541" t="s">
        <v>51</v>
      </c>
      <c r="C3" s="541" t="s">
        <v>52</v>
      </c>
      <c r="D3" s="542">
        <v>1</v>
      </c>
      <c r="E3" s="542" t="s">
        <v>53</v>
      </c>
      <c r="F3" s="515" t="s">
        <v>66</v>
      </c>
      <c r="G3" s="517"/>
      <c r="H3" s="516" t="s">
        <v>67</v>
      </c>
      <c r="I3" s="518"/>
      <c r="J3" s="517"/>
      <c r="K3" s="514"/>
      <c r="L3" s="516" t="s">
        <v>57</v>
      </c>
      <c r="M3" s="516" t="s">
        <v>58</v>
      </c>
      <c r="N3" s="516"/>
      <c r="O3" s="516" t="s">
        <v>59</v>
      </c>
      <c r="P3" s="516" t="s">
        <v>60</v>
      </c>
      <c r="Q3" s="516" t="s">
        <v>61</v>
      </c>
      <c r="R3" s="516" t="s">
        <v>62</v>
      </c>
      <c r="S3" s="516"/>
      <c r="T3" s="608"/>
      <c r="U3" s="516">
        <v>2.5</v>
      </c>
      <c r="V3" s="516"/>
      <c r="W3" s="516"/>
      <c r="X3" s="609"/>
      <c r="Y3" s="519"/>
      <c r="Z3" s="519"/>
      <c r="AA3" s="519"/>
      <c r="AB3" s="519"/>
      <c r="AC3" s="519"/>
      <c r="AD3" s="519"/>
      <c r="AE3" s="514">
        <f>IFERROR(IF(Хронология[[#This Row],[Забой, м]]-V2&lt;0, 0, Хронология[[#This Row],[Забой, м]]-V2), 0)</f>
        <v>0</v>
      </c>
      <c r="AF3" s="521">
        <f t="shared" ref="AF3:AF66" si="0">AG2</f>
        <v>46145.000000000007</v>
      </c>
      <c r="AG3" s="521">
        <f>Хронология[[#This Row],[Начало]]+Хронология[[#This Row],[Сутки]]</f>
        <v>46145.104166666672</v>
      </c>
      <c r="AH3" s="522">
        <f>Хронология[[#This Row],[Часы]]/24</f>
        <v>0.10416666666666667</v>
      </c>
      <c r="AI3" s="522">
        <f>IFERROR(Хронология[[#This Row],[Сутки]]+AI2, Хронология[[#This Row],[Сутки]])</f>
        <v>0.27083333333333331</v>
      </c>
      <c r="AJ3"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ПНВ</v>
      </c>
      <c r="AK3"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2.37</v>
      </c>
      <c r="AL3"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0.12999999999999989</v>
      </c>
      <c r="AM3" s="527">
        <f>IF(Хронология[[#This Row],[Результат]]="НПВ", Хронология[[#This Row],[Часы]], 0)</f>
        <v>0</v>
      </c>
      <c r="AN3" s="518">
        <f>SUMIFS(Хронология[НПВ], Хронология[Скважина], Хронология[[#This Row],[Скважина]], Хронология[Начало], "&lt;=" &amp; Хронология[[#This Row],[Начало]])</f>
        <v>0</v>
      </c>
      <c r="AO3" s="518">
        <f>SUMIFS(Хронология[ПНВ], Хронология[Скважина], Хронология[[#This Row],[Скважина]], Хронология[Начало], "&lt;=" &amp; Хронология[[#This Row],[Начало]])</f>
        <v>0.12999999999999989</v>
      </c>
      <c r="AP3" s="523">
        <f>INT(ROUND(Хронология[[#This Row],[Начало]], 3))</f>
        <v>46145</v>
      </c>
      <c r="AQ3" s="524">
        <f>Хронология[[#This Row],[Начало]]-INT(Хронология[[#This Row],[Начало]])</f>
        <v>0</v>
      </c>
      <c r="AR3" s="523">
        <f>INT(ROUND(Хронология[[#This Row],[Окончание]], 3))</f>
        <v>46145</v>
      </c>
      <c r="AS3" s="524">
        <f>Хронология[[#This Row],[Окончание]]-INT(Хронология[[#This Row],[Окончание]])</f>
        <v>0.10416666667151731</v>
      </c>
      <c r="AT3" s="524" t="str">
        <f>Хронология[[#This Row],[Мастер]] &amp; CHAR(10) &amp; Хронология[[#This Row],[Помощник мастера]] &amp; CHAR(10) &amp; Хронология[[#This Row],[Бурильщик]]</f>
        <v>Жабин П.П.
Керимов Н.К.</v>
      </c>
      <c r="AU3"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6 бис ОК– ДПМ Передвижка УПА </v>
      </c>
      <c r="AV3" s="518" t="str">
        <f>Хронология[[#This Row],[Результат]]&amp;":  "&amp;Хронология[[#This Row],[Событие]]&amp; CHAR(10) &amp;Хронология[[#This Row],[Вид работ]]&amp;"  "&amp;Хронология[[#This Row],[Объект работ]]</f>
        <v>ПНВ:  
Передвижка  УПА</v>
      </c>
      <c r="AW3" s="522">
        <f>SUMIF($AU$2:AU3, Хронология[[#This Row],[Ключ]], $AH$2:AH3)</f>
        <v>0.27083333333333331</v>
      </c>
      <c r="AX3" s="516" t="str">
        <f>Хронология[[#This Row],[Вид работ]] &amp; " " &amp; Хронология[[#This Row],[Объект работ]]</f>
        <v>Передвижка УПА</v>
      </c>
      <c r="AY3" s="247"/>
      <c r="AZ3" s="247"/>
      <c r="BA3" s="247"/>
      <c r="BB3" s="247"/>
      <c r="BD3" s="247"/>
      <c r="BE3" s="247"/>
      <c r="BF3" s="247"/>
      <c r="BG3" s="247"/>
      <c r="BH3" s="247"/>
      <c r="BI3" s="247"/>
      <c r="BJ3" s="247"/>
      <c r="BK3" s="247"/>
      <c r="BL3" s="247"/>
      <c r="BM3" s="247"/>
      <c r="BN3" s="247"/>
      <c r="BO3" s="247"/>
      <c r="BP3" s="247"/>
      <c r="BQ3" s="247"/>
    </row>
    <row r="4" spans="1:69" ht="69" customHeight="1">
      <c r="A4" s="540" t="s">
        <v>50</v>
      </c>
      <c r="B4" s="541" t="s">
        <v>51</v>
      </c>
      <c r="C4" s="541" t="s">
        <v>52</v>
      </c>
      <c r="D4" s="542">
        <v>1</v>
      </c>
      <c r="E4" s="542" t="s">
        <v>53</v>
      </c>
      <c r="F4" s="515" t="s">
        <v>66</v>
      </c>
      <c r="G4" s="517"/>
      <c r="H4" s="516" t="s">
        <v>67</v>
      </c>
      <c r="I4" s="518">
        <v>1</v>
      </c>
      <c r="J4" s="517" t="s">
        <v>68</v>
      </c>
      <c r="K4" s="514"/>
      <c r="L4" s="516" t="s">
        <v>57</v>
      </c>
      <c r="M4" s="516" t="s">
        <v>58</v>
      </c>
      <c r="N4" s="516"/>
      <c r="O4" s="516" t="s">
        <v>69</v>
      </c>
      <c r="P4" s="516" t="s">
        <v>70</v>
      </c>
      <c r="Q4" s="516" t="s">
        <v>61</v>
      </c>
      <c r="R4" s="516" t="s">
        <v>71</v>
      </c>
      <c r="S4" s="516"/>
      <c r="T4" s="526" t="s">
        <v>72</v>
      </c>
      <c r="U4" s="516">
        <v>4.25</v>
      </c>
      <c r="V4" s="516"/>
      <c r="W4" s="516" t="s">
        <v>64</v>
      </c>
      <c r="X4" s="516" t="s">
        <v>65</v>
      </c>
      <c r="Y4" s="516"/>
      <c r="Z4" s="516"/>
      <c r="AA4" s="516"/>
      <c r="AB4" s="516"/>
      <c r="AC4" s="516"/>
      <c r="AD4" s="516"/>
      <c r="AE4" s="514">
        <f>IFERROR(IF(Хронология[[#This Row],[Забой, м]]-V3&lt;0, 0, Хронология[[#This Row],[Забой, м]]-V3), 0)</f>
        <v>0</v>
      </c>
      <c r="AF4" s="521">
        <f t="shared" si="0"/>
        <v>46145.104166666672</v>
      </c>
      <c r="AG4" s="521">
        <f>Хронология[[#This Row],[Начало]]+Хронология[[#This Row],[Сутки]]</f>
        <v>46145.281250000007</v>
      </c>
      <c r="AH4" s="522">
        <f>Хронология[[#This Row],[Часы]]/24</f>
        <v>0.17708333333333334</v>
      </c>
      <c r="AI4" s="522">
        <f>IFERROR(Хронология[[#This Row],[Сутки]]+AI3, Хронология[[#This Row],[Сутки]])</f>
        <v>0.44791666666666663</v>
      </c>
      <c r="AJ4"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ПНВ</v>
      </c>
      <c r="AK4"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4.04</v>
      </c>
      <c r="AL4"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0.20999999999999996</v>
      </c>
      <c r="AM4" s="527">
        <f>IF(Хронология[[#This Row],[Результат]]="НПВ", Хронология[[#This Row],[Часы]], 0)</f>
        <v>0</v>
      </c>
      <c r="AN4" s="518">
        <f>SUMIFS(Хронология[НПВ], Хронология[Скважина], Хронология[[#This Row],[Скважина]], Хронология[Начало], "&lt;=" &amp; Хронология[[#This Row],[Начало]])</f>
        <v>0</v>
      </c>
      <c r="AO4" s="518">
        <f>SUMIFS(Хронология[ПНВ], Хронология[Скважина], Хронология[[#This Row],[Скважина]], Хронология[Начало], "&lt;=" &amp; Хронология[[#This Row],[Начало]])</f>
        <v>0.33999999999999986</v>
      </c>
      <c r="AP4" s="523">
        <f>INT(ROUND(Хронология[[#This Row],[Начало]], 3))</f>
        <v>46145</v>
      </c>
      <c r="AQ4" s="524">
        <f>Хронология[[#This Row],[Начало]]-INT(Хронология[[#This Row],[Начало]])</f>
        <v>0.10416666667151731</v>
      </c>
      <c r="AR4" s="523">
        <f>INT(ROUND(Хронология[[#This Row],[Окончание]], 3))</f>
        <v>46145</v>
      </c>
      <c r="AS4" s="524">
        <f>Хронология[[#This Row],[Окончание]]-INT(Хронология[[#This Row],[Окончание]])</f>
        <v>0.28125000000727596</v>
      </c>
      <c r="AT4" s="524" t="str">
        <f>Хронология[[#This Row],[Мастер]] &amp; CHAR(10) &amp; Хронология[[#This Row],[Помощник мастера]] &amp; CHAR(10) &amp; Хронология[[#This Row],[Бурильщик]]</f>
        <v>Жабин П.П.
Керимов Н.К.</v>
      </c>
      <c r="AU4"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6 бис ОК– ДПМ Монтаж БО </v>
      </c>
      <c r="AV4" s="518" t="str">
        <f>Хронология[[#This Row],[Результат]]&amp;":  "&amp;Хронология[[#This Row],[Событие]]&amp; CHAR(10) &amp;Хронология[[#This Row],[Вид работ]]&amp;"  "&amp;Хронология[[#This Row],[Объект работ]]</f>
        <v>ПНВ:  
Монтаж  БО</v>
      </c>
      <c r="AW4" s="522">
        <f>SUMIF($AU$2:AU4, Хронология[[#This Row],[Ключ]], $AH$2:AH4)</f>
        <v>0.17708333333333334</v>
      </c>
      <c r="AX4" s="516" t="str">
        <f>Хронология[[#This Row],[Вид работ]] &amp; " " &amp; Хронология[[#This Row],[Объект работ]]</f>
        <v>Монтаж БО</v>
      </c>
      <c r="AY4" s="247"/>
      <c r="AZ4" s="247"/>
      <c r="BA4" s="247"/>
      <c r="BB4" s="247"/>
      <c r="BD4" s="247"/>
      <c r="BE4" s="247"/>
      <c r="BF4" s="247"/>
      <c r="BG4" s="247"/>
      <c r="BH4" s="247"/>
      <c r="BI4" s="247"/>
      <c r="BJ4" s="247"/>
      <c r="BK4" s="247"/>
      <c r="BL4" s="247"/>
      <c r="BM4" s="247"/>
      <c r="BN4" s="247"/>
      <c r="BO4" s="247"/>
      <c r="BP4" s="247"/>
      <c r="BQ4" s="247"/>
    </row>
    <row r="5" spans="1:69" ht="69" customHeight="1">
      <c r="A5" s="540" t="s">
        <v>50</v>
      </c>
      <c r="B5" s="541" t="s">
        <v>51</v>
      </c>
      <c r="C5" s="541" t="s">
        <v>52</v>
      </c>
      <c r="D5" s="542">
        <v>1</v>
      </c>
      <c r="E5" s="542" t="s">
        <v>53</v>
      </c>
      <c r="F5" s="515" t="s">
        <v>54</v>
      </c>
      <c r="G5" s="517"/>
      <c r="H5" s="516" t="s">
        <v>55</v>
      </c>
      <c r="I5" s="518">
        <v>1</v>
      </c>
      <c r="J5" s="517" t="s">
        <v>73</v>
      </c>
      <c r="K5" s="514"/>
      <c r="L5" s="516" t="s">
        <v>59</v>
      </c>
      <c r="M5" s="516" t="s">
        <v>58</v>
      </c>
      <c r="N5" s="516"/>
      <c r="O5" s="516" t="s">
        <v>69</v>
      </c>
      <c r="P5" s="516" t="s">
        <v>70</v>
      </c>
      <c r="Q5" s="516" t="s">
        <v>61</v>
      </c>
      <c r="R5" s="516" t="s">
        <v>62</v>
      </c>
      <c r="S5" s="516"/>
      <c r="T5" s="526" t="s">
        <v>74</v>
      </c>
      <c r="U5" s="516">
        <v>11.25</v>
      </c>
      <c r="V5" s="516"/>
      <c r="W5" s="516" t="s">
        <v>64</v>
      </c>
      <c r="X5" s="516" t="s">
        <v>65</v>
      </c>
      <c r="Y5" s="516"/>
      <c r="Z5" s="516"/>
      <c r="AA5" s="516"/>
      <c r="AB5" s="516"/>
      <c r="AC5" s="516"/>
      <c r="AD5" s="516"/>
      <c r="AE5" s="514">
        <f>IFERROR(IF(Хронология[[#This Row],[Забой, м]]-V4&lt;0, 0, Хронология[[#This Row],[Забой, м]]-V4), 0)</f>
        <v>0</v>
      </c>
      <c r="AF5" s="521">
        <f t="shared" si="0"/>
        <v>46145.281250000007</v>
      </c>
      <c r="AG5" s="521">
        <f>Хронология[[#This Row],[Начало]]+Хронология[[#This Row],[Сутки]]</f>
        <v>46145.750000000007</v>
      </c>
      <c r="AH5" s="522">
        <f>Хронология[[#This Row],[Часы]]/24</f>
        <v>0.46875</v>
      </c>
      <c r="AI5" s="522">
        <f>IFERROR(Хронология[[#This Row],[Сутки]]+AI4, Хронология[[#This Row],[Сутки]])</f>
        <v>0.91666666666666663</v>
      </c>
      <c r="AJ5"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ПНВ</v>
      </c>
      <c r="AK5"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8.09</v>
      </c>
      <c r="AL5"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3.16</v>
      </c>
      <c r="AM5" s="527">
        <f>IF(Хронология[[#This Row],[Результат]]="НПВ", Хронология[[#This Row],[Часы]], 0)</f>
        <v>0</v>
      </c>
      <c r="AN5" s="518">
        <f>SUMIFS(Хронология[НПВ], Хронология[Скважина], Хронология[[#This Row],[Скважина]], Хронология[Начало], "&lt;=" &amp; Хронология[[#This Row],[Начало]])</f>
        <v>0</v>
      </c>
      <c r="AO5" s="518">
        <f>SUMIFS(Хронология[ПНВ], Хронология[Скважина], Хронология[[#This Row],[Скважина]], Хронология[Начало], "&lt;=" &amp; Хронология[[#This Row],[Начало]])</f>
        <v>3.5</v>
      </c>
      <c r="AP5" s="523">
        <f>INT(ROUND(Хронология[[#This Row],[Начало]], 3))</f>
        <v>46145</v>
      </c>
      <c r="AQ5" s="524">
        <f>Хронология[[#This Row],[Начало]]-INT(Хронология[[#This Row],[Начало]])</f>
        <v>0.28125000000727596</v>
      </c>
      <c r="AR5" s="523">
        <f>INT(ROUND(Хронология[[#This Row],[Окончание]], 3))</f>
        <v>46145</v>
      </c>
      <c r="AS5" s="524">
        <f>Хронология[[#This Row],[Окончание]]-INT(Хронология[[#This Row],[Окончание]])</f>
        <v>0.75000000000727596</v>
      </c>
      <c r="AT5" s="524" t="str">
        <f>Хронология[[#This Row],[Мастер]] &amp; CHAR(10) &amp; Хронология[[#This Row],[Помощник мастера]] &amp; CHAR(10) &amp; Хронология[[#This Row],[Бурильщик]]</f>
        <v>Вдовин И.О.
Жангазиев С.К.</v>
      </c>
      <c r="AU5"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6 бис ОК– ПР Монтаж УПА </v>
      </c>
      <c r="AV5" s="518" t="str">
        <f>Хронология[[#This Row],[Результат]]&amp;":  "&amp;Хронология[[#This Row],[Событие]]&amp; CHAR(10) &amp;Хронология[[#This Row],[Вид работ]]&amp;"  "&amp;Хронология[[#This Row],[Объект работ]]</f>
        <v>ПНВ:  
Монтаж  УПА</v>
      </c>
      <c r="AW5" s="522">
        <f>SUMIF($AU$2:AU5, Хронология[[#This Row],[Ключ]], $AH$2:AH5)</f>
        <v>0.46875</v>
      </c>
      <c r="AX5" s="516" t="str">
        <f>Хронология[[#This Row],[Вид работ]] &amp; " " &amp; Хронология[[#This Row],[Объект работ]]</f>
        <v>Монтаж УПА</v>
      </c>
      <c r="AZ5" s="339"/>
      <c r="BB5" s="339"/>
      <c r="BC5" s="339"/>
      <c r="BH5" s="247"/>
      <c r="BI5" s="247"/>
      <c r="BJ5" s="247"/>
      <c r="BK5" s="247"/>
      <c r="BL5" s="247"/>
      <c r="BM5" s="247"/>
      <c r="BN5" s="247"/>
      <c r="BO5" s="247"/>
      <c r="BP5" s="247"/>
      <c r="BQ5" s="247"/>
    </row>
    <row r="6" spans="1:69" ht="69" customHeight="1">
      <c r="A6" s="540" t="s">
        <v>50</v>
      </c>
      <c r="B6" s="541" t="s">
        <v>51</v>
      </c>
      <c r="C6" s="541" t="s">
        <v>52</v>
      </c>
      <c r="D6" s="542">
        <v>1</v>
      </c>
      <c r="E6" s="542" t="s">
        <v>53</v>
      </c>
      <c r="F6" s="515" t="s">
        <v>54</v>
      </c>
      <c r="G6" s="517"/>
      <c r="H6" s="516" t="s">
        <v>55</v>
      </c>
      <c r="I6" s="518">
        <v>1</v>
      </c>
      <c r="J6" s="517" t="s">
        <v>75</v>
      </c>
      <c r="K6" s="514"/>
      <c r="L6" s="516" t="s">
        <v>59</v>
      </c>
      <c r="M6" s="516" t="s">
        <v>76</v>
      </c>
      <c r="N6" s="516" t="s">
        <v>77</v>
      </c>
      <c r="O6" s="516" t="s">
        <v>78</v>
      </c>
      <c r="P6" s="516" t="s">
        <v>79</v>
      </c>
      <c r="Q6" s="516" t="s">
        <v>80</v>
      </c>
      <c r="R6" s="516" t="s">
        <v>81</v>
      </c>
      <c r="S6" s="516"/>
      <c r="T6" s="526" t="s">
        <v>82</v>
      </c>
      <c r="U6" s="516">
        <v>6</v>
      </c>
      <c r="V6" s="516"/>
      <c r="W6" s="516" t="s">
        <v>64</v>
      </c>
      <c r="X6" s="516" t="s">
        <v>83</v>
      </c>
      <c r="Y6" s="516"/>
      <c r="Z6" s="516"/>
      <c r="AA6" s="516"/>
      <c r="AB6" s="516"/>
      <c r="AC6" s="516"/>
      <c r="AD6" s="516"/>
      <c r="AE6" s="514">
        <f>IFERROR(IF(Хронология[[#This Row],[Забой, м]]-V5&lt;0, 0, Хронология[[#This Row],[Забой, м]]-V5), 0)</f>
        <v>0</v>
      </c>
      <c r="AF6" s="521">
        <f t="shared" si="0"/>
        <v>46145.750000000007</v>
      </c>
      <c r="AG6" s="521">
        <f>Хронология[[#This Row],[Начало]]+Хронология[[#This Row],[Сутки]]</f>
        <v>46146.000000000007</v>
      </c>
      <c r="AH6" s="522">
        <f>Хронология[[#This Row],[Часы]]/24</f>
        <v>0.25</v>
      </c>
      <c r="AI6" s="522">
        <f>IFERROR(Хронология[[#This Row],[Сутки]]+AI5, Хронология[[#This Row],[Сутки]])</f>
        <v>1.1666666666666665</v>
      </c>
      <c r="AJ6"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НПВ</v>
      </c>
      <c r="AK6"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v>
      </c>
      <c r="AL6"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v>
      </c>
      <c r="AM6" s="527">
        <f>IF(Хронология[[#This Row],[Результат]]="НПВ", Хронология[[#This Row],[Часы]], 0)</f>
        <v>6</v>
      </c>
      <c r="AN6" s="518">
        <f>SUMIFS(Хронология[НПВ], Хронология[Скважина], Хронология[[#This Row],[Скважина]], Хронология[Начало], "&lt;=" &amp; Хронология[[#This Row],[Начало]])</f>
        <v>6</v>
      </c>
      <c r="AO6" s="518">
        <f>SUMIFS(Хронология[ПНВ], Хронология[Скважина], Хронология[[#This Row],[Скважина]], Хронология[Начало], "&lt;=" &amp; Хронология[[#This Row],[Начало]])</f>
        <v>3.5</v>
      </c>
      <c r="AP6" s="523">
        <f>INT(ROUND(Хронология[[#This Row],[Начало]], 3))</f>
        <v>46145</v>
      </c>
      <c r="AQ6" s="524">
        <f>Хронология[[#This Row],[Начало]]-INT(Хронология[[#This Row],[Начало]])</f>
        <v>0.75000000000727596</v>
      </c>
      <c r="AR6" s="523">
        <f>INT(ROUND(Хронология[[#This Row],[Окончание]], 3))</f>
        <v>46146</v>
      </c>
      <c r="AS6" s="524">
        <f>Хронология[[#This Row],[Окончание]]-INT(Хронология[[#This Row],[Окончание]])</f>
        <v>0</v>
      </c>
      <c r="AT6" s="524" t="str">
        <f>Хронология[[#This Row],[Мастер]] &amp; CHAR(10) &amp; Хронология[[#This Row],[Помощник мастера]] &amp; CHAR(10) &amp; Хронология[[#This Row],[Бурильщик]]</f>
        <v>Вдовин И.О.
Жангазиев С.К.</v>
      </c>
      <c r="AU6"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6 бис ОК– ПР Орг_простой Ожидание разрешения Устранение Предписания </v>
      </c>
      <c r="AV6" s="518" t="str">
        <f>Хронология[[#This Row],[Результат]]&amp;":  "&amp;Хронология[[#This Row],[Событие]]&amp; CHAR(10) &amp;Хронология[[#This Row],[Вид работ]]&amp;"  "&amp;Хронология[[#This Row],[Объект работ]]</f>
        <v>НПВ:  Ожидание разрешения
Устранение  Предписания</v>
      </c>
      <c r="AW6" s="522">
        <f>SUMIF($AU$2:AU6, Хронология[[#This Row],[Ключ]], $AH$2:AH6)</f>
        <v>0.25</v>
      </c>
      <c r="AX6" s="516" t="str">
        <f>Хронология[[#This Row],[Вид работ]] &amp; " " &amp; Хронология[[#This Row],[Объект работ]]</f>
        <v>Устранение Предписания</v>
      </c>
      <c r="AZ6" s="339"/>
      <c r="BB6" s="339"/>
      <c r="BC6" s="339"/>
      <c r="BH6" s="247"/>
      <c r="BI6" s="247"/>
      <c r="BJ6" s="247"/>
      <c r="BK6" s="247"/>
      <c r="BL6" s="247"/>
      <c r="BM6" s="247"/>
      <c r="BN6" s="247"/>
      <c r="BO6" s="247"/>
      <c r="BP6" s="247"/>
      <c r="BQ6" s="247"/>
    </row>
    <row r="7" spans="1:69" ht="69" customHeight="1">
      <c r="A7" s="540" t="s">
        <v>50</v>
      </c>
      <c r="B7" s="541" t="s">
        <v>51</v>
      </c>
      <c r="C7" s="541" t="s">
        <v>52</v>
      </c>
      <c r="D7" s="542">
        <v>1</v>
      </c>
      <c r="E7" s="542" t="s">
        <v>53</v>
      </c>
      <c r="F7" s="515" t="s">
        <v>66</v>
      </c>
      <c r="G7" s="517"/>
      <c r="H7" s="516" t="s">
        <v>67</v>
      </c>
      <c r="I7" s="518"/>
      <c r="J7" s="517"/>
      <c r="K7" s="514"/>
      <c r="L7" s="516" t="s">
        <v>59</v>
      </c>
      <c r="M7" s="516" t="s">
        <v>76</v>
      </c>
      <c r="N7" s="516" t="s">
        <v>77</v>
      </c>
      <c r="O7" s="516" t="s">
        <v>78</v>
      </c>
      <c r="P7" s="516" t="s">
        <v>79</v>
      </c>
      <c r="Q7" s="516" t="s">
        <v>80</v>
      </c>
      <c r="R7" s="516" t="s">
        <v>81</v>
      </c>
      <c r="S7" s="516"/>
      <c r="T7" s="526"/>
      <c r="U7" s="516">
        <v>3</v>
      </c>
      <c r="V7" s="516"/>
      <c r="W7" s="516" t="s">
        <v>64</v>
      </c>
      <c r="X7" s="516" t="s">
        <v>83</v>
      </c>
      <c r="Y7" s="516"/>
      <c r="Z7" s="516"/>
      <c r="AA7" s="516"/>
      <c r="AB7" s="516"/>
      <c r="AC7" s="516"/>
      <c r="AD7" s="516"/>
      <c r="AE7" s="514">
        <f>IFERROR(IF(Хронология[[#This Row],[Забой, м]]-V6&lt;0, 0, Хронология[[#This Row],[Забой, м]]-V6), 0)</f>
        <v>0</v>
      </c>
      <c r="AF7" s="521">
        <f t="shared" si="0"/>
        <v>46146.000000000007</v>
      </c>
      <c r="AG7" s="521">
        <f>Хронология[[#This Row],[Начало]]+Хронология[[#This Row],[Сутки]]</f>
        <v>46146.125000000007</v>
      </c>
      <c r="AH7" s="522">
        <f>Хронология[[#This Row],[Часы]]/24</f>
        <v>0.125</v>
      </c>
      <c r="AI7" s="522">
        <f>IFERROR(Хронология[[#This Row],[Сутки]]+AI6, Хронология[[#This Row],[Сутки]])</f>
        <v>1.2916666666666665</v>
      </c>
      <c r="AJ7"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НПВ</v>
      </c>
      <c r="AK7"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v>
      </c>
      <c r="AL7"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v>
      </c>
      <c r="AM7" s="527">
        <f>IF(Хронология[[#This Row],[Результат]]="НПВ", Хронология[[#This Row],[Часы]], 0)</f>
        <v>3</v>
      </c>
      <c r="AN7" s="518">
        <f>SUMIFS(Хронология[НПВ], Хронология[Скважина], Хронология[[#This Row],[Скважина]], Хронология[Начало], "&lt;=" &amp; Хронология[[#This Row],[Начало]])</f>
        <v>9</v>
      </c>
      <c r="AO7" s="518">
        <f>SUMIFS(Хронология[ПНВ], Хронология[Скважина], Хронология[[#This Row],[Скважина]], Хронология[Начало], "&lt;=" &amp; Хронология[[#This Row],[Начало]])</f>
        <v>3.5</v>
      </c>
      <c r="AP7" s="523">
        <f>INT(ROUND(Хронология[[#This Row],[Начало]], 3))</f>
        <v>46146</v>
      </c>
      <c r="AQ7" s="524">
        <f>Хронология[[#This Row],[Начало]]-INT(Хронология[[#This Row],[Начало]])</f>
        <v>0</v>
      </c>
      <c r="AR7" s="523">
        <f>INT(ROUND(Хронология[[#This Row],[Окончание]], 3))</f>
        <v>46146</v>
      </c>
      <c r="AS7" s="524">
        <f>Хронология[[#This Row],[Окончание]]-INT(Хронология[[#This Row],[Окончание]])</f>
        <v>0.12500000000727596</v>
      </c>
      <c r="AT7" s="524" t="str">
        <f>Хронология[[#This Row],[Мастер]] &amp; CHAR(10) &amp; Хронология[[#This Row],[Помощник мастера]] &amp; CHAR(10) &amp; Хронология[[#This Row],[Бурильщик]]</f>
        <v>Жабин П.П.
Керимов Н.К.</v>
      </c>
      <c r="AU7"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6 бис ОК– ПР Орг_простой Ожидание разрешения Устранение Предписания </v>
      </c>
      <c r="AV7" s="518" t="str">
        <f>Хронология[[#This Row],[Результат]]&amp;":  "&amp;Хронология[[#This Row],[Событие]]&amp; CHAR(10) &amp;Хронология[[#This Row],[Вид работ]]&amp;"  "&amp;Хронология[[#This Row],[Объект работ]]</f>
        <v>НПВ:  Ожидание разрешения
Устранение  Предписания</v>
      </c>
      <c r="AW7" s="522">
        <f>SUMIF($AU$2:AU7, Хронология[[#This Row],[Ключ]], $AH$2:AH7)</f>
        <v>0.375</v>
      </c>
      <c r="AX7" s="516" t="str">
        <f>Хронология[[#This Row],[Вид работ]] &amp; " " &amp; Хронология[[#This Row],[Объект работ]]</f>
        <v>Устранение Предписания</v>
      </c>
      <c r="AZ7" s="339"/>
      <c r="BB7" s="339"/>
      <c r="BC7" s="339"/>
      <c r="BH7" s="247"/>
      <c r="BI7" s="247"/>
      <c r="BJ7" s="247"/>
      <c r="BK7" s="247"/>
      <c r="BL7" s="247"/>
      <c r="BM7" s="247"/>
      <c r="BN7" s="247"/>
      <c r="BO7" s="247"/>
      <c r="BP7" s="247"/>
      <c r="BQ7" s="247"/>
    </row>
    <row r="8" spans="1:69" ht="69" customHeight="1">
      <c r="A8" s="540" t="s">
        <v>50</v>
      </c>
      <c r="B8" s="541" t="s">
        <v>51</v>
      </c>
      <c r="C8" s="541" t="s">
        <v>52</v>
      </c>
      <c r="D8" s="542">
        <v>1</v>
      </c>
      <c r="E8" s="542" t="s">
        <v>53</v>
      </c>
      <c r="F8" s="515" t="s">
        <v>66</v>
      </c>
      <c r="G8" s="517"/>
      <c r="H8" s="516" t="s">
        <v>67</v>
      </c>
      <c r="I8" s="518">
        <v>1</v>
      </c>
      <c r="J8" s="517" t="s">
        <v>84</v>
      </c>
      <c r="K8" s="514"/>
      <c r="L8" s="516" t="s">
        <v>51</v>
      </c>
      <c r="M8" s="516" t="s">
        <v>58</v>
      </c>
      <c r="N8" s="516"/>
      <c r="O8" s="516" t="s">
        <v>69</v>
      </c>
      <c r="P8" s="516" t="s">
        <v>85</v>
      </c>
      <c r="Q8" s="516" t="s">
        <v>86</v>
      </c>
      <c r="R8" s="516" t="s">
        <v>87</v>
      </c>
      <c r="S8" s="516"/>
      <c r="T8" s="526" t="s">
        <v>88</v>
      </c>
      <c r="U8" s="516">
        <v>5</v>
      </c>
      <c r="V8" s="516"/>
      <c r="W8" s="516" t="s">
        <v>64</v>
      </c>
      <c r="X8" s="516" t="s">
        <v>65</v>
      </c>
      <c r="Y8" s="516"/>
      <c r="Z8" s="516"/>
      <c r="AA8" s="516"/>
      <c r="AB8" s="516"/>
      <c r="AC8" s="516"/>
      <c r="AD8" s="516"/>
      <c r="AE8" s="514">
        <f>IFERROR(IF(Хронология[[#This Row],[Забой, м]]-V7&lt;0, 0, Хронология[[#This Row],[Забой, м]]-V7), 0)</f>
        <v>0</v>
      </c>
      <c r="AF8" s="521">
        <f t="shared" si="0"/>
        <v>46146.125000000007</v>
      </c>
      <c r="AG8" s="521">
        <f>Хронология[[#This Row],[Начало]]+Хронология[[#This Row],[Сутки]]</f>
        <v>46146.333333333343</v>
      </c>
      <c r="AH8" s="522">
        <f>Хронология[[#This Row],[Часы]]/24</f>
        <v>0.20833333333333334</v>
      </c>
      <c r="AI8" s="522">
        <f>IFERROR(Хронология[[#This Row],[Сутки]]+AI7, Хронология[[#This Row],[Сутки]])</f>
        <v>1.4999999999999998</v>
      </c>
      <c r="AJ8"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ПНВ</v>
      </c>
      <c r="AK8"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1.48</v>
      </c>
      <c r="AL8"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3.52</v>
      </c>
      <c r="AM8" s="527">
        <f>IF(Хронология[[#This Row],[Результат]]="НПВ", Хронология[[#This Row],[Часы]], 0)</f>
        <v>0</v>
      </c>
      <c r="AN8" s="518">
        <f>SUMIFS(Хронология[НПВ], Хронология[Скважина], Хронология[[#This Row],[Скважина]], Хронология[Начало], "&lt;=" &amp; Хронология[[#This Row],[Начало]])</f>
        <v>9</v>
      </c>
      <c r="AO8" s="518">
        <f>SUMIFS(Хронология[ПНВ], Хронология[Скважина], Хронология[[#This Row],[Скважина]], Хронология[Начало], "&lt;=" &amp; Хронология[[#This Row],[Начало]])</f>
        <v>7.02</v>
      </c>
      <c r="AP8" s="523">
        <f>INT(ROUND(Хронология[[#This Row],[Начало]], 3))</f>
        <v>46146</v>
      </c>
      <c r="AQ8" s="524">
        <f>Хронология[[#This Row],[Начало]]-INT(Хронология[[#This Row],[Начало]])</f>
        <v>0.12500000000727596</v>
      </c>
      <c r="AR8" s="523">
        <f>INT(ROUND(Хронология[[#This Row],[Окончание]], 3))</f>
        <v>46146</v>
      </c>
      <c r="AS8" s="524">
        <f>Хронология[[#This Row],[Окончание]]-INT(Хронология[[#This Row],[Окончание]])</f>
        <v>0.33333333334303461</v>
      </c>
      <c r="AT8" s="524" t="str">
        <f>Хронология[[#This Row],[Мастер]] &amp; CHAR(10) &amp; Хронология[[#This Row],[Помощник мастера]] &amp; CHAR(10) &amp; Хронология[[#This Row],[Бурильщик]]</f>
        <v>Жабин П.П.
Керимов Н.К.</v>
      </c>
      <c r="AU8"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6 бис ОК– КРС Срыв Планшайба </v>
      </c>
      <c r="AV8" s="518" t="str">
        <f>Хронология[[#This Row],[Результат]]&amp;":  "&amp;Хронология[[#This Row],[Событие]]&amp; CHAR(10) &amp;Хронология[[#This Row],[Вид работ]]&amp;"  "&amp;Хронология[[#This Row],[Объект работ]]</f>
        <v>ПНВ:  
Срыв  Планшайба</v>
      </c>
      <c r="AW8" s="522">
        <f>SUMIF($AU$2:AU8, Хронология[[#This Row],[Ключ]], $AH$2:AH8)</f>
        <v>0.20833333333333334</v>
      </c>
      <c r="AX8" s="516" t="str">
        <f>Хронология[[#This Row],[Вид работ]] &amp; " " &amp; Хронология[[#This Row],[Объект работ]]</f>
        <v>Срыв Планшайба</v>
      </c>
      <c r="AZ8" s="339"/>
      <c r="BB8" s="339"/>
      <c r="BC8" s="339"/>
      <c r="BH8" s="247"/>
      <c r="BI8" s="247"/>
      <c r="BJ8" s="247"/>
      <c r="BK8" s="247"/>
      <c r="BL8" s="247"/>
      <c r="BM8" s="247"/>
      <c r="BN8" s="247"/>
      <c r="BO8" s="247"/>
      <c r="BP8" s="247"/>
      <c r="BQ8" s="247"/>
    </row>
    <row r="9" spans="1:69" ht="69" customHeight="1">
      <c r="A9" s="540" t="s">
        <v>50</v>
      </c>
      <c r="B9" s="541" t="s">
        <v>51</v>
      </c>
      <c r="C9" s="541" t="s">
        <v>52</v>
      </c>
      <c r="D9" s="542">
        <v>1</v>
      </c>
      <c r="E9" s="542" t="s">
        <v>53</v>
      </c>
      <c r="F9" s="515" t="s">
        <v>54</v>
      </c>
      <c r="G9" s="517"/>
      <c r="H9" s="516" t="s">
        <v>55</v>
      </c>
      <c r="I9" s="518">
        <v>1</v>
      </c>
      <c r="J9" s="517" t="s">
        <v>89</v>
      </c>
      <c r="K9" s="514"/>
      <c r="L9" s="516" t="s">
        <v>51</v>
      </c>
      <c r="M9" s="516" t="s">
        <v>58</v>
      </c>
      <c r="N9" s="516"/>
      <c r="O9" s="516" t="s">
        <v>90</v>
      </c>
      <c r="P9" s="516" t="s">
        <v>91</v>
      </c>
      <c r="Q9" s="516" t="s">
        <v>92</v>
      </c>
      <c r="R9" s="516" t="s">
        <v>93</v>
      </c>
      <c r="S9" s="516"/>
      <c r="T9" s="526" t="s">
        <v>94</v>
      </c>
      <c r="U9" s="516">
        <v>7.5</v>
      </c>
      <c r="V9" s="516"/>
      <c r="W9" s="516" t="s">
        <v>64</v>
      </c>
      <c r="X9" s="516" t="s">
        <v>65</v>
      </c>
      <c r="Y9" s="516"/>
      <c r="Z9" s="516"/>
      <c r="AA9" s="516"/>
      <c r="AB9" s="516"/>
      <c r="AC9" s="516"/>
      <c r="AD9" s="516"/>
      <c r="AE9" s="514">
        <f>IFERROR(IF(Хронология[[#This Row],[Забой, м]]-V8&lt;0, 0, Хронология[[#This Row],[Забой, м]]-V8), 0)</f>
        <v>0</v>
      </c>
      <c r="AF9" s="521">
        <f t="shared" si="0"/>
        <v>46146.333333333343</v>
      </c>
      <c r="AG9" s="521">
        <f>Хронология[[#This Row],[Начало]]+Хронология[[#This Row],[Сутки]]</f>
        <v>46146.645833333343</v>
      </c>
      <c r="AH9" s="522">
        <f>Хронология[[#This Row],[Часы]]/24</f>
        <v>0.3125</v>
      </c>
      <c r="AI9" s="522">
        <f>IFERROR(Хронология[[#This Row],[Сутки]]+AI8, Хронология[[#This Row],[Сутки]])</f>
        <v>1.8124999999999998</v>
      </c>
      <c r="AJ9"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ПНВ</v>
      </c>
      <c r="AK9"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3.46</v>
      </c>
      <c r="AL9"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4.04</v>
      </c>
      <c r="AM9" s="527">
        <f>IF(Хронология[[#This Row],[Результат]]="НПВ", Хронология[[#This Row],[Часы]], 0)</f>
        <v>0</v>
      </c>
      <c r="AN9" s="518">
        <f>SUMIFS(Хронология[НПВ], Хронология[Скважина], Хронология[[#This Row],[Скважина]], Хронология[Начало], "&lt;=" &amp; Хронология[[#This Row],[Начало]])</f>
        <v>9</v>
      </c>
      <c r="AO9" s="518">
        <f>SUMIFS(Хронология[ПНВ], Хронология[Скважина], Хронология[[#This Row],[Скважина]], Хронология[Начало], "&lt;=" &amp; Хронология[[#This Row],[Начало]])</f>
        <v>11.059999999999999</v>
      </c>
      <c r="AP9" s="523">
        <f>INT(ROUND(Хронология[[#This Row],[Начало]], 3))</f>
        <v>46146</v>
      </c>
      <c r="AQ9" s="524">
        <f>Хронология[[#This Row],[Начало]]-INT(Хронология[[#This Row],[Начало]])</f>
        <v>0.33333333334303461</v>
      </c>
      <c r="AR9" s="523">
        <f>INT(ROUND(Хронология[[#This Row],[Окончание]], 3))</f>
        <v>46146</v>
      </c>
      <c r="AS9" s="524">
        <f>Хронология[[#This Row],[Окончание]]-INT(Хронология[[#This Row],[Окончание]])</f>
        <v>0.64583333334303461</v>
      </c>
      <c r="AT9" s="524" t="str">
        <f>Хронология[[#This Row],[Мастер]] &amp; CHAR(10) &amp; Хронология[[#This Row],[Помощник мастера]] &amp; CHAR(10) &amp; Хронология[[#This Row],[Бурильщик]]</f>
        <v>Вдовин И.О.
Жангазиев С.К.</v>
      </c>
      <c r="AU9"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6 бис ОК– КРС Подъем УЭЦН </v>
      </c>
      <c r="AV9" s="518" t="str">
        <f>Хронология[[#This Row],[Результат]]&amp;":  "&amp;Хронология[[#This Row],[Событие]]&amp; CHAR(10) &amp;Хронология[[#This Row],[Вид работ]]&amp;"  "&amp;Хронология[[#This Row],[Объект работ]]</f>
        <v>ПНВ:  
Подъем  УЭЦН</v>
      </c>
      <c r="AW9" s="522">
        <f>SUMIF($AU$2:AU9, Хронология[[#This Row],[Ключ]], $AH$2:AH9)</f>
        <v>0.3125</v>
      </c>
      <c r="AX9" s="516" t="str">
        <f>Хронология[[#This Row],[Вид работ]] &amp; " " &amp; Хронология[[#This Row],[Объект работ]]</f>
        <v>Подъем УЭЦН</v>
      </c>
      <c r="AZ9" s="339"/>
      <c r="BB9" s="339"/>
      <c r="BC9" s="339"/>
      <c r="BH9" s="247"/>
      <c r="BI9" s="247"/>
      <c r="BJ9" s="247"/>
      <c r="BK9" s="247"/>
      <c r="BL9" s="247"/>
      <c r="BM9" s="247"/>
      <c r="BN9" s="247"/>
      <c r="BO9" s="247"/>
      <c r="BP9" s="247"/>
      <c r="BQ9" s="247"/>
    </row>
    <row r="10" spans="1:69" ht="29" customHeight="1">
      <c r="A10" s="540" t="s">
        <v>50</v>
      </c>
      <c r="B10" s="541" t="s">
        <v>51</v>
      </c>
      <c r="C10" s="541" t="s">
        <v>52</v>
      </c>
      <c r="D10" s="542">
        <v>1</v>
      </c>
      <c r="E10" s="542" t="s">
        <v>53</v>
      </c>
      <c r="F10" s="515" t="s">
        <v>54</v>
      </c>
      <c r="G10" s="517"/>
      <c r="H10" s="516" t="s">
        <v>55</v>
      </c>
      <c r="I10" s="518"/>
      <c r="J10" s="517"/>
      <c r="K10" s="514"/>
      <c r="L10" s="516" t="s">
        <v>51</v>
      </c>
      <c r="M10" s="516" t="s">
        <v>58</v>
      </c>
      <c r="N10" s="516"/>
      <c r="O10" s="516" t="s">
        <v>95</v>
      </c>
      <c r="P10" s="516" t="s">
        <v>96</v>
      </c>
      <c r="Q10" s="516" t="s">
        <v>92</v>
      </c>
      <c r="R10" s="516" t="s">
        <v>93</v>
      </c>
      <c r="S10" s="516"/>
      <c r="T10" s="526" t="s">
        <v>97</v>
      </c>
      <c r="U10" s="516">
        <v>2.5</v>
      </c>
      <c r="V10" s="516"/>
      <c r="W10" s="516" t="s">
        <v>64</v>
      </c>
      <c r="X10" s="516"/>
      <c r="Y10" s="516"/>
      <c r="Z10" s="516"/>
      <c r="AA10" s="516"/>
      <c r="AB10" s="516"/>
      <c r="AC10" s="516"/>
      <c r="AD10" s="516"/>
      <c r="AE10" s="514">
        <f>IFERROR(IF(Хронология[[#This Row],[Забой, м]]-V9&lt;0, 0, Хронология[[#This Row],[Забой, м]]-V9), 0)</f>
        <v>0</v>
      </c>
      <c r="AF10" s="521">
        <f t="shared" si="0"/>
        <v>46146.645833333343</v>
      </c>
      <c r="AG10" s="521">
        <f>Хронология[[#This Row],[Начало]]+Хронология[[#This Row],[Сутки]]</f>
        <v>46146.750000000007</v>
      </c>
      <c r="AH10" s="522">
        <f>Хронология[[#This Row],[Часы]]/24</f>
        <v>0.10416666666666667</v>
      </c>
      <c r="AI10" s="522">
        <f>IFERROR(Хронология[[#This Row],[Сутки]]+AI9, Хронология[[#This Row],[Сутки]])</f>
        <v>1.9166666666666665</v>
      </c>
      <c r="AJ10"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ПВ</v>
      </c>
      <c r="AK10"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2.5</v>
      </c>
      <c r="AL10"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v>
      </c>
      <c r="AM10" s="527">
        <f>IF(Хронология[[#This Row],[Результат]]="НПВ", Хронология[[#This Row],[Часы]], 0)</f>
        <v>0</v>
      </c>
      <c r="AN10" s="518">
        <f>SUMIFS(Хронология[НПВ], Хронология[Скважина], Хронология[[#This Row],[Скважина]], Хронология[Начало], "&lt;=" &amp; Хронология[[#This Row],[Начало]])</f>
        <v>9</v>
      </c>
      <c r="AO10" s="518">
        <f>SUMIFS(Хронология[ПНВ], Хронология[Скважина], Хронология[[#This Row],[Скважина]], Хронология[Начало], "&lt;=" &amp; Хронология[[#This Row],[Начало]])</f>
        <v>11.059999999999999</v>
      </c>
      <c r="AP10" s="523">
        <f>INT(ROUND(Хронология[[#This Row],[Начало]], 3))</f>
        <v>46146</v>
      </c>
      <c r="AQ10" s="524">
        <f>Хронология[[#This Row],[Начало]]-INT(Хронология[[#This Row],[Начало]])</f>
        <v>0.64583333334303461</v>
      </c>
      <c r="AR10" s="523">
        <f>INT(ROUND(Хронология[[#This Row],[Окончание]], 3))</f>
        <v>46146</v>
      </c>
      <c r="AS10" s="524">
        <f>Хронология[[#This Row],[Окончание]]-INT(Хронология[[#This Row],[Окончание]])</f>
        <v>0.75000000000727596</v>
      </c>
      <c r="AT10" s="524" t="str">
        <f>Хронология[[#This Row],[Мастер]] &amp; CHAR(10) &amp; Хронология[[#This Row],[Помощник мастера]] &amp; CHAR(10) &amp; Хронология[[#This Row],[Бурильщик]]</f>
        <v>Вдовин И.О.
Жангазиев С.К.</v>
      </c>
      <c r="AU10"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6 бис ОК– КРС Разборка УЭЦН </v>
      </c>
      <c r="AV10" s="518" t="str">
        <f>Хронология[[#This Row],[Результат]]&amp;":  "&amp;Хронология[[#This Row],[Событие]]&amp; CHAR(10) &amp;Хронология[[#This Row],[Вид работ]]&amp;"  "&amp;Хронология[[#This Row],[Объект работ]]</f>
        <v>ПВ:  
Разборка  УЭЦН</v>
      </c>
      <c r="AW10" s="522">
        <f>SUMIF($AU$2:AU10, Хронология[[#This Row],[Ключ]], $AH$2:AH10)</f>
        <v>0.10416666666666667</v>
      </c>
      <c r="AX10" s="516" t="str">
        <f>Хронология[[#This Row],[Вид работ]] &amp; " " &amp; Хронология[[#This Row],[Объект работ]]</f>
        <v>Разборка УЭЦН</v>
      </c>
      <c r="AZ10" s="339"/>
      <c r="BB10" s="339"/>
      <c r="BC10" s="339"/>
      <c r="BH10" s="247"/>
      <c r="BI10" s="247"/>
      <c r="BJ10" s="247"/>
      <c r="BK10" s="247"/>
      <c r="BL10" s="247"/>
      <c r="BM10" s="247"/>
      <c r="BN10" s="247"/>
      <c r="BO10" s="247"/>
      <c r="BP10" s="247"/>
      <c r="BQ10" s="247"/>
    </row>
    <row r="11" spans="1:69" ht="29" customHeight="1">
      <c r="A11" s="540" t="s">
        <v>50</v>
      </c>
      <c r="B11" s="541" t="s">
        <v>51</v>
      </c>
      <c r="C11" s="541" t="s">
        <v>52</v>
      </c>
      <c r="D11" s="542">
        <v>1</v>
      </c>
      <c r="E11" s="542" t="s">
        <v>53</v>
      </c>
      <c r="F11" s="515" t="s">
        <v>54</v>
      </c>
      <c r="G11" s="517"/>
      <c r="H11" s="516" t="s">
        <v>55</v>
      </c>
      <c r="I11" s="518"/>
      <c r="J11" s="517"/>
      <c r="K11" s="514"/>
      <c r="L11" s="516" t="s">
        <v>98</v>
      </c>
      <c r="M11" s="516" t="s">
        <v>58</v>
      </c>
      <c r="N11" s="516"/>
      <c r="O11" s="516" t="s">
        <v>98</v>
      </c>
      <c r="P11" s="516" t="s">
        <v>98</v>
      </c>
      <c r="Q11" s="516" t="s">
        <v>99</v>
      </c>
      <c r="R11" s="516" t="s">
        <v>100</v>
      </c>
      <c r="S11" s="516"/>
      <c r="T11" s="526" t="s">
        <v>101</v>
      </c>
      <c r="U11" s="516">
        <v>6</v>
      </c>
      <c r="V11" s="516"/>
      <c r="W11" s="516" t="s">
        <v>64</v>
      </c>
      <c r="X11" s="516"/>
      <c r="Y11" s="516"/>
      <c r="Z11" s="516"/>
      <c r="AA11" s="516"/>
      <c r="AB11" s="516"/>
      <c r="AC11" s="516"/>
      <c r="AD11" s="516"/>
      <c r="AE11" s="514">
        <f>IFERROR(IF(Хронология[[#This Row],[Забой, м]]-V10&lt;0, 0, Хронология[[#This Row],[Забой, м]]-V10), 0)</f>
        <v>0</v>
      </c>
      <c r="AF11" s="521">
        <f t="shared" si="0"/>
        <v>46146.750000000007</v>
      </c>
      <c r="AG11" s="521">
        <f>Хронология[[#This Row],[Начало]]+Хронология[[#This Row],[Сутки]]</f>
        <v>46147.000000000007</v>
      </c>
      <c r="AH11" s="522">
        <f>Хронология[[#This Row],[Часы]]/24</f>
        <v>0.25</v>
      </c>
      <c r="AI11" s="522">
        <f>IFERROR(Хронология[[#This Row],[Сутки]]+AI10, Хронология[[#This Row],[Сутки]])</f>
        <v>2.1666666666666665</v>
      </c>
      <c r="AJ11"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ПВ</v>
      </c>
      <c r="AK11"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6</v>
      </c>
      <c r="AL11"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v>
      </c>
      <c r="AM11" s="527">
        <f>IF(Хронология[[#This Row],[Результат]]="НПВ", Хронология[[#This Row],[Часы]], 0)</f>
        <v>0</v>
      </c>
      <c r="AN11" s="518">
        <f>SUMIFS(Хронология[НПВ], Хронология[Скважина], Хронология[[#This Row],[Скважина]], Хронология[Начало], "&lt;=" &amp; Хронология[[#This Row],[Начало]])</f>
        <v>9</v>
      </c>
      <c r="AO11" s="518">
        <f>SUMIFS(Хронология[ПНВ], Хронология[Скважина], Хронология[[#This Row],[Скважина]], Хронология[Начало], "&lt;=" &amp; Хронология[[#This Row],[Начало]])</f>
        <v>11.059999999999999</v>
      </c>
      <c r="AP11" s="523">
        <f>INT(ROUND(Хронология[[#This Row],[Начало]], 3))</f>
        <v>46146</v>
      </c>
      <c r="AQ11" s="524">
        <f>Хронология[[#This Row],[Начало]]-INT(Хронология[[#This Row],[Начало]])</f>
        <v>0.75000000000727596</v>
      </c>
      <c r="AR11" s="523">
        <f>INT(ROUND(Хронология[[#This Row],[Окончание]], 3))</f>
        <v>46147</v>
      </c>
      <c r="AS11" s="524">
        <f>Хронология[[#This Row],[Окончание]]-INT(Хронология[[#This Row],[Окончание]])</f>
        <v>0</v>
      </c>
      <c r="AT11" s="524" t="str">
        <f>Хронология[[#This Row],[Мастер]] &amp; CHAR(10) &amp; Хронология[[#This Row],[Помощник мастера]] &amp; CHAR(10) &amp; Хронология[[#This Row],[Бурильщик]]</f>
        <v>Вдовин И.О.
Жангазиев С.К.</v>
      </c>
      <c r="AU11"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6 бис ОК– ГИС ГИС АКЦ-прибор </v>
      </c>
      <c r="AV11" s="518" t="str">
        <f>Хронология[[#This Row],[Результат]]&amp;":  "&amp;Хронология[[#This Row],[Событие]]&amp; CHAR(10) &amp;Хронология[[#This Row],[Вид работ]]&amp;"  "&amp;Хронология[[#This Row],[Объект работ]]</f>
        <v>ПВ:  
ГИС  АКЦ-прибор</v>
      </c>
      <c r="AW11" s="522">
        <f>SUMIF($AU$2:AU11, Хронология[[#This Row],[Ключ]], $AH$2:AH11)</f>
        <v>0.25</v>
      </c>
      <c r="AX11" s="516" t="str">
        <f>Хронология[[#This Row],[Вид работ]] &amp; " " &amp; Хронология[[#This Row],[Объект работ]]</f>
        <v>ГИС АКЦ-прибор</v>
      </c>
      <c r="AZ11" s="339"/>
      <c r="BB11" s="339"/>
      <c r="BC11" s="339"/>
      <c r="BH11" s="247"/>
      <c r="BI11" s="247"/>
      <c r="BJ11" s="247"/>
      <c r="BK11" s="247"/>
      <c r="BL11" s="247"/>
      <c r="BM11" s="247"/>
      <c r="BN11" s="247"/>
      <c r="BO11" s="247"/>
      <c r="BP11" s="247"/>
      <c r="BQ11" s="247"/>
    </row>
    <row r="12" spans="1:69" ht="16" customHeight="1">
      <c r="A12" s="540" t="s">
        <v>50</v>
      </c>
      <c r="B12" s="541" t="s">
        <v>51</v>
      </c>
      <c r="C12" s="541" t="s">
        <v>52</v>
      </c>
      <c r="D12" s="542">
        <v>1</v>
      </c>
      <c r="E12" s="542" t="s">
        <v>53</v>
      </c>
      <c r="F12" s="515" t="s">
        <v>66</v>
      </c>
      <c r="G12" s="517"/>
      <c r="H12" s="516" t="s">
        <v>67</v>
      </c>
      <c r="I12" s="518"/>
      <c r="J12" s="517"/>
      <c r="K12" s="514"/>
      <c r="L12" s="516" t="s">
        <v>98</v>
      </c>
      <c r="M12" s="516" t="s">
        <v>58</v>
      </c>
      <c r="N12" s="516"/>
      <c r="O12" s="516" t="s">
        <v>98</v>
      </c>
      <c r="P12" s="516" t="s">
        <v>98</v>
      </c>
      <c r="Q12" s="516" t="s">
        <v>99</v>
      </c>
      <c r="R12" s="516" t="s">
        <v>100</v>
      </c>
      <c r="S12" s="516"/>
      <c r="T12" s="526"/>
      <c r="U12" s="516">
        <v>6</v>
      </c>
      <c r="V12" s="516"/>
      <c r="W12" s="516"/>
      <c r="X12" s="516"/>
      <c r="Y12" s="516"/>
      <c r="Z12" s="516"/>
      <c r="AA12" s="516"/>
      <c r="AB12" s="516"/>
      <c r="AC12" s="516"/>
      <c r="AD12" s="516"/>
      <c r="AE12" s="514">
        <f>IFERROR(IF(Хронология[[#This Row],[Забой, м]]-V11&lt;0, 0, Хронология[[#This Row],[Забой, м]]-V11), 0)</f>
        <v>0</v>
      </c>
      <c r="AF12" s="521">
        <f t="shared" si="0"/>
        <v>46147.000000000007</v>
      </c>
      <c r="AG12" s="521">
        <f>Хронология[[#This Row],[Начало]]+Хронология[[#This Row],[Сутки]]</f>
        <v>46147.250000000007</v>
      </c>
      <c r="AH12" s="522">
        <f>Хронология[[#This Row],[Часы]]/24</f>
        <v>0.25</v>
      </c>
      <c r="AI12" s="522">
        <f>IFERROR(Хронология[[#This Row],[Сутки]]+AI11, Хронология[[#This Row],[Сутки]])</f>
        <v>2.4166666666666665</v>
      </c>
      <c r="AJ12"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ПВ</v>
      </c>
      <c r="AK12"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6</v>
      </c>
      <c r="AL12"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v>
      </c>
      <c r="AM12" s="527">
        <f>IF(Хронология[[#This Row],[Результат]]="НПВ", Хронология[[#This Row],[Часы]], 0)</f>
        <v>0</v>
      </c>
      <c r="AN12" s="518">
        <f>SUMIFS(Хронология[НПВ], Хронология[Скважина], Хронология[[#This Row],[Скважина]], Хронология[Начало], "&lt;=" &amp; Хронология[[#This Row],[Начало]])</f>
        <v>9</v>
      </c>
      <c r="AO12" s="518">
        <f>SUMIFS(Хронология[ПНВ], Хронология[Скважина], Хронология[[#This Row],[Скважина]], Хронология[Начало], "&lt;=" &amp; Хронология[[#This Row],[Начало]])</f>
        <v>11.059999999999999</v>
      </c>
      <c r="AP12" s="523">
        <f>INT(ROUND(Хронология[[#This Row],[Начало]], 3))</f>
        <v>46147</v>
      </c>
      <c r="AQ12" s="524">
        <f>Хронология[[#This Row],[Начало]]-INT(Хронология[[#This Row],[Начало]])</f>
        <v>0</v>
      </c>
      <c r="AR12" s="523">
        <f>INT(ROUND(Хронология[[#This Row],[Окончание]], 3))</f>
        <v>46147</v>
      </c>
      <c r="AS12" s="524">
        <f>Хронология[[#This Row],[Окончание]]-INT(Хронология[[#This Row],[Окончание]])</f>
        <v>0.25000000000727596</v>
      </c>
      <c r="AT12" s="524" t="str">
        <f>Хронология[[#This Row],[Мастер]] &amp; CHAR(10) &amp; Хронология[[#This Row],[Помощник мастера]] &amp; CHAR(10) &amp; Хронология[[#This Row],[Бурильщик]]</f>
        <v>Жабин П.П.
Керимов Н.К.</v>
      </c>
      <c r="AU12"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6 бис ОК– ГИС ГИС АКЦ-прибор </v>
      </c>
      <c r="AV12" s="518" t="str">
        <f>Хронология[[#This Row],[Результат]]&amp;":  "&amp;Хронология[[#This Row],[Событие]]&amp; CHAR(10) &amp;Хронология[[#This Row],[Вид работ]]&amp;"  "&amp;Хронология[[#This Row],[Объект работ]]</f>
        <v>ПВ:  
ГИС  АКЦ-прибор</v>
      </c>
      <c r="AW12" s="522">
        <f>SUMIF($AU$2:AU12, Хронология[[#This Row],[Ключ]], $AH$2:AH12)</f>
        <v>0.5</v>
      </c>
      <c r="AX12" s="516" t="str">
        <f>Хронология[[#This Row],[Вид работ]] &amp; " " &amp; Хронология[[#This Row],[Объект работ]]</f>
        <v>ГИС АКЦ-прибор</v>
      </c>
      <c r="AZ12" s="339"/>
      <c r="BB12" s="339"/>
      <c r="BC12" s="339"/>
      <c r="BH12" s="247"/>
      <c r="BI12" s="247"/>
      <c r="BJ12" s="247"/>
      <c r="BK12" s="247"/>
      <c r="BL12" s="247"/>
      <c r="BM12" s="247"/>
      <c r="BN12" s="247"/>
      <c r="BO12" s="247"/>
      <c r="BP12" s="247"/>
      <c r="BQ12" s="247"/>
    </row>
    <row r="13" spans="1:69" ht="69" customHeight="1">
      <c r="A13" s="540" t="s">
        <v>50</v>
      </c>
      <c r="B13" s="541" t="s">
        <v>51</v>
      </c>
      <c r="C13" s="541" t="s">
        <v>52</v>
      </c>
      <c r="D13" s="542">
        <v>1</v>
      </c>
      <c r="E13" s="542" t="s">
        <v>53</v>
      </c>
      <c r="F13" s="515" t="s">
        <v>54</v>
      </c>
      <c r="G13" s="517"/>
      <c r="H13" s="516" t="s">
        <v>55</v>
      </c>
      <c r="I13" s="518"/>
      <c r="J13" s="517"/>
      <c r="K13" s="514"/>
      <c r="L13" s="516" t="s">
        <v>51</v>
      </c>
      <c r="M13" s="516" t="s">
        <v>58</v>
      </c>
      <c r="N13" s="516"/>
      <c r="O13" s="516" t="s">
        <v>78</v>
      </c>
      <c r="P13" s="516" t="s">
        <v>102</v>
      </c>
      <c r="Q13" s="516" t="s">
        <v>92</v>
      </c>
      <c r="R13" s="516" t="s">
        <v>93</v>
      </c>
      <c r="S13" s="516"/>
      <c r="T13" s="526" t="s">
        <v>103</v>
      </c>
      <c r="U13" s="516">
        <v>1.5</v>
      </c>
      <c r="V13" s="516"/>
      <c r="W13" s="516" t="s">
        <v>64</v>
      </c>
      <c r="X13" s="516" t="s">
        <v>65</v>
      </c>
      <c r="Y13" s="516"/>
      <c r="Z13" s="516"/>
      <c r="AA13" s="516"/>
      <c r="AB13" s="516"/>
      <c r="AC13" s="516"/>
      <c r="AD13" s="516"/>
      <c r="AE13" s="514">
        <f>IFERROR(IF(Хронология[[#This Row],[Забой, м]]-V12&lt;0, 0, Хронология[[#This Row],[Забой, м]]-V12), 0)</f>
        <v>0</v>
      </c>
      <c r="AF13" s="521">
        <f t="shared" si="0"/>
        <v>46147.250000000007</v>
      </c>
      <c r="AG13" s="521">
        <f>Хронология[[#This Row],[Начало]]+Хронология[[#This Row],[Сутки]]</f>
        <v>46147.312500000007</v>
      </c>
      <c r="AH13" s="522">
        <f>Хронология[[#This Row],[Часы]]/24</f>
        <v>6.25E-2</v>
      </c>
      <c r="AI13" s="522">
        <f>IFERROR(Хронология[[#This Row],[Сутки]]+AI12, Хронология[[#This Row],[Сутки]])</f>
        <v>2.4791666666666665</v>
      </c>
      <c r="AJ13"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ПНВ</v>
      </c>
      <c r="AK13"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0.92</v>
      </c>
      <c r="AL13"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0.57999999999999996</v>
      </c>
      <c r="AM13" s="527">
        <f>IF(Хронология[[#This Row],[Результат]]="НПВ", Хронология[[#This Row],[Часы]], 0)</f>
        <v>0</v>
      </c>
      <c r="AN13" s="518">
        <f>SUMIFS(Хронология[НПВ], Хронология[Скважина], Хронология[[#This Row],[Скважина]], Хронология[Начало], "&lt;=" &amp; Хронология[[#This Row],[Начало]])</f>
        <v>9</v>
      </c>
      <c r="AO13" s="518">
        <f>SUMIFS(Хронология[ПНВ], Хронология[Скважина], Хронология[[#This Row],[Скважина]], Хронология[Начало], "&lt;=" &amp; Хронология[[#This Row],[Начало]])</f>
        <v>11.639999999999999</v>
      </c>
      <c r="AP13" s="523">
        <f>INT(ROUND(Хронология[[#This Row],[Начало]], 3))</f>
        <v>46147</v>
      </c>
      <c r="AQ13" s="524">
        <f>Хронология[[#This Row],[Начало]]-INT(Хронология[[#This Row],[Начало]])</f>
        <v>0.25000000000727596</v>
      </c>
      <c r="AR13" s="523">
        <f>INT(ROUND(Хронология[[#This Row],[Окончание]], 3))</f>
        <v>46147</v>
      </c>
      <c r="AS13" s="524">
        <f>Хронология[[#This Row],[Окончание]]-INT(Хронология[[#This Row],[Окончание]])</f>
        <v>0.31250000000727596</v>
      </c>
      <c r="AT13" s="524" t="str">
        <f>Хронология[[#This Row],[Мастер]] &amp; CHAR(10) &amp; Хронология[[#This Row],[Помощник мастера]] &amp; CHAR(10) &amp; Хронология[[#This Row],[Бурильщик]]</f>
        <v>Вдовин И.О.
Жангазиев С.К.</v>
      </c>
      <c r="AU13"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6 бис ОК– КРС Подготовка УЭЦН </v>
      </c>
      <c r="AV13" s="518" t="str">
        <f>Хронология[[#This Row],[Результат]]&amp;":  "&amp;Хронология[[#This Row],[Событие]]&amp; CHAR(10) &amp;Хронология[[#This Row],[Вид работ]]&amp;"  "&amp;Хронология[[#This Row],[Объект работ]]</f>
        <v>ПНВ:  
Подготовка  УЭЦН</v>
      </c>
      <c r="AW13" s="522">
        <f>SUMIF($AU$2:AU13, Хронология[[#This Row],[Ключ]], $AH$2:AH13)</f>
        <v>6.25E-2</v>
      </c>
      <c r="AX13" s="516" t="str">
        <f>Хронология[[#This Row],[Вид работ]] &amp; " " &amp; Хронология[[#This Row],[Объект работ]]</f>
        <v>Подготовка УЭЦН</v>
      </c>
      <c r="AZ13" s="339"/>
      <c r="BB13" s="339"/>
      <c r="BC13" s="339"/>
      <c r="BH13" s="247"/>
      <c r="BI13" s="247"/>
      <c r="BJ13" s="247"/>
      <c r="BK13" s="247"/>
      <c r="BL13" s="247"/>
      <c r="BM13" s="247"/>
      <c r="BN13" s="247"/>
      <c r="BO13" s="247"/>
      <c r="BP13" s="247"/>
      <c r="BQ13" s="247"/>
    </row>
    <row r="14" spans="1:69" ht="69" customHeight="1">
      <c r="A14" s="540" t="s">
        <v>50</v>
      </c>
      <c r="B14" s="541" t="s">
        <v>51</v>
      </c>
      <c r="C14" s="541" t="s">
        <v>52</v>
      </c>
      <c r="D14" s="542">
        <v>1</v>
      </c>
      <c r="E14" s="542" t="s">
        <v>53</v>
      </c>
      <c r="F14" s="515" t="s">
        <v>54</v>
      </c>
      <c r="G14" s="517"/>
      <c r="H14" s="516" t="s">
        <v>55</v>
      </c>
      <c r="I14" s="518"/>
      <c r="J14" s="517"/>
      <c r="K14" s="514"/>
      <c r="L14" s="516" t="s">
        <v>51</v>
      </c>
      <c r="M14" s="516" t="s">
        <v>58</v>
      </c>
      <c r="N14" s="516"/>
      <c r="O14" s="516" t="s">
        <v>95</v>
      </c>
      <c r="P14" s="516" t="s">
        <v>104</v>
      </c>
      <c r="Q14" s="516" t="s">
        <v>92</v>
      </c>
      <c r="R14" s="516" t="s">
        <v>93</v>
      </c>
      <c r="S14" s="516"/>
      <c r="T14" s="526" t="s">
        <v>105</v>
      </c>
      <c r="U14" s="516">
        <v>10.67</v>
      </c>
      <c r="V14" s="516"/>
      <c r="W14" s="516" t="s">
        <v>64</v>
      </c>
      <c r="X14" s="516" t="s">
        <v>65</v>
      </c>
      <c r="Y14" s="516"/>
      <c r="Z14" s="516"/>
      <c r="AA14" s="516"/>
      <c r="AB14" s="516"/>
      <c r="AC14" s="516"/>
      <c r="AD14" s="516"/>
      <c r="AE14" s="514">
        <f>IFERROR(IF(Хронология[[#This Row],[Забой, м]]-V13&lt;0, 0, Хронология[[#This Row],[Забой, м]]-V13), 0)</f>
        <v>0</v>
      </c>
      <c r="AF14" s="521">
        <f t="shared" si="0"/>
        <v>46147.312500000007</v>
      </c>
      <c r="AG14" s="521">
        <f>Хронология[[#This Row],[Начало]]+Хронология[[#This Row],[Сутки]]</f>
        <v>46147.757083333338</v>
      </c>
      <c r="AH14" s="522">
        <f>Хронология[[#This Row],[Часы]]/24</f>
        <v>0.44458333333333333</v>
      </c>
      <c r="AI14" s="522">
        <f>IFERROR(Хронология[[#This Row],[Сутки]]+AI13, Хронология[[#This Row],[Сутки]])</f>
        <v>2.9237500000000001</v>
      </c>
      <c r="AJ14"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ПНВ</v>
      </c>
      <c r="AK14"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6.67</v>
      </c>
      <c r="AL14"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4</v>
      </c>
      <c r="AM14" s="527">
        <f>IF(Хронология[[#This Row],[Результат]]="НПВ", Хронология[[#This Row],[Часы]], 0)</f>
        <v>0</v>
      </c>
      <c r="AN14" s="518">
        <f>SUMIFS(Хронология[НПВ], Хронология[Скважина], Хронология[[#This Row],[Скважина]], Хронология[Начало], "&lt;=" &amp; Хронология[[#This Row],[Начало]])</f>
        <v>9</v>
      </c>
      <c r="AO14" s="518">
        <f>SUMIFS(Хронология[ПНВ], Хронология[Скважина], Хронология[[#This Row],[Скважина]], Хронология[Начало], "&lt;=" &amp; Хронология[[#This Row],[Начало]])</f>
        <v>15.639999999999999</v>
      </c>
      <c r="AP14" s="523">
        <f>INT(ROUND(Хронология[[#This Row],[Начало]], 3))</f>
        <v>46147</v>
      </c>
      <c r="AQ14" s="524">
        <f>Хронология[[#This Row],[Начало]]-INT(Хронология[[#This Row],[Начало]])</f>
        <v>0.31250000000727596</v>
      </c>
      <c r="AR14" s="523">
        <f>INT(ROUND(Хронология[[#This Row],[Окончание]], 3))</f>
        <v>46147</v>
      </c>
      <c r="AS14" s="524">
        <f>Хронология[[#This Row],[Окончание]]-INT(Хронология[[#This Row],[Окончание]])</f>
        <v>0.75708333333750488</v>
      </c>
      <c r="AT14" s="524" t="str">
        <f>Хронология[[#This Row],[Мастер]] &amp; CHAR(10) &amp; Хронология[[#This Row],[Помощник мастера]] &amp; CHAR(10) &amp; Хронология[[#This Row],[Бурильщик]]</f>
        <v>Вдовин И.О.
Жангазиев С.К.</v>
      </c>
      <c r="AU14"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6 бис ОК– КРС Сборка УЭЦН </v>
      </c>
      <c r="AV14" s="518" t="str">
        <f>Хронология[[#This Row],[Результат]]&amp;":  "&amp;Хронология[[#This Row],[Событие]]&amp; CHAR(10) &amp;Хронология[[#This Row],[Вид работ]]&amp;"  "&amp;Хронология[[#This Row],[Объект работ]]</f>
        <v>ПНВ:  
Сборка  УЭЦН</v>
      </c>
      <c r="AW14" s="522">
        <f>SUMIF($AU$2:AU14, Хронология[[#This Row],[Ключ]], $AH$2:AH14)</f>
        <v>0.44458333333333333</v>
      </c>
      <c r="AX14" s="516" t="str">
        <f>Хронология[[#This Row],[Вид работ]] &amp; " " &amp; Хронология[[#This Row],[Объект работ]]</f>
        <v>Сборка УЭЦН</v>
      </c>
      <c r="AZ14" s="339"/>
      <c r="BB14" s="339"/>
      <c r="BC14" s="339"/>
      <c r="BH14" s="247"/>
      <c r="BI14" s="247"/>
      <c r="BJ14" s="247"/>
      <c r="BK14" s="247"/>
      <c r="BL14" s="247"/>
      <c r="BM14" s="247"/>
      <c r="BN14" s="247"/>
      <c r="BO14" s="247"/>
      <c r="BP14" s="247"/>
      <c r="BQ14" s="247"/>
    </row>
    <row r="15" spans="1:69" ht="69" customHeight="1">
      <c r="A15" s="540" t="s">
        <v>50</v>
      </c>
      <c r="B15" s="541" t="s">
        <v>51</v>
      </c>
      <c r="C15" s="541" t="s">
        <v>52</v>
      </c>
      <c r="D15" s="542">
        <v>1</v>
      </c>
      <c r="E15" s="542" t="s">
        <v>53</v>
      </c>
      <c r="F15" s="515" t="s">
        <v>54</v>
      </c>
      <c r="G15" s="517"/>
      <c r="H15" s="516" t="s">
        <v>55</v>
      </c>
      <c r="I15" s="518"/>
      <c r="J15" s="517"/>
      <c r="K15" s="514"/>
      <c r="L15" s="516" t="s">
        <v>51</v>
      </c>
      <c r="M15" s="516" t="s">
        <v>58</v>
      </c>
      <c r="N15" s="516"/>
      <c r="O15" s="516" t="s">
        <v>90</v>
      </c>
      <c r="P15" s="516" t="s">
        <v>106</v>
      </c>
      <c r="Q15" s="516" t="s">
        <v>92</v>
      </c>
      <c r="R15" s="516" t="s">
        <v>93</v>
      </c>
      <c r="S15" s="516"/>
      <c r="T15" s="526" t="s">
        <v>107</v>
      </c>
      <c r="U15" s="516">
        <v>5</v>
      </c>
      <c r="V15" s="516"/>
      <c r="W15" s="516" t="s">
        <v>64</v>
      </c>
      <c r="X15" s="516" t="s">
        <v>65</v>
      </c>
      <c r="Y15" s="516"/>
      <c r="Z15" s="516"/>
      <c r="AA15" s="516"/>
      <c r="AB15" s="516"/>
      <c r="AC15" s="516"/>
      <c r="AD15" s="516"/>
      <c r="AE15" s="514">
        <f>IFERROR(IF(Хронология[[#This Row],[Забой, м]]-V14&lt;0, 0, Хронология[[#This Row],[Забой, м]]-V14), 0)</f>
        <v>0</v>
      </c>
      <c r="AF15" s="521">
        <f t="shared" si="0"/>
        <v>46147.757083333338</v>
      </c>
      <c r="AG15" s="521">
        <f>Хронология[[#This Row],[Начало]]+Хронология[[#This Row],[Сутки]]</f>
        <v>46147.965416666673</v>
      </c>
      <c r="AH15" s="522">
        <f>Хронология[[#This Row],[Часы]]/24</f>
        <v>0.20833333333333334</v>
      </c>
      <c r="AI15" s="522">
        <f>IFERROR(Хронология[[#This Row],[Сутки]]+AI14, Хронология[[#This Row],[Сутки]])</f>
        <v>3.1320833333333336</v>
      </c>
      <c r="AJ15"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ПНВ</v>
      </c>
      <c r="AK15"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4.97</v>
      </c>
      <c r="AL15"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3.0000000000000249E-2</v>
      </c>
      <c r="AM15" s="527">
        <f>IF(Хронология[[#This Row],[Результат]]="НПВ", Хронология[[#This Row],[Часы]], 0)</f>
        <v>0</v>
      </c>
      <c r="AN15" s="518">
        <f>SUMIFS(Хронология[НПВ], Хронология[Скважина], Хронология[[#This Row],[Скважина]], Хронология[Начало], "&lt;=" &amp; Хронология[[#This Row],[Начало]])</f>
        <v>9</v>
      </c>
      <c r="AO15" s="518">
        <f>SUMIFS(Хронология[ПНВ], Хронология[Скважина], Хронология[[#This Row],[Скважина]], Хронология[Начало], "&lt;=" &amp; Хронология[[#This Row],[Начало]])</f>
        <v>15.669999999999998</v>
      </c>
      <c r="AP15" s="523">
        <f>INT(ROUND(Хронология[[#This Row],[Начало]], 3))</f>
        <v>46147</v>
      </c>
      <c r="AQ15" s="524">
        <f>Хронология[[#This Row],[Начало]]-INT(Хронология[[#This Row],[Начало]])</f>
        <v>0.75708333333750488</v>
      </c>
      <c r="AR15" s="523">
        <f>INT(ROUND(Хронология[[#This Row],[Окончание]], 3))</f>
        <v>46147</v>
      </c>
      <c r="AS15" s="524">
        <f>Хронология[[#This Row],[Окончание]]-INT(Хронология[[#This Row],[Окончание]])</f>
        <v>0.96541666667326353</v>
      </c>
      <c r="AT15" s="524" t="str">
        <f>Хронология[[#This Row],[Мастер]] &amp; CHAR(10) &amp; Хронология[[#This Row],[Помощник мастера]] &amp; CHAR(10) &amp; Хронология[[#This Row],[Бурильщик]]</f>
        <v>Вдовин И.О.
Жангазиев С.К.</v>
      </c>
      <c r="AU15"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6 бис ОК– КРС Спуск УЭЦН </v>
      </c>
      <c r="AV15" s="518" t="str">
        <f>Хронология[[#This Row],[Результат]]&amp;":  "&amp;Хронология[[#This Row],[Событие]]&amp; CHAR(10) &amp;Хронология[[#This Row],[Вид работ]]&amp;"  "&amp;Хронология[[#This Row],[Объект работ]]</f>
        <v>ПНВ:  
Спуск  УЭЦН</v>
      </c>
      <c r="AW15" s="522">
        <f>SUMIF($AU$2:AU15, Хронология[[#This Row],[Ключ]], $AH$2:AH15)</f>
        <v>0.20833333333333334</v>
      </c>
      <c r="AX15" s="516" t="str">
        <f>Хронология[[#This Row],[Вид работ]] &amp; " " &amp; Хронология[[#This Row],[Объект работ]]</f>
        <v>Спуск УЭЦН</v>
      </c>
      <c r="AZ15" s="339"/>
      <c r="BB15" s="339"/>
      <c r="BC15" s="339"/>
      <c r="BH15" s="247"/>
      <c r="BI15" s="247"/>
      <c r="BJ15" s="247"/>
      <c r="BK15" s="247"/>
      <c r="BL15" s="247"/>
      <c r="BM15" s="247"/>
      <c r="BN15" s="247"/>
      <c r="BO15" s="247"/>
      <c r="BP15" s="247"/>
      <c r="BQ15" s="247"/>
    </row>
    <row r="16" spans="1:69" ht="69" customHeight="1">
      <c r="A16" s="540" t="s">
        <v>50</v>
      </c>
      <c r="B16" s="541" t="s">
        <v>51</v>
      </c>
      <c r="C16" s="541" t="s">
        <v>52</v>
      </c>
      <c r="D16" s="542">
        <v>1</v>
      </c>
      <c r="E16" s="542" t="s">
        <v>53</v>
      </c>
      <c r="F16" s="515" t="s">
        <v>66</v>
      </c>
      <c r="G16" s="517"/>
      <c r="H16" s="516" t="s">
        <v>67</v>
      </c>
      <c r="I16" s="518"/>
      <c r="J16" s="517"/>
      <c r="K16" s="514"/>
      <c r="L16" s="516" t="s">
        <v>51</v>
      </c>
      <c r="M16" s="516" t="s">
        <v>58</v>
      </c>
      <c r="N16" s="516"/>
      <c r="O16" s="516" t="s">
        <v>69</v>
      </c>
      <c r="P16" s="516" t="s">
        <v>108</v>
      </c>
      <c r="Q16" s="516" t="s">
        <v>61</v>
      </c>
      <c r="R16" s="516" t="s">
        <v>109</v>
      </c>
      <c r="S16" s="516"/>
      <c r="T16" s="526" t="s">
        <v>110</v>
      </c>
      <c r="U16" s="516">
        <v>0.83</v>
      </c>
      <c r="V16" s="516"/>
      <c r="W16" s="516" t="s">
        <v>64</v>
      </c>
      <c r="X16" s="516"/>
      <c r="Y16" s="516"/>
      <c r="Z16" s="516"/>
      <c r="AA16" s="516"/>
      <c r="AB16" s="516"/>
      <c r="AC16" s="516"/>
      <c r="AD16" s="516"/>
      <c r="AE16" s="514">
        <f>IFERROR(IF(Хронология[[#This Row],[Забой, м]]-V15&lt;0, 0, Хронология[[#This Row],[Забой, м]]-V15), 0)</f>
        <v>0</v>
      </c>
      <c r="AF16" s="521">
        <f t="shared" si="0"/>
        <v>46147.965416666673</v>
      </c>
      <c r="AG16" s="521">
        <f>Хронология[[#This Row],[Начало]]+Хронология[[#This Row],[Сутки]]</f>
        <v>46148.000000000007</v>
      </c>
      <c r="AH16" s="522">
        <f>Хронология[[#This Row],[Часы]]/24</f>
        <v>3.4583333333333334E-2</v>
      </c>
      <c r="AI16" s="522">
        <f>IFERROR(Хронология[[#This Row],[Сутки]]+AI15, Хронология[[#This Row],[Сутки]])</f>
        <v>3.166666666666667</v>
      </c>
      <c r="AJ16"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ПВ</v>
      </c>
      <c r="AK16"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0.83</v>
      </c>
      <c r="AL16"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v>
      </c>
      <c r="AM16" s="527">
        <f>IF(Хронология[[#This Row],[Результат]]="НПВ", Хронология[[#This Row],[Часы]], 0)</f>
        <v>0</v>
      </c>
      <c r="AN16" s="518">
        <f>SUMIFS(Хронология[НПВ], Хронология[Скважина], Хронология[[#This Row],[Скважина]], Хронология[Начало], "&lt;=" &amp; Хронология[[#This Row],[Начало]])</f>
        <v>9</v>
      </c>
      <c r="AO16" s="518">
        <f>SUMIFS(Хронология[ПНВ], Хронология[Скважина], Хронология[[#This Row],[Скважина]], Хронология[Начало], "&lt;=" &amp; Хронология[[#This Row],[Начало]])</f>
        <v>15.669999999999998</v>
      </c>
      <c r="AP16" s="523">
        <f>INT(ROUND(Хронология[[#This Row],[Начало]], 3))</f>
        <v>46147</v>
      </c>
      <c r="AQ16" s="524">
        <f>Хронология[[#This Row],[Начало]]-INT(Хронология[[#This Row],[Начало]])</f>
        <v>0.96541666667326353</v>
      </c>
      <c r="AR16" s="523">
        <f>INT(ROUND(Хронология[[#This Row],[Окончание]], 3))</f>
        <v>46148</v>
      </c>
      <c r="AS16" s="524">
        <f>Хронология[[#This Row],[Окончание]]-INT(Хронология[[#This Row],[Окончание]])</f>
        <v>0</v>
      </c>
      <c r="AT16" s="524" t="str">
        <f>Хронология[[#This Row],[Мастер]] &amp; CHAR(10) &amp; Хронология[[#This Row],[Помощник мастера]] &amp; CHAR(10) &amp; Хронология[[#This Row],[Бурильщик]]</f>
        <v>Жабин П.П.
Керимов Н.К.</v>
      </c>
      <c r="AU16"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6 бис ОК– КРС Демонтаж ГКШ </v>
      </c>
      <c r="AV16" s="518" t="str">
        <f>Хронология[[#This Row],[Результат]]&amp;":  "&amp;Хронология[[#This Row],[Событие]]&amp; CHAR(10) &amp;Хронология[[#This Row],[Вид работ]]&amp;"  "&amp;Хронология[[#This Row],[Объект работ]]</f>
        <v>ПВ:  
Демонтаж  ГКШ</v>
      </c>
      <c r="AW16" s="522">
        <f>SUMIF($AU$2:AU16, Хронология[[#This Row],[Ключ]], $AH$2:AH16)</f>
        <v>3.4583333333333334E-2</v>
      </c>
      <c r="AX16" s="516" t="str">
        <f>Хронология[[#This Row],[Вид работ]] &amp; " " &amp; Хронология[[#This Row],[Объект работ]]</f>
        <v>Демонтаж ГКШ</v>
      </c>
      <c r="AZ16" s="339"/>
      <c r="BB16" s="339"/>
      <c r="BC16" s="339"/>
      <c r="BH16" s="247"/>
      <c r="BI16" s="247"/>
      <c r="BJ16" s="247"/>
      <c r="BK16" s="247"/>
      <c r="BL16" s="247"/>
      <c r="BM16" s="247"/>
      <c r="BN16" s="247"/>
      <c r="BO16" s="247"/>
      <c r="BP16" s="247"/>
      <c r="BQ16" s="247"/>
    </row>
    <row r="17" spans="1:69" ht="69" customHeight="1">
      <c r="A17" s="540" t="s">
        <v>50</v>
      </c>
      <c r="B17" s="541" t="s">
        <v>51</v>
      </c>
      <c r="C17" s="541" t="s">
        <v>52</v>
      </c>
      <c r="D17" s="542">
        <v>1</v>
      </c>
      <c r="E17" s="542" t="s">
        <v>53</v>
      </c>
      <c r="F17" s="515" t="s">
        <v>66</v>
      </c>
      <c r="G17" s="517"/>
      <c r="H17" s="516" t="s">
        <v>67</v>
      </c>
      <c r="I17" s="518"/>
      <c r="J17" s="517"/>
      <c r="K17" s="514"/>
      <c r="L17" s="516" t="s">
        <v>51</v>
      </c>
      <c r="M17" s="516" t="s">
        <v>58</v>
      </c>
      <c r="N17" s="516"/>
      <c r="O17" s="516" t="s">
        <v>111</v>
      </c>
      <c r="P17" s="516" t="s">
        <v>112</v>
      </c>
      <c r="Q17" s="516" t="s">
        <v>113</v>
      </c>
      <c r="R17" s="516" t="s">
        <v>114</v>
      </c>
      <c r="S17" s="516"/>
      <c r="T17" s="526" t="s">
        <v>115</v>
      </c>
      <c r="U17" s="516">
        <v>0.5</v>
      </c>
      <c r="V17" s="516"/>
      <c r="W17" s="516" t="s">
        <v>64</v>
      </c>
      <c r="X17" s="516"/>
      <c r="Y17" s="516"/>
      <c r="Z17" s="516"/>
      <c r="AA17" s="516"/>
      <c r="AB17" s="516"/>
      <c r="AC17" s="516"/>
      <c r="AD17" s="516"/>
      <c r="AE17" s="514">
        <f>IFERROR(IF(Хронология[[#This Row],[Забой, м]]-V16&lt;0, 0, Хронология[[#This Row],[Забой, м]]-V16), 0)</f>
        <v>0</v>
      </c>
      <c r="AF17" s="521">
        <f t="shared" si="0"/>
        <v>46148.000000000007</v>
      </c>
      <c r="AG17" s="521">
        <f>Хронология[[#This Row],[Начало]]+Хронология[[#This Row],[Сутки]]</f>
        <v>46148.020833333343</v>
      </c>
      <c r="AH17" s="522">
        <f>Хронология[[#This Row],[Часы]]/24</f>
        <v>2.0833333333333332E-2</v>
      </c>
      <c r="AI17" s="522">
        <f>IFERROR(Хронология[[#This Row],[Сутки]]+AI16, Хронология[[#This Row],[Сутки]])</f>
        <v>3.1875000000000004</v>
      </c>
      <c r="AJ17"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ПВ</v>
      </c>
      <c r="AK17"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0.5</v>
      </c>
      <c r="AL17"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v>
      </c>
      <c r="AM17" s="527">
        <f>IF(Хронология[[#This Row],[Результат]]="НПВ", Хронология[[#This Row],[Часы]], 0)</f>
        <v>0</v>
      </c>
      <c r="AN17" s="518">
        <f>SUMIFS(Хронология[НПВ], Хронология[Скважина], Хронология[[#This Row],[Скважина]], Хронология[Начало], "&lt;=" &amp; Хронология[[#This Row],[Начало]])</f>
        <v>9</v>
      </c>
      <c r="AO17" s="518">
        <f>SUMIFS(Хронология[ПНВ], Хронология[Скважина], Хронология[[#This Row],[Скважина]], Хронология[Начало], "&lt;=" &amp; Хронология[[#This Row],[Начало]])</f>
        <v>15.669999999999998</v>
      </c>
      <c r="AP17" s="523">
        <f>INT(ROUND(Хронология[[#This Row],[Начало]], 3))</f>
        <v>46148</v>
      </c>
      <c r="AQ17" s="524">
        <f>Хронология[[#This Row],[Начало]]-INT(Хронология[[#This Row],[Начало]])</f>
        <v>0</v>
      </c>
      <c r="AR17" s="523">
        <f>INT(ROUND(Хронология[[#This Row],[Окончание]], 3))</f>
        <v>46148</v>
      </c>
      <c r="AS17" s="524">
        <f>Хронология[[#This Row],[Окончание]]-INT(Хронология[[#This Row],[Окончание]])</f>
        <v>2.083333334303461E-2</v>
      </c>
      <c r="AT17" s="524" t="str">
        <f>Хронология[[#This Row],[Мастер]] &amp; CHAR(10) &amp; Хронология[[#This Row],[Помощник мастера]] &amp; CHAR(10) &amp; Хронология[[#This Row],[Бурильщик]]</f>
        <v>Жабин П.П.
Керимов Н.К.</v>
      </c>
      <c r="AU17"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6 бис ОК– КРС Замер Электрооборудование </v>
      </c>
      <c r="AV17" s="518" t="str">
        <f>Хронология[[#This Row],[Результат]]&amp;":  "&amp;Хронология[[#This Row],[Событие]]&amp; CHAR(10) &amp;Хронология[[#This Row],[Вид работ]]&amp;"  "&amp;Хронология[[#This Row],[Объект работ]]</f>
        <v>ПВ:  
Замер  Электрооборудование</v>
      </c>
      <c r="AW17" s="522">
        <f>SUMIF($AU$2:AU17, Хронология[[#This Row],[Ключ]], $AH$2:AH17)</f>
        <v>2.0833333333333332E-2</v>
      </c>
      <c r="AX17" s="516" t="str">
        <f>Хронология[[#This Row],[Вид работ]] &amp; " " &amp; Хронология[[#This Row],[Объект работ]]</f>
        <v>Замер Электрооборудование</v>
      </c>
      <c r="AZ17" s="339"/>
      <c r="BB17" s="339"/>
      <c r="BC17" s="339"/>
      <c r="BH17" s="247"/>
      <c r="BI17" s="247"/>
      <c r="BJ17" s="247"/>
      <c r="BK17" s="247"/>
      <c r="BL17" s="247"/>
      <c r="BM17" s="247"/>
      <c r="BN17" s="247"/>
      <c r="BO17" s="247"/>
      <c r="BP17" s="247"/>
      <c r="BQ17" s="247"/>
    </row>
    <row r="18" spans="1:69" ht="69" customHeight="1">
      <c r="A18" s="540" t="s">
        <v>50</v>
      </c>
      <c r="B18" s="541" t="s">
        <v>51</v>
      </c>
      <c r="C18" s="541" t="s">
        <v>52</v>
      </c>
      <c r="D18" s="542">
        <v>1</v>
      </c>
      <c r="E18" s="542" t="s">
        <v>53</v>
      </c>
      <c r="F18" s="515" t="s">
        <v>66</v>
      </c>
      <c r="G18" s="517"/>
      <c r="H18" s="516" t="s">
        <v>67</v>
      </c>
      <c r="I18" s="518"/>
      <c r="J18" s="517"/>
      <c r="K18" s="514"/>
      <c r="L18" s="516" t="s">
        <v>116</v>
      </c>
      <c r="M18" s="516" t="s">
        <v>58</v>
      </c>
      <c r="N18" s="516"/>
      <c r="O18" s="516" t="s">
        <v>69</v>
      </c>
      <c r="P18" s="516" t="s">
        <v>117</v>
      </c>
      <c r="Q18" s="516" t="s">
        <v>86</v>
      </c>
      <c r="R18" s="516" t="s">
        <v>118</v>
      </c>
      <c r="S18" s="516"/>
      <c r="T18" s="526" t="s">
        <v>119</v>
      </c>
      <c r="U18" s="516">
        <v>2</v>
      </c>
      <c r="V18" s="516"/>
      <c r="W18" s="516" t="s">
        <v>64</v>
      </c>
      <c r="X18" s="516" t="s">
        <v>65</v>
      </c>
      <c r="Y18" s="516"/>
      <c r="Z18" s="516"/>
      <c r="AA18" s="516"/>
      <c r="AB18" s="516"/>
      <c r="AC18" s="516"/>
      <c r="AD18" s="516"/>
      <c r="AE18" s="514">
        <f>IFERROR(IF(Хронология[[#This Row],[Забой, м]]-V17&lt;0, 0, Хронология[[#This Row],[Забой, м]]-V17), 0)</f>
        <v>0</v>
      </c>
      <c r="AF18" s="521">
        <f t="shared" si="0"/>
        <v>46148.020833333343</v>
      </c>
      <c r="AG18" s="521">
        <f>Хронология[[#This Row],[Начало]]+Хронология[[#This Row],[Сутки]]</f>
        <v>46148.104166666679</v>
      </c>
      <c r="AH18" s="522">
        <f>Хронология[[#This Row],[Часы]]/24</f>
        <v>8.3333333333333329E-2</v>
      </c>
      <c r="AI18" s="522">
        <f>IFERROR(Хронология[[#This Row],[Сутки]]+AI17, Хронология[[#This Row],[Сутки]])</f>
        <v>3.2708333333333339</v>
      </c>
      <c r="AJ18"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ПНВ</v>
      </c>
      <c r="AK18"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1.93</v>
      </c>
      <c r="AL18"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7.0000000000000062E-2</v>
      </c>
      <c r="AM18" s="527">
        <f>IF(Хронология[[#This Row],[Результат]]="НПВ", Хронология[[#This Row],[Часы]], 0)</f>
        <v>0</v>
      </c>
      <c r="AN18" s="518">
        <f>SUMIFS(Хронология[НПВ], Хронология[Скважина], Хронология[[#This Row],[Скважина]], Хронология[Начало], "&lt;=" &amp; Хронология[[#This Row],[Начало]])</f>
        <v>9</v>
      </c>
      <c r="AO18" s="518">
        <f>SUMIFS(Хронология[ПНВ], Хронология[Скважина], Хронология[[#This Row],[Скважина]], Хронология[Начало], "&lt;=" &amp; Хронология[[#This Row],[Начало]])</f>
        <v>15.739999999999998</v>
      </c>
      <c r="AP18" s="523">
        <f>INT(ROUND(Хронология[[#This Row],[Начало]], 3))</f>
        <v>46148</v>
      </c>
      <c r="AQ18" s="524">
        <f>Хронология[[#This Row],[Начало]]-INT(Хронология[[#This Row],[Начало]])</f>
        <v>2.083333334303461E-2</v>
      </c>
      <c r="AR18" s="523">
        <f>INT(ROUND(Хронология[[#This Row],[Окончание]], 3))</f>
        <v>46148</v>
      </c>
      <c r="AS18" s="524">
        <f>Хронология[[#This Row],[Окончание]]-INT(Хронология[[#This Row],[Окончание]])</f>
        <v>0.10416666667879326</v>
      </c>
      <c r="AT18" s="524" t="str">
        <f>Хронология[[#This Row],[Мастер]] &amp; CHAR(10) &amp; Хронология[[#This Row],[Помощник мастера]] &amp; CHAR(10) &amp; Хронология[[#This Row],[Бурильщик]]</f>
        <v>Жабин П.П.
Керимов Н.К.</v>
      </c>
      <c r="AU18"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6 бис ОК– Заканчивание Перемонтаж Фонтанная арматура </v>
      </c>
      <c r="AV18" s="518" t="str">
        <f>Хронология[[#This Row],[Результат]]&amp;":  "&amp;Хронология[[#This Row],[Событие]]&amp; CHAR(10) &amp;Хронология[[#This Row],[Вид работ]]&amp;"  "&amp;Хронология[[#This Row],[Объект работ]]</f>
        <v>ПНВ:  
Перемонтаж  Фонтанная арматура</v>
      </c>
      <c r="AW18" s="522">
        <f>SUMIF($AU$2:AU18, Хронология[[#This Row],[Ключ]], $AH$2:AH18)</f>
        <v>8.3333333333333329E-2</v>
      </c>
      <c r="AX18" s="516" t="str">
        <f>Хронология[[#This Row],[Вид работ]] &amp; " " &amp; Хронология[[#This Row],[Объект работ]]</f>
        <v>Перемонтаж Фонтанная арматура</v>
      </c>
      <c r="AZ18" s="339"/>
      <c r="BB18" s="339"/>
      <c r="BC18" s="339"/>
      <c r="BH18" s="247"/>
      <c r="BI18" s="247"/>
      <c r="BJ18" s="247"/>
      <c r="BK18" s="247"/>
      <c r="BL18" s="247"/>
      <c r="BM18" s="247"/>
      <c r="BN18" s="247"/>
      <c r="BO18" s="247"/>
      <c r="BP18" s="247"/>
      <c r="BQ18" s="247"/>
    </row>
    <row r="19" spans="1:69" ht="69" customHeight="1">
      <c r="A19" s="540" t="s">
        <v>50</v>
      </c>
      <c r="B19" s="541" t="s">
        <v>51</v>
      </c>
      <c r="C19" s="541" t="s">
        <v>52</v>
      </c>
      <c r="D19" s="542">
        <v>1</v>
      </c>
      <c r="E19" s="542" t="s">
        <v>53</v>
      </c>
      <c r="F19" s="515" t="s">
        <v>66</v>
      </c>
      <c r="G19" s="517"/>
      <c r="H19" s="516" t="s">
        <v>67</v>
      </c>
      <c r="I19" s="518"/>
      <c r="J19" s="517"/>
      <c r="K19" s="514"/>
      <c r="L19" s="516" t="s">
        <v>116</v>
      </c>
      <c r="M19" s="516" t="s">
        <v>58</v>
      </c>
      <c r="N19" s="516"/>
      <c r="O19" s="516" t="s">
        <v>120</v>
      </c>
      <c r="P19" s="516" t="s">
        <v>121</v>
      </c>
      <c r="Q19" s="516" t="s">
        <v>92</v>
      </c>
      <c r="R19" s="516" t="s">
        <v>93</v>
      </c>
      <c r="S19" s="516"/>
      <c r="T19" s="526" t="s">
        <v>122</v>
      </c>
      <c r="U19" s="516">
        <v>1</v>
      </c>
      <c r="V19" s="516"/>
      <c r="W19" s="516" t="s">
        <v>64</v>
      </c>
      <c r="X19" s="516"/>
      <c r="Y19" s="516"/>
      <c r="Z19" s="516"/>
      <c r="AA19" s="516"/>
      <c r="AB19" s="516"/>
      <c r="AC19" s="516"/>
      <c r="AD19" s="516"/>
      <c r="AE19" s="514">
        <f>IFERROR(IF(Хронология[[#This Row],[Забой, м]]-V18&lt;0, 0, Хронология[[#This Row],[Забой, м]]-V18), 0)</f>
        <v>0</v>
      </c>
      <c r="AF19" s="521">
        <f t="shared" si="0"/>
        <v>46148.104166666679</v>
      </c>
      <c r="AG19" s="521">
        <f>Хронология[[#This Row],[Начало]]+Хронология[[#This Row],[Сутки]]</f>
        <v>46148.145833333343</v>
      </c>
      <c r="AH19" s="522">
        <f>Хронология[[#This Row],[Часы]]/24</f>
        <v>4.1666666666666664E-2</v>
      </c>
      <c r="AI19" s="522">
        <f>IFERROR(Хронология[[#This Row],[Сутки]]+AI18, Хронология[[#This Row],[Сутки]])</f>
        <v>3.3125000000000004</v>
      </c>
      <c r="AJ19"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ПВ</v>
      </c>
      <c r="AK19"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1</v>
      </c>
      <c r="AL19"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v>
      </c>
      <c r="AM19" s="527">
        <f>IF(Хронология[[#This Row],[Результат]]="НПВ", Хронология[[#This Row],[Часы]], 0)</f>
        <v>0</v>
      </c>
      <c r="AN19" s="518">
        <f>SUMIFS(Хронология[НПВ], Хронология[Скважина], Хронология[[#This Row],[Скважина]], Хронология[Начало], "&lt;=" &amp; Хронология[[#This Row],[Начало]])</f>
        <v>9</v>
      </c>
      <c r="AO19" s="518">
        <f>SUMIFS(Хронология[ПНВ], Хронология[Скважина], Хронология[[#This Row],[Скважина]], Хронология[Начало], "&lt;=" &amp; Хронология[[#This Row],[Начало]])</f>
        <v>15.739999999999998</v>
      </c>
      <c r="AP19" s="523">
        <f>INT(ROUND(Хронология[[#This Row],[Начало]], 3))</f>
        <v>46148</v>
      </c>
      <c r="AQ19" s="524">
        <f>Хронология[[#This Row],[Начало]]-INT(Хронология[[#This Row],[Начало]])</f>
        <v>0.10416666667879326</v>
      </c>
      <c r="AR19" s="523">
        <f>INT(ROUND(Хронология[[#This Row],[Окончание]], 3))</f>
        <v>46148</v>
      </c>
      <c r="AS19" s="524">
        <f>Хронология[[#This Row],[Окончание]]-INT(Хронология[[#This Row],[Окончание]])</f>
        <v>0.14583333334303461</v>
      </c>
      <c r="AT19" s="524" t="str">
        <f>Хронология[[#This Row],[Мастер]] &amp; CHAR(10) &amp; Хронология[[#This Row],[Помощник мастера]] &amp; CHAR(10) &amp; Хронология[[#This Row],[Бурильщик]]</f>
        <v>Жабин П.П.
Керимов Н.К.</v>
      </c>
      <c r="AU19"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6 бис ОК– Заканчивание Запуск в работу УЭЦН </v>
      </c>
      <c r="AV19" s="518" t="str">
        <f>Хронология[[#This Row],[Результат]]&amp;":  "&amp;Хронология[[#This Row],[Событие]]&amp; CHAR(10) &amp;Хронология[[#This Row],[Вид работ]]&amp;"  "&amp;Хронология[[#This Row],[Объект работ]]</f>
        <v>ПВ:  
Запуск в работу  УЭЦН</v>
      </c>
      <c r="AW19" s="522">
        <f>SUMIF($AU$2:AU19, Хронология[[#This Row],[Ключ]], $AH$2:AH19)</f>
        <v>4.1666666666666664E-2</v>
      </c>
      <c r="AX19" s="516" t="str">
        <f>Хронология[[#This Row],[Вид работ]] &amp; " " &amp; Хронология[[#This Row],[Объект работ]]</f>
        <v>Запуск в работу УЭЦН</v>
      </c>
      <c r="AZ19" s="339"/>
      <c r="BB19" s="339"/>
      <c r="BC19" s="339"/>
      <c r="BH19" s="247"/>
      <c r="BI19" s="247"/>
      <c r="BJ19" s="247"/>
      <c r="BK19" s="247"/>
      <c r="BL19" s="247"/>
      <c r="BM19" s="247"/>
      <c r="BN19" s="247"/>
      <c r="BO19" s="247"/>
      <c r="BP19" s="247"/>
      <c r="BQ19" s="247"/>
    </row>
    <row r="20" spans="1:69" ht="69" customHeight="1">
      <c r="A20" s="540" t="s">
        <v>50</v>
      </c>
      <c r="B20" s="541" t="s">
        <v>51</v>
      </c>
      <c r="C20" s="541" t="s">
        <v>52</v>
      </c>
      <c r="D20" s="542">
        <v>1</v>
      </c>
      <c r="E20" s="542" t="s">
        <v>53</v>
      </c>
      <c r="F20" s="515" t="s">
        <v>66</v>
      </c>
      <c r="G20" s="517"/>
      <c r="H20" s="516" t="s">
        <v>67</v>
      </c>
      <c r="I20" s="518"/>
      <c r="J20" s="517"/>
      <c r="K20" s="514"/>
      <c r="L20" s="516" t="s">
        <v>57</v>
      </c>
      <c r="M20" s="516" t="s">
        <v>58</v>
      </c>
      <c r="N20" s="516"/>
      <c r="O20" s="516" t="s">
        <v>69</v>
      </c>
      <c r="P20" s="516" t="s">
        <v>108</v>
      </c>
      <c r="Q20" s="516" t="s">
        <v>61</v>
      </c>
      <c r="R20" s="516" t="s">
        <v>62</v>
      </c>
      <c r="S20" s="516"/>
      <c r="T20" s="526" t="s">
        <v>123</v>
      </c>
      <c r="U20" s="516">
        <v>13.5</v>
      </c>
      <c r="V20" s="516"/>
      <c r="W20" s="516" t="s">
        <v>64</v>
      </c>
      <c r="X20" s="516" t="s">
        <v>65</v>
      </c>
      <c r="Y20" s="516"/>
      <c r="Z20" s="516"/>
      <c r="AA20" s="516"/>
      <c r="AB20" s="516"/>
      <c r="AC20" s="516"/>
      <c r="AD20" s="516"/>
      <c r="AE20" s="514">
        <f>IFERROR(IF(Хронология[[#This Row],[Забой, м]]-V19&lt;0, 0, Хронология[[#This Row],[Забой, м]]-V19), 0)</f>
        <v>0</v>
      </c>
      <c r="AF20" s="521">
        <f t="shared" si="0"/>
        <v>46148.145833333343</v>
      </c>
      <c r="AG20" s="521">
        <f>Хронология[[#This Row],[Начало]]+Хронология[[#This Row],[Сутки]]</f>
        <v>46148.708333333343</v>
      </c>
      <c r="AH20" s="522">
        <f>Хронология[[#This Row],[Часы]]/24</f>
        <v>0.5625</v>
      </c>
      <c r="AI20" s="522">
        <f>IFERROR(Хронология[[#This Row],[Сутки]]+AI19, Хронология[[#This Row],[Сутки]])</f>
        <v>3.8750000000000004</v>
      </c>
      <c r="AJ20"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ПНВ</v>
      </c>
      <c r="AK20"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7.5</v>
      </c>
      <c r="AL20"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6</v>
      </c>
      <c r="AM20" s="527">
        <f>IF(Хронология[[#This Row],[Результат]]="НПВ", Хронология[[#This Row],[Часы]], 0)</f>
        <v>0</v>
      </c>
      <c r="AN20" s="518">
        <f>SUMIFS(Хронология[НПВ], Хронология[Скважина], Хронология[[#This Row],[Скважина]], Хронология[Начало], "&lt;=" &amp; Хронология[[#This Row],[Начало]])</f>
        <v>9</v>
      </c>
      <c r="AO20" s="518">
        <f>SUMIFS(Хронология[ПНВ], Хронология[Скважина], Хронология[[#This Row],[Скважина]], Хронология[Начало], "&lt;=" &amp; Хронология[[#This Row],[Начало]])</f>
        <v>21.74</v>
      </c>
      <c r="AP20" s="523">
        <f>INT(ROUND(Хронология[[#This Row],[Начало]], 3))</f>
        <v>46148</v>
      </c>
      <c r="AQ20" s="524">
        <f>Хронология[[#This Row],[Начало]]-INT(Хронология[[#This Row],[Начало]])</f>
        <v>0.14583333334303461</v>
      </c>
      <c r="AR20" s="523">
        <f>INT(ROUND(Хронология[[#This Row],[Окончание]], 3))</f>
        <v>46148</v>
      </c>
      <c r="AS20" s="524">
        <f>Хронология[[#This Row],[Окончание]]-INT(Хронология[[#This Row],[Окончание]])</f>
        <v>0.70833333334303461</v>
      </c>
      <c r="AT20" s="524" t="str">
        <f>Хронология[[#This Row],[Мастер]] &amp; CHAR(10) &amp; Хронология[[#This Row],[Помощник мастера]] &amp; CHAR(10) &amp; Хронология[[#This Row],[Бурильщик]]</f>
        <v>Жабин П.П.
Керимов Н.К.</v>
      </c>
      <c r="AU20"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6 бис ОК– ДПМ Демонтаж УПА </v>
      </c>
      <c r="AV20" s="518" t="str">
        <f>Хронология[[#This Row],[Результат]]&amp;":  "&amp;Хронология[[#This Row],[Событие]]&amp; CHAR(10) &amp;Хронология[[#This Row],[Вид работ]]&amp;"  "&amp;Хронология[[#This Row],[Объект работ]]</f>
        <v>ПНВ:  
Демонтаж  УПА</v>
      </c>
      <c r="AW20" s="522">
        <f>SUMIF($AU$2:AU20, Хронология[[#This Row],[Ключ]], $AH$2:AH20)</f>
        <v>0.5625</v>
      </c>
      <c r="AX20" s="516" t="str">
        <f>Хронология[[#This Row],[Вид работ]] &amp; " " &amp; Хронология[[#This Row],[Объект работ]]</f>
        <v>Демонтаж УПА</v>
      </c>
      <c r="AZ20" s="339"/>
      <c r="BB20" s="339"/>
      <c r="BC20" s="339"/>
      <c r="BH20" s="247"/>
      <c r="BI20" s="247"/>
      <c r="BJ20" s="247"/>
      <c r="BK20" s="247"/>
      <c r="BL20" s="247"/>
      <c r="BM20" s="247"/>
      <c r="BN20" s="247"/>
      <c r="BO20" s="247"/>
      <c r="BP20" s="247"/>
      <c r="BQ20" s="247"/>
    </row>
    <row r="21" spans="1:69" ht="69" customHeight="1">
      <c r="A21" s="540" t="s">
        <v>50</v>
      </c>
      <c r="B21" s="541" t="s">
        <v>51</v>
      </c>
      <c r="C21" s="541" t="s">
        <v>52</v>
      </c>
      <c r="D21" s="542">
        <v>1</v>
      </c>
      <c r="E21" s="542" t="s">
        <v>53</v>
      </c>
      <c r="F21" s="515" t="s">
        <v>54</v>
      </c>
      <c r="G21" s="517"/>
      <c r="H21" s="516" t="s">
        <v>55</v>
      </c>
      <c r="I21" s="518"/>
      <c r="J21" s="517"/>
      <c r="K21" s="514"/>
      <c r="L21" s="516" t="s">
        <v>57</v>
      </c>
      <c r="M21" s="516" t="s">
        <v>58</v>
      </c>
      <c r="N21" s="516"/>
      <c r="O21" s="516" t="s">
        <v>69</v>
      </c>
      <c r="P21" s="516" t="s">
        <v>108</v>
      </c>
      <c r="Q21" s="516" t="s">
        <v>61</v>
      </c>
      <c r="R21" s="516" t="s">
        <v>62</v>
      </c>
      <c r="S21" s="516"/>
      <c r="T21" s="526" t="s">
        <v>124</v>
      </c>
      <c r="U21" s="516">
        <v>4.5</v>
      </c>
      <c r="V21" s="516"/>
      <c r="W21" s="516" t="s">
        <v>64</v>
      </c>
      <c r="X21" s="516" t="s">
        <v>65</v>
      </c>
      <c r="Y21" s="516"/>
      <c r="Z21" s="516"/>
      <c r="AA21" s="516"/>
      <c r="AB21" s="516"/>
      <c r="AC21" s="516"/>
      <c r="AD21" s="516"/>
      <c r="AE21" s="514">
        <f>IFERROR(IF(Хронология[[#This Row],[Забой, м]]-V20&lt;0, 0, Хронология[[#This Row],[Забой, м]]-V20), 0)</f>
        <v>0</v>
      </c>
      <c r="AF21" s="521">
        <f t="shared" si="0"/>
        <v>46148.708333333343</v>
      </c>
      <c r="AG21" s="521">
        <f>Хронология[[#This Row],[Начало]]+Хронология[[#This Row],[Сутки]]</f>
        <v>46148.895833333343</v>
      </c>
      <c r="AH21" s="522">
        <f>Хронология[[#This Row],[Часы]]/24</f>
        <v>0.1875</v>
      </c>
      <c r="AI21" s="522">
        <f>IFERROR(Хронология[[#This Row],[Сутки]]+AI20, Хронология[[#This Row],[Сутки]])</f>
        <v>4.0625</v>
      </c>
      <c r="AJ21"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ПНВ</v>
      </c>
      <c r="AK21"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v>
      </c>
      <c r="AL21"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4.5</v>
      </c>
      <c r="AM21" s="527">
        <f>IF(Хронология[[#This Row],[Результат]]="НПВ", Хронология[[#This Row],[Часы]], 0)</f>
        <v>0</v>
      </c>
      <c r="AN21" s="518">
        <f>SUMIFS(Хронология[НПВ], Хронология[Скважина], Хронология[[#This Row],[Скважина]], Хронология[Начало], "&lt;=" &amp; Хронология[[#This Row],[Начало]])</f>
        <v>9</v>
      </c>
      <c r="AO21" s="518">
        <f>SUMIFS(Хронология[ПНВ], Хронология[Скважина], Хронология[[#This Row],[Скважина]], Хронология[Начало], "&lt;=" &amp; Хронология[[#This Row],[Начало]])</f>
        <v>26.24</v>
      </c>
      <c r="AP21" s="523">
        <f>INT(ROUND(Хронология[[#This Row],[Начало]], 3))</f>
        <v>46148</v>
      </c>
      <c r="AQ21" s="524">
        <f>Хронология[[#This Row],[Начало]]-INT(Хронология[[#This Row],[Начало]])</f>
        <v>0.70833333334303461</v>
      </c>
      <c r="AR21" s="523">
        <f>INT(ROUND(Хронология[[#This Row],[Окончание]], 3))</f>
        <v>46148</v>
      </c>
      <c r="AS21" s="524">
        <f>Хронология[[#This Row],[Окончание]]-INT(Хронология[[#This Row],[Окончание]])</f>
        <v>0.89583333334303461</v>
      </c>
      <c r="AT21" s="524" t="str">
        <f>Хронология[[#This Row],[Мастер]] &amp; CHAR(10) &amp; Хронология[[#This Row],[Помощник мастера]] &amp; CHAR(10) &amp; Хронология[[#This Row],[Бурильщик]]</f>
        <v>Вдовин И.О.
Жангазиев С.К.</v>
      </c>
      <c r="AU21"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6 бис ОК– ДПМ Демонтаж УПА </v>
      </c>
      <c r="AV21" s="518" t="str">
        <f>Хронология[[#This Row],[Результат]]&amp;":  "&amp;Хронология[[#This Row],[Событие]]&amp; CHAR(10) &amp;Хронология[[#This Row],[Вид работ]]&amp;"  "&amp;Хронология[[#This Row],[Объект работ]]</f>
        <v>ПНВ:  
Демонтаж  УПА</v>
      </c>
      <c r="AW21" s="522">
        <f>SUMIF($AU$2:AU21, Хронология[[#This Row],[Ключ]], $AH$2:AH21)</f>
        <v>0.75</v>
      </c>
      <c r="AX21" s="516" t="str">
        <f>Хронология[[#This Row],[Вид работ]] &amp; " " &amp; Хронология[[#This Row],[Объект работ]]</f>
        <v>Демонтаж УПА</v>
      </c>
      <c r="AZ21" s="339"/>
      <c r="BB21" s="339"/>
      <c r="BC21" s="339"/>
      <c r="BH21" s="247"/>
      <c r="BI21" s="247"/>
      <c r="BJ21" s="247"/>
      <c r="BK21" s="247"/>
      <c r="BL21" s="247"/>
      <c r="BM21" s="247"/>
      <c r="BN21" s="247"/>
      <c r="BO21" s="247"/>
      <c r="BP21" s="247"/>
      <c r="BQ21" s="247"/>
    </row>
    <row r="22" spans="1:69" ht="50.5" customHeight="1">
      <c r="A22" s="540" t="s">
        <v>50</v>
      </c>
      <c r="B22" s="541" t="s">
        <v>51</v>
      </c>
      <c r="C22" s="541" t="s">
        <v>52</v>
      </c>
      <c r="D22" s="542">
        <v>1</v>
      </c>
      <c r="E22" s="542">
        <v>431</v>
      </c>
      <c r="F22" s="515" t="s">
        <v>54</v>
      </c>
      <c r="G22" s="517"/>
      <c r="H22" s="516" t="s">
        <v>55</v>
      </c>
      <c r="I22" s="518"/>
      <c r="J22" s="517"/>
      <c r="K22" s="514"/>
      <c r="L22" s="516" t="s">
        <v>57</v>
      </c>
      <c r="M22" s="516" t="s">
        <v>58</v>
      </c>
      <c r="N22" s="516"/>
      <c r="O22" s="516" t="s">
        <v>59</v>
      </c>
      <c r="P22" s="516" t="s">
        <v>60</v>
      </c>
      <c r="Q22" s="516" t="s">
        <v>61</v>
      </c>
      <c r="R22" s="516" t="s">
        <v>62</v>
      </c>
      <c r="S22" s="516"/>
      <c r="T22" s="514" t="s">
        <v>125</v>
      </c>
      <c r="U22" s="516">
        <v>2.5</v>
      </c>
      <c r="V22" s="516"/>
      <c r="W22" s="516" t="s">
        <v>64</v>
      </c>
      <c r="X22" s="516" t="s">
        <v>65</v>
      </c>
      <c r="Y22" s="516"/>
      <c r="Z22" s="516"/>
      <c r="AA22" s="516"/>
      <c r="AB22" s="516"/>
      <c r="AC22" s="516"/>
      <c r="AD22" s="516"/>
      <c r="AE22" s="514">
        <f>IFERROR(IF(Хронология[[#This Row],[Забой, м]]-V21&lt;0, 0, Хронология[[#This Row],[Забой, м]]-V21), 0)</f>
        <v>0</v>
      </c>
      <c r="AF22" s="521">
        <f t="shared" si="0"/>
        <v>46148.895833333343</v>
      </c>
      <c r="AG22" s="521">
        <f>Хронология[[#This Row],[Начало]]+Хронология[[#This Row],[Сутки]]</f>
        <v>46149.000000000007</v>
      </c>
      <c r="AH22" s="522">
        <f>Хронология[[#This Row],[Часы]]/24</f>
        <v>0.10416666666666667</v>
      </c>
      <c r="AI22" s="522">
        <f>IFERROR(Хронология[[#This Row],[Сутки]]+AI21, Хронология[[#This Row],[Сутки]])</f>
        <v>4.166666666666667</v>
      </c>
      <c r="AJ22"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ПВ</v>
      </c>
      <c r="AK22"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2.5</v>
      </c>
      <c r="AL22"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v>
      </c>
      <c r="AM22" s="527">
        <f>IF(Хронология[[#This Row],[Результат]]="НПВ", Хронология[[#This Row],[Часы]], 0)</f>
        <v>0</v>
      </c>
      <c r="AN22" s="518">
        <f>SUMIFS(Хронология[НПВ], Хронология[Скважина], Хронология[[#This Row],[Скважина]], Хронология[Начало], "&lt;=" &amp; Хронология[[#This Row],[Начало]])</f>
        <v>0</v>
      </c>
      <c r="AO22" s="518">
        <f>SUMIFS(Хронология[ПНВ], Хронология[Скважина], Хронология[[#This Row],[Скважина]], Хронология[Начало], "&lt;=" &amp; Хронология[[#This Row],[Начало]])</f>
        <v>0</v>
      </c>
      <c r="AP22" s="523">
        <f>INT(ROUND(Хронология[[#This Row],[Начало]], 3))</f>
        <v>46148</v>
      </c>
      <c r="AQ22" s="524">
        <f>Хронология[[#This Row],[Начало]]-INT(Хронология[[#This Row],[Начало]])</f>
        <v>0.89583333334303461</v>
      </c>
      <c r="AR22" s="523">
        <f>INT(ROUND(Хронология[[#This Row],[Окончание]], 3))</f>
        <v>46149</v>
      </c>
      <c r="AS22" s="524">
        <f>Хронология[[#This Row],[Окончание]]-INT(Хронология[[#This Row],[Окончание]])</f>
        <v>0</v>
      </c>
      <c r="AT22" s="524" t="str">
        <f>Хронология[[#This Row],[Мастер]] &amp; CHAR(10) &amp; Хронология[[#This Row],[Помощник мастера]] &amp; CHAR(10) &amp; Хронология[[#This Row],[Бурильщик]]</f>
        <v>Вдовин И.О.
Жангазиев С.К.</v>
      </c>
      <c r="AU22"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431 ОК– ДПМ Передвижка УПА </v>
      </c>
      <c r="AV22" s="518" t="str">
        <f>Хронология[[#This Row],[Результат]]&amp;":  "&amp;Хронология[[#This Row],[Событие]]&amp; CHAR(10) &amp;Хронология[[#This Row],[Вид работ]]&amp;"  "&amp;Хронология[[#This Row],[Объект работ]]</f>
        <v>ПВ:  
Передвижка  УПА</v>
      </c>
      <c r="AW22" s="522">
        <f>SUMIF($AU$2:AU22, Хронология[[#This Row],[Ключ]], $AH$2:AH22)</f>
        <v>0.10416666666666667</v>
      </c>
      <c r="AX22" s="516" t="str">
        <f>Хронология[[#This Row],[Вид работ]] &amp; " " &amp; Хронология[[#This Row],[Объект работ]]</f>
        <v>Передвижка УПА</v>
      </c>
      <c r="AZ22" s="339"/>
      <c r="BB22" s="339"/>
      <c r="BC22" s="339"/>
      <c r="BH22" s="247"/>
      <c r="BI22" s="247"/>
      <c r="BJ22" s="247"/>
      <c r="BK22" s="247"/>
      <c r="BL22" s="247"/>
      <c r="BM22" s="247"/>
      <c r="BN22" s="247"/>
      <c r="BO22" s="247"/>
      <c r="BP22" s="247"/>
      <c r="BQ22" s="247"/>
    </row>
    <row r="23" spans="1:69" ht="50.5" customHeight="1">
      <c r="A23" s="540" t="s">
        <v>50</v>
      </c>
      <c r="B23" s="541" t="s">
        <v>51</v>
      </c>
      <c r="C23" s="541" t="s">
        <v>52</v>
      </c>
      <c r="D23" s="542">
        <v>1</v>
      </c>
      <c r="E23" s="542">
        <v>431</v>
      </c>
      <c r="F23" s="515" t="s">
        <v>66</v>
      </c>
      <c r="G23" s="517"/>
      <c r="H23" s="516" t="s">
        <v>67</v>
      </c>
      <c r="I23" s="518"/>
      <c r="J23" s="517"/>
      <c r="K23" s="514"/>
      <c r="L23" s="516" t="s">
        <v>57</v>
      </c>
      <c r="M23" s="516" t="s">
        <v>58</v>
      </c>
      <c r="N23" s="516"/>
      <c r="O23" s="516" t="s">
        <v>59</v>
      </c>
      <c r="P23" s="516" t="s">
        <v>60</v>
      </c>
      <c r="Q23" s="516" t="s">
        <v>61</v>
      </c>
      <c r="R23" s="516" t="s">
        <v>62</v>
      </c>
      <c r="S23" s="516"/>
      <c r="T23" s="514" t="s">
        <v>125</v>
      </c>
      <c r="U23" s="516">
        <v>7</v>
      </c>
      <c r="V23" s="516"/>
      <c r="W23" s="516"/>
      <c r="X23" s="516"/>
      <c r="Y23" s="516"/>
      <c r="Z23" s="516"/>
      <c r="AA23" s="516"/>
      <c r="AB23" s="516"/>
      <c r="AC23" s="516"/>
      <c r="AD23" s="516"/>
      <c r="AE23" s="514">
        <f>IFERROR(IF(Хронология[[#This Row],[Забой, м]]-V22&lt;0, 0, Хронология[[#This Row],[Забой, м]]-V22), 0)</f>
        <v>0</v>
      </c>
      <c r="AF23" s="521">
        <f t="shared" si="0"/>
        <v>46149.000000000007</v>
      </c>
      <c r="AG23" s="521">
        <f>Хронология[[#This Row],[Начало]]+Хронология[[#This Row],[Сутки]]</f>
        <v>46149.291666666672</v>
      </c>
      <c r="AH23" s="522">
        <f>Хронология[[#This Row],[Часы]]/24</f>
        <v>0.29166666666666669</v>
      </c>
      <c r="AI23" s="522">
        <f>IFERROR(Хронология[[#This Row],[Сутки]]+AI22, Хронология[[#This Row],[Сутки]])</f>
        <v>4.4583333333333339</v>
      </c>
      <c r="AJ23"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ПВ</v>
      </c>
      <c r="AK23"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7</v>
      </c>
      <c r="AL23"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v>
      </c>
      <c r="AM23" s="527">
        <f>IF(Хронология[[#This Row],[Результат]]="НПВ", Хронология[[#This Row],[Часы]], 0)</f>
        <v>0</v>
      </c>
      <c r="AN23" s="518">
        <f>SUMIFS(Хронология[НПВ], Хронология[Скважина], Хронология[[#This Row],[Скважина]], Хронология[Начало], "&lt;=" &amp; Хронология[[#This Row],[Начало]])</f>
        <v>0</v>
      </c>
      <c r="AO23" s="518">
        <f>SUMIFS(Хронология[ПНВ], Хронология[Скважина], Хронология[[#This Row],[Скважина]], Хронология[Начало], "&lt;=" &amp; Хронология[[#This Row],[Начало]])</f>
        <v>0</v>
      </c>
      <c r="AP23" s="523">
        <f>INT(ROUND(Хронология[[#This Row],[Начало]], 3))</f>
        <v>46149</v>
      </c>
      <c r="AQ23" s="524">
        <f>Хронология[[#This Row],[Начало]]-INT(Хронология[[#This Row],[Начало]])</f>
        <v>0</v>
      </c>
      <c r="AR23" s="523">
        <f>INT(ROUND(Хронология[[#This Row],[Окончание]], 3))</f>
        <v>46149</v>
      </c>
      <c r="AS23" s="524">
        <f>Хронология[[#This Row],[Окончание]]-INT(Хронология[[#This Row],[Окончание]])</f>
        <v>0.29166666667151731</v>
      </c>
      <c r="AT23" s="524" t="str">
        <f>Хронология[[#This Row],[Мастер]] &amp; CHAR(10) &amp; Хронология[[#This Row],[Помощник мастера]] &amp; CHAR(10) &amp; Хронология[[#This Row],[Бурильщик]]</f>
        <v>Жабин П.П.
Керимов Н.К.</v>
      </c>
      <c r="AU23"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431 ОК– ДПМ Передвижка УПА </v>
      </c>
      <c r="AV23" s="518" t="str">
        <f>Хронология[[#This Row],[Результат]]&amp;":  "&amp;Хронология[[#This Row],[Событие]]&amp; CHAR(10) &amp;Хронология[[#This Row],[Вид работ]]&amp;"  "&amp;Хронология[[#This Row],[Объект работ]]</f>
        <v>ПВ:  
Передвижка  УПА</v>
      </c>
      <c r="AW23" s="522">
        <f>SUMIF($AU$2:AU23, Хронология[[#This Row],[Ключ]], $AH$2:AH23)</f>
        <v>0.39583333333333337</v>
      </c>
      <c r="AX23" s="516" t="str">
        <f>Хронология[[#This Row],[Вид работ]] &amp; " " &amp; Хронология[[#This Row],[Объект работ]]</f>
        <v>Передвижка УПА</v>
      </c>
      <c r="AZ23" s="339"/>
      <c r="BB23" s="339"/>
      <c r="BC23" s="339"/>
      <c r="BH23" s="247"/>
      <c r="BI23" s="247"/>
      <c r="BJ23" s="247"/>
      <c r="BK23" s="247"/>
      <c r="BL23" s="247"/>
      <c r="BM23" s="247"/>
      <c r="BN23" s="247"/>
      <c r="BO23" s="247"/>
      <c r="BP23" s="247"/>
      <c r="BQ23" s="247"/>
    </row>
    <row r="24" spans="1:69" ht="50.5" customHeight="1">
      <c r="A24" s="540" t="s">
        <v>50</v>
      </c>
      <c r="B24" s="541" t="s">
        <v>51</v>
      </c>
      <c r="C24" s="541" t="s">
        <v>52</v>
      </c>
      <c r="D24" s="542">
        <v>1</v>
      </c>
      <c r="E24" s="542">
        <v>431</v>
      </c>
      <c r="F24" s="515" t="s">
        <v>54</v>
      </c>
      <c r="G24" s="517"/>
      <c r="H24" s="516" t="s">
        <v>55</v>
      </c>
      <c r="I24" s="518"/>
      <c r="J24" s="517"/>
      <c r="K24" s="514"/>
      <c r="L24" s="516" t="s">
        <v>57</v>
      </c>
      <c r="M24" s="516" t="s">
        <v>58</v>
      </c>
      <c r="N24" s="516"/>
      <c r="O24" s="516" t="s">
        <v>59</v>
      </c>
      <c r="P24" s="516" t="s">
        <v>60</v>
      </c>
      <c r="Q24" s="516" t="s">
        <v>61</v>
      </c>
      <c r="R24" s="516" t="s">
        <v>62</v>
      </c>
      <c r="S24" s="516"/>
      <c r="T24" s="514" t="s">
        <v>126</v>
      </c>
      <c r="U24" s="516">
        <v>5</v>
      </c>
      <c r="V24" s="516"/>
      <c r="W24" s="516"/>
      <c r="X24" s="516"/>
      <c r="Y24" s="516"/>
      <c r="Z24" s="516"/>
      <c r="AA24" s="516"/>
      <c r="AB24" s="516"/>
      <c r="AC24" s="516"/>
      <c r="AD24" s="516"/>
      <c r="AE24" s="514">
        <f>IFERROR(IF(Хронология[[#This Row],[Забой, м]]-V23&lt;0, 0, Хронология[[#This Row],[Забой, м]]-V23), 0)</f>
        <v>0</v>
      </c>
      <c r="AF24" s="521">
        <f t="shared" si="0"/>
        <v>46149.291666666672</v>
      </c>
      <c r="AG24" s="521">
        <f>Хронология[[#This Row],[Начало]]+Хронология[[#This Row],[Сутки]]</f>
        <v>46149.500000000007</v>
      </c>
      <c r="AH24" s="522">
        <f>Хронология[[#This Row],[Часы]]/24</f>
        <v>0.20833333333333334</v>
      </c>
      <c r="AI24" s="522">
        <f>IFERROR(Хронология[[#This Row],[Сутки]]+AI23, Хронология[[#This Row],[Сутки]])</f>
        <v>4.666666666666667</v>
      </c>
      <c r="AJ24"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ПВ</v>
      </c>
      <c r="AK24"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5</v>
      </c>
      <c r="AL24"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v>
      </c>
      <c r="AM24" s="527">
        <f>IF(Хронология[[#This Row],[Результат]]="НПВ", Хронология[[#This Row],[Часы]], 0)</f>
        <v>0</v>
      </c>
      <c r="AN24" s="518">
        <f>SUMIFS(Хронология[НПВ], Хронология[Скважина], Хронология[[#This Row],[Скважина]], Хронология[Начало], "&lt;=" &amp; Хронология[[#This Row],[Начало]])</f>
        <v>0</v>
      </c>
      <c r="AO24" s="518">
        <f>SUMIFS(Хронология[ПНВ], Хронология[Скважина], Хронология[[#This Row],[Скважина]], Хронология[Начало], "&lt;=" &amp; Хронология[[#This Row],[Начало]])</f>
        <v>0</v>
      </c>
      <c r="AP24" s="523">
        <f>INT(ROUND(Хронология[[#This Row],[Начало]], 3))</f>
        <v>46149</v>
      </c>
      <c r="AQ24" s="524">
        <f>Хронология[[#This Row],[Начало]]-INT(Хронология[[#This Row],[Начало]])</f>
        <v>0.29166666667151731</v>
      </c>
      <c r="AR24" s="523">
        <f>INT(ROUND(Хронология[[#This Row],[Окончание]], 3))</f>
        <v>46149</v>
      </c>
      <c r="AS24" s="524">
        <f>Хронология[[#This Row],[Окончание]]-INT(Хронология[[#This Row],[Окончание]])</f>
        <v>0.50000000000727596</v>
      </c>
      <c r="AT24" s="524" t="str">
        <f>Хронология[[#This Row],[Мастер]] &amp; CHAR(10) &amp; Хронология[[#This Row],[Помощник мастера]] &amp; CHAR(10) &amp; Хронология[[#This Row],[Бурильщик]]</f>
        <v>Вдовин И.О.
Жангазиев С.К.</v>
      </c>
      <c r="AU24"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431 ОК– ДПМ Передвижка УПА </v>
      </c>
      <c r="AV24" s="518" t="str">
        <f>Хронология[[#This Row],[Результат]]&amp;":  "&amp;Хронология[[#This Row],[Событие]]&amp; CHAR(10) &amp;Хронология[[#This Row],[Вид работ]]&amp;"  "&amp;Хронология[[#This Row],[Объект работ]]</f>
        <v>ПВ:  
Передвижка  УПА</v>
      </c>
      <c r="AW24" s="522">
        <f>SUMIF($AU$2:AU24, Хронология[[#This Row],[Ключ]], $AH$2:AH24)</f>
        <v>0.60416666666666674</v>
      </c>
      <c r="AX24" s="516" t="str">
        <f>Хронология[[#This Row],[Вид работ]] &amp; " " &amp; Хронология[[#This Row],[Объект работ]]</f>
        <v>Передвижка УПА</v>
      </c>
      <c r="AZ24" s="339"/>
      <c r="BB24" s="339"/>
      <c r="BC24" s="339"/>
      <c r="BH24" s="247"/>
      <c r="BI24" s="247"/>
      <c r="BJ24" s="247"/>
      <c r="BK24" s="247"/>
      <c r="BL24" s="247"/>
      <c r="BM24" s="247"/>
      <c r="BN24" s="247"/>
      <c r="BO24" s="247"/>
      <c r="BP24" s="247"/>
      <c r="BQ24" s="247"/>
    </row>
    <row r="25" spans="1:69" ht="50.5" customHeight="1">
      <c r="A25" s="540" t="s">
        <v>50</v>
      </c>
      <c r="B25" s="541" t="s">
        <v>51</v>
      </c>
      <c r="C25" s="541" t="s">
        <v>52</v>
      </c>
      <c r="D25" s="542">
        <v>1</v>
      </c>
      <c r="E25" s="542">
        <v>431</v>
      </c>
      <c r="F25" s="515" t="s">
        <v>54</v>
      </c>
      <c r="G25" s="517"/>
      <c r="H25" s="516" t="s">
        <v>55</v>
      </c>
      <c r="I25" s="518"/>
      <c r="J25" s="517"/>
      <c r="K25" s="514"/>
      <c r="L25" s="516" t="s">
        <v>57</v>
      </c>
      <c r="M25" s="516" t="s">
        <v>58</v>
      </c>
      <c r="N25" s="516"/>
      <c r="O25" s="516" t="s">
        <v>59</v>
      </c>
      <c r="P25" s="516" t="s">
        <v>60</v>
      </c>
      <c r="Q25" s="516" t="s">
        <v>61</v>
      </c>
      <c r="R25" s="516" t="s">
        <v>62</v>
      </c>
      <c r="S25" s="516"/>
      <c r="T25" s="514" t="s">
        <v>127</v>
      </c>
      <c r="U25" s="516">
        <v>4</v>
      </c>
      <c r="V25" s="516"/>
      <c r="W25" s="516" t="s">
        <v>64</v>
      </c>
      <c r="X25" s="516" t="s">
        <v>65</v>
      </c>
      <c r="Y25" s="516"/>
      <c r="Z25" s="516"/>
      <c r="AA25" s="516"/>
      <c r="AB25" s="516"/>
      <c r="AC25" s="516"/>
      <c r="AD25" s="516"/>
      <c r="AE25" s="514">
        <f>IFERROR(IF(Хронология[[#This Row],[Забой, м]]-V24&lt;0, 0, Хронология[[#This Row],[Забой, м]]-V24), 0)</f>
        <v>0</v>
      </c>
      <c r="AF25" s="521">
        <f t="shared" si="0"/>
        <v>46149.500000000007</v>
      </c>
      <c r="AG25" s="521">
        <f>Хронология[[#This Row],[Начало]]+Хронология[[#This Row],[Сутки]]</f>
        <v>46149.666666666672</v>
      </c>
      <c r="AH25" s="522">
        <f>Хронология[[#This Row],[Часы]]/24</f>
        <v>0.16666666666666666</v>
      </c>
      <c r="AI25" s="522">
        <f>IFERROR(Хронология[[#This Row],[Сутки]]+AI24, Хронология[[#This Row],[Сутки]])</f>
        <v>4.8333333333333339</v>
      </c>
      <c r="AJ25"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ПНВ</v>
      </c>
      <c r="AK25"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1.9699999999999989</v>
      </c>
      <c r="AL25"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2.0300000000000011</v>
      </c>
      <c r="AM25" s="527">
        <f>IF(Хронология[[#This Row],[Результат]]="НПВ", Хронология[[#This Row],[Часы]], 0)</f>
        <v>0</v>
      </c>
      <c r="AN25" s="518">
        <f>SUMIFS(Хронология[НПВ], Хронология[Скважина], Хронология[[#This Row],[Скважина]], Хронология[Начало], "&lt;=" &amp; Хронология[[#This Row],[Начало]])</f>
        <v>0</v>
      </c>
      <c r="AO25" s="518">
        <f>SUMIFS(Хронология[ПНВ], Хронология[Скважина], Хронология[[#This Row],[Скважина]], Хронология[Начало], "&lt;=" &amp; Хронология[[#This Row],[Начало]])</f>
        <v>2.0300000000000011</v>
      </c>
      <c r="AP25" s="523">
        <f>INT(ROUND(Хронология[[#This Row],[Начало]], 3))</f>
        <v>46149</v>
      </c>
      <c r="AQ25" s="524">
        <f>Хронология[[#This Row],[Начало]]-INT(Хронология[[#This Row],[Начало]])</f>
        <v>0.50000000000727596</v>
      </c>
      <c r="AR25" s="523">
        <f>INT(ROUND(Хронология[[#This Row],[Окончание]], 3))</f>
        <v>46149</v>
      </c>
      <c r="AS25" s="524">
        <f>Хронология[[#This Row],[Окончание]]-INT(Хронология[[#This Row],[Окончание]])</f>
        <v>0.66666666667151731</v>
      </c>
      <c r="AT25" s="524" t="str">
        <f>Хронология[[#This Row],[Мастер]] &amp; CHAR(10) &amp; Хронология[[#This Row],[Помощник мастера]] &amp; CHAR(10) &amp; Хронология[[#This Row],[Бурильщик]]</f>
        <v>Вдовин И.О.
Жангазиев С.К.</v>
      </c>
      <c r="AU25"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431 ОК– ДПМ Передвижка УПА </v>
      </c>
      <c r="AV25" s="518" t="str">
        <f>Хронология[[#This Row],[Результат]]&amp;":  "&amp;Хронология[[#This Row],[Событие]]&amp; CHAR(10) &amp;Хронология[[#This Row],[Вид работ]]&amp;"  "&amp;Хронология[[#This Row],[Объект работ]]</f>
        <v>ПНВ:  
Передвижка  УПА</v>
      </c>
      <c r="AW25" s="522">
        <f>SUMIF($AU$2:AU25, Хронология[[#This Row],[Ключ]], $AH$2:AH25)</f>
        <v>0.77083333333333337</v>
      </c>
      <c r="AX25" s="516" t="str">
        <f>Хронология[[#This Row],[Вид работ]] &amp; " " &amp; Хронология[[#This Row],[Объект работ]]</f>
        <v>Передвижка УПА</v>
      </c>
      <c r="AZ25" s="339"/>
      <c r="BB25" s="339"/>
      <c r="BC25" s="339"/>
      <c r="BH25" s="247"/>
      <c r="BI25" s="247"/>
      <c r="BJ25" s="247"/>
      <c r="BK25" s="247"/>
      <c r="BL25" s="247"/>
      <c r="BM25" s="247"/>
      <c r="BN25" s="247"/>
      <c r="BO25" s="247"/>
      <c r="BP25" s="247"/>
      <c r="BQ25" s="247"/>
    </row>
    <row r="26" spans="1:69" ht="50.5" customHeight="1">
      <c r="A26" s="540" t="s">
        <v>50</v>
      </c>
      <c r="B26" s="541" t="s">
        <v>51</v>
      </c>
      <c r="C26" s="541" t="s">
        <v>52</v>
      </c>
      <c r="D26" s="542">
        <v>1</v>
      </c>
      <c r="E26" s="542">
        <v>431</v>
      </c>
      <c r="F26" s="515" t="s">
        <v>54</v>
      </c>
      <c r="G26" s="517"/>
      <c r="H26" s="516" t="s">
        <v>55</v>
      </c>
      <c r="I26" s="518"/>
      <c r="J26" s="517"/>
      <c r="K26" s="514"/>
      <c r="L26" s="516" t="s">
        <v>57</v>
      </c>
      <c r="M26" s="516" t="s">
        <v>58</v>
      </c>
      <c r="N26" s="516"/>
      <c r="O26" s="516" t="s">
        <v>59</v>
      </c>
      <c r="P26" s="516" t="s">
        <v>60</v>
      </c>
      <c r="Q26" s="516" t="s">
        <v>61</v>
      </c>
      <c r="R26" s="516" t="s">
        <v>62</v>
      </c>
      <c r="S26" s="516"/>
      <c r="T26" s="514" t="s">
        <v>128</v>
      </c>
      <c r="U26" s="516">
        <v>4</v>
      </c>
      <c r="V26" s="516"/>
      <c r="W26" s="516" t="s">
        <v>64</v>
      </c>
      <c r="X26" s="516" t="s">
        <v>65</v>
      </c>
      <c r="Y26" s="516"/>
      <c r="Z26" s="516"/>
      <c r="AA26" s="516"/>
      <c r="AB26" s="516"/>
      <c r="AC26" s="516"/>
      <c r="AD26" s="516"/>
      <c r="AE26" s="514">
        <f>IFERROR(IF(Хронология[[#This Row],[Забой, м]]-V25&lt;0, 0, Хронология[[#This Row],[Забой, м]]-V25), 0)</f>
        <v>0</v>
      </c>
      <c r="AF26" s="521">
        <f t="shared" si="0"/>
        <v>46149.666666666672</v>
      </c>
      <c r="AG26" s="521">
        <f>Хронология[[#This Row],[Начало]]+Хронология[[#This Row],[Сутки]]</f>
        <v>46149.833333333336</v>
      </c>
      <c r="AH26" s="522">
        <f>Хронология[[#This Row],[Часы]]/24</f>
        <v>0.16666666666666666</v>
      </c>
      <c r="AI26" s="522">
        <f>IFERROR(Хронология[[#This Row],[Сутки]]+AI25, Хронология[[#This Row],[Сутки]])</f>
        <v>5.0000000000000009</v>
      </c>
      <c r="AJ26"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ПНВ</v>
      </c>
      <c r="AK26"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v>
      </c>
      <c r="AL26"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4</v>
      </c>
      <c r="AM26" s="527">
        <f>IF(Хронология[[#This Row],[Результат]]="НПВ", Хронология[[#This Row],[Часы]], 0)</f>
        <v>0</v>
      </c>
      <c r="AN26" s="518">
        <f>SUMIFS(Хронология[НПВ], Хронология[Скважина], Хронология[[#This Row],[Скважина]], Хронология[Начало], "&lt;=" &amp; Хронология[[#This Row],[Начало]])</f>
        <v>0</v>
      </c>
      <c r="AO26" s="518">
        <f>SUMIFS(Хронология[ПНВ], Хронология[Скважина], Хронология[[#This Row],[Скважина]], Хронология[Начало], "&lt;=" &amp; Хронология[[#This Row],[Начало]])</f>
        <v>6.0300000000000011</v>
      </c>
      <c r="AP26" s="523">
        <f>INT(ROUND(Хронология[[#This Row],[Начало]], 3))</f>
        <v>46149</v>
      </c>
      <c r="AQ26" s="524">
        <f>Хронология[[#This Row],[Начало]]-INT(Хронология[[#This Row],[Начало]])</f>
        <v>0.66666666667151731</v>
      </c>
      <c r="AR26" s="523">
        <f>INT(ROUND(Хронология[[#This Row],[Окончание]], 3))</f>
        <v>46149</v>
      </c>
      <c r="AS26" s="524">
        <f>Хронология[[#This Row],[Окончание]]-INT(Хронология[[#This Row],[Окончание]])</f>
        <v>0.83333333333575865</v>
      </c>
      <c r="AT26" s="524" t="str">
        <f>Хронология[[#This Row],[Мастер]] &amp; CHAR(10) &amp; Хронология[[#This Row],[Помощник мастера]] &amp; CHAR(10) &amp; Хронология[[#This Row],[Бурильщик]]</f>
        <v>Вдовин И.О.
Жангазиев С.К.</v>
      </c>
      <c r="AU26"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431 ОК– ДПМ Передвижка УПА </v>
      </c>
      <c r="AV26" s="518" t="str">
        <f>Хронология[[#This Row],[Результат]]&amp;":  "&amp;Хронология[[#This Row],[Событие]]&amp; CHAR(10) &amp;Хронология[[#This Row],[Вид работ]]&amp;"  "&amp;Хронология[[#This Row],[Объект работ]]</f>
        <v>ПНВ:  
Передвижка  УПА</v>
      </c>
      <c r="AW26" s="522">
        <f>SUMIF($AU$2:AU26, Хронология[[#This Row],[Ключ]], $AH$2:AH26)</f>
        <v>0.9375</v>
      </c>
      <c r="AX26" s="516" t="str">
        <f>Хронология[[#This Row],[Вид работ]] &amp; " " &amp; Хронология[[#This Row],[Объект работ]]</f>
        <v>Передвижка УПА</v>
      </c>
      <c r="AZ26" s="339"/>
      <c r="BB26" s="339"/>
      <c r="BC26" s="339"/>
      <c r="BH26" s="247"/>
      <c r="BI26" s="247"/>
      <c r="BJ26" s="247"/>
      <c r="BK26" s="247"/>
      <c r="BL26" s="247"/>
      <c r="BM26" s="247"/>
      <c r="BN26" s="247"/>
      <c r="BO26" s="247"/>
      <c r="BP26" s="247"/>
      <c r="BQ26" s="247"/>
    </row>
    <row r="27" spans="1:69" ht="50.5" customHeight="1">
      <c r="A27" s="540" t="s">
        <v>50</v>
      </c>
      <c r="B27" s="541" t="s">
        <v>51</v>
      </c>
      <c r="C27" s="541" t="s">
        <v>52</v>
      </c>
      <c r="D27" s="542">
        <v>1</v>
      </c>
      <c r="E27" s="542">
        <v>431</v>
      </c>
      <c r="F27" s="515" t="s">
        <v>54</v>
      </c>
      <c r="G27" s="517"/>
      <c r="H27" s="516" t="s">
        <v>55</v>
      </c>
      <c r="I27" s="518"/>
      <c r="J27" s="517"/>
      <c r="K27" s="514"/>
      <c r="L27" s="516" t="s">
        <v>57</v>
      </c>
      <c r="M27" s="516" t="s">
        <v>58</v>
      </c>
      <c r="N27" s="516"/>
      <c r="O27" s="516" t="s">
        <v>59</v>
      </c>
      <c r="P27" s="516" t="s">
        <v>60</v>
      </c>
      <c r="Q27" s="516" t="s">
        <v>61</v>
      </c>
      <c r="R27" s="516" t="s">
        <v>62</v>
      </c>
      <c r="S27" s="516"/>
      <c r="T27" s="514" t="s">
        <v>129</v>
      </c>
      <c r="U27" s="516">
        <v>4</v>
      </c>
      <c r="V27" s="516"/>
      <c r="W27" s="516" t="s">
        <v>64</v>
      </c>
      <c r="X27" s="516" t="s">
        <v>65</v>
      </c>
      <c r="Y27" s="516"/>
      <c r="Z27" s="516"/>
      <c r="AA27" s="516"/>
      <c r="AB27" s="516"/>
      <c r="AC27" s="516"/>
      <c r="AD27" s="516"/>
      <c r="AE27" s="514">
        <f>IFERROR(IF(Хронология[[#This Row],[Забой, м]]-V26&lt;0, 0, Хронология[[#This Row],[Забой, м]]-V26), 0)</f>
        <v>0</v>
      </c>
      <c r="AF27" s="521">
        <f t="shared" si="0"/>
        <v>46149.833333333336</v>
      </c>
      <c r="AG27" s="521">
        <f>Хронология[[#This Row],[Начало]]+Хронология[[#This Row],[Сутки]]</f>
        <v>46150</v>
      </c>
      <c r="AH27" s="522">
        <f>Хронология[[#This Row],[Часы]]/24</f>
        <v>0.16666666666666666</v>
      </c>
      <c r="AI27" s="522">
        <f>IFERROR(Хронология[[#This Row],[Сутки]]+AI26, Хронология[[#This Row],[Сутки]])</f>
        <v>5.1666666666666679</v>
      </c>
      <c r="AJ27"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ПНВ</v>
      </c>
      <c r="AK27"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v>
      </c>
      <c r="AL27"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4</v>
      </c>
      <c r="AM27" s="527">
        <f>IF(Хронология[[#This Row],[Результат]]="НПВ", Хронология[[#This Row],[Часы]], 0)</f>
        <v>0</v>
      </c>
      <c r="AN27" s="518">
        <f>SUMIFS(Хронология[НПВ], Хронология[Скважина], Хронология[[#This Row],[Скважина]], Хронология[Начало], "&lt;=" &amp; Хронология[[#This Row],[Начало]])</f>
        <v>0</v>
      </c>
      <c r="AO27" s="518">
        <f>SUMIFS(Хронология[ПНВ], Хронология[Скважина], Хронология[[#This Row],[Скважина]], Хронология[Начало], "&lt;=" &amp; Хронология[[#This Row],[Начало]])</f>
        <v>10.030000000000001</v>
      </c>
      <c r="AP27" s="523">
        <f>INT(ROUND(Хронология[[#This Row],[Начало]], 3))</f>
        <v>46149</v>
      </c>
      <c r="AQ27" s="524">
        <f>Хронология[[#This Row],[Начало]]-INT(Хронология[[#This Row],[Начало]])</f>
        <v>0.83333333333575865</v>
      </c>
      <c r="AR27" s="523">
        <f>INT(ROUND(Хронология[[#This Row],[Окончание]], 3))</f>
        <v>46150</v>
      </c>
      <c r="AS27" s="524">
        <f>Хронология[[#This Row],[Окончание]]-INT(Хронология[[#This Row],[Окончание]])</f>
        <v>0</v>
      </c>
      <c r="AT27" s="524" t="str">
        <f>Хронология[[#This Row],[Мастер]] &amp; CHAR(10) &amp; Хронология[[#This Row],[Помощник мастера]] &amp; CHAR(10) &amp; Хронология[[#This Row],[Бурильщик]]</f>
        <v>Вдовин И.О.
Жангазиев С.К.</v>
      </c>
      <c r="AU27"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431 ОК– ДПМ Передвижка УПА </v>
      </c>
      <c r="AV27" s="518" t="str">
        <f>Хронология[[#This Row],[Результат]]&amp;":  "&amp;Хронология[[#This Row],[Событие]]&amp; CHAR(10) &amp;Хронология[[#This Row],[Вид работ]]&amp;"  "&amp;Хронология[[#This Row],[Объект работ]]</f>
        <v>ПНВ:  
Передвижка  УПА</v>
      </c>
      <c r="AW27" s="522">
        <f>SUMIF($AU$2:AU27, Хронология[[#This Row],[Ключ]], $AH$2:AH27)</f>
        <v>1.1041666666666667</v>
      </c>
      <c r="AX27" s="516" t="str">
        <f>Хронология[[#This Row],[Вид работ]] &amp; " " &amp; Хронология[[#This Row],[Объект работ]]</f>
        <v>Передвижка УПА</v>
      </c>
      <c r="AZ27" s="339"/>
      <c r="BB27" s="339"/>
      <c r="BC27" s="339"/>
      <c r="BH27" s="247"/>
      <c r="BI27" s="247"/>
      <c r="BJ27" s="247"/>
      <c r="BK27" s="247"/>
      <c r="BL27" s="247"/>
      <c r="BM27" s="247"/>
      <c r="BN27" s="247"/>
      <c r="BO27" s="247"/>
      <c r="BP27" s="247"/>
      <c r="BQ27" s="247"/>
    </row>
    <row r="28" spans="1:69" ht="50.5" customHeight="1">
      <c r="A28" s="540" t="s">
        <v>50</v>
      </c>
      <c r="B28" s="541" t="s">
        <v>51</v>
      </c>
      <c r="C28" s="541" t="s">
        <v>52</v>
      </c>
      <c r="D28" s="542">
        <v>1</v>
      </c>
      <c r="E28" s="542">
        <v>431</v>
      </c>
      <c r="F28" s="515" t="s">
        <v>66</v>
      </c>
      <c r="G28" s="517"/>
      <c r="H28" s="516" t="s">
        <v>67</v>
      </c>
      <c r="I28" s="518"/>
      <c r="J28" s="517"/>
      <c r="K28" s="514"/>
      <c r="L28" s="516" t="s">
        <v>57</v>
      </c>
      <c r="M28" s="516" t="s">
        <v>58</v>
      </c>
      <c r="N28" s="516"/>
      <c r="O28" s="516" t="s">
        <v>59</v>
      </c>
      <c r="P28" s="516" t="s">
        <v>60</v>
      </c>
      <c r="Q28" s="516" t="s">
        <v>61</v>
      </c>
      <c r="R28" s="516" t="s">
        <v>62</v>
      </c>
      <c r="S28" s="516"/>
      <c r="T28" s="514" t="s">
        <v>130</v>
      </c>
      <c r="U28" s="516">
        <v>7</v>
      </c>
      <c r="V28" s="516"/>
      <c r="W28" s="516" t="s">
        <v>64</v>
      </c>
      <c r="X28" s="516" t="s">
        <v>65</v>
      </c>
      <c r="Y28" s="516"/>
      <c r="Z28" s="516"/>
      <c r="AA28" s="516"/>
      <c r="AB28" s="516"/>
      <c r="AC28" s="516"/>
      <c r="AD28" s="516"/>
      <c r="AE28" s="514">
        <f>IFERROR(IF(Хронология[[#This Row],[Забой, м]]-V27&lt;0, 0, Хронология[[#This Row],[Забой, м]]-V27), 0)</f>
        <v>0</v>
      </c>
      <c r="AF28" s="521">
        <f t="shared" si="0"/>
        <v>46150</v>
      </c>
      <c r="AG28" s="521">
        <f>Хронология[[#This Row],[Начало]]+Хронология[[#This Row],[Сутки]]</f>
        <v>46150.291666666664</v>
      </c>
      <c r="AH28" s="522">
        <f>Хронология[[#This Row],[Часы]]/24</f>
        <v>0.29166666666666669</v>
      </c>
      <c r="AI28" s="522">
        <f>IFERROR(Хронология[[#This Row],[Сутки]]+AI27, Хронология[[#This Row],[Сутки]])</f>
        <v>5.4583333333333348</v>
      </c>
      <c r="AJ28"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ПНВ</v>
      </c>
      <c r="AK28"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v>
      </c>
      <c r="AL28"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7</v>
      </c>
      <c r="AM28" s="527">
        <f>IF(Хронология[[#This Row],[Результат]]="НПВ", Хронология[[#This Row],[Часы]], 0)</f>
        <v>0</v>
      </c>
      <c r="AN28" s="518">
        <f>SUMIFS(Хронология[НПВ], Хронология[Скважина], Хронология[[#This Row],[Скважина]], Хронология[Начало], "&lt;=" &amp; Хронология[[#This Row],[Начало]])</f>
        <v>0</v>
      </c>
      <c r="AO28" s="518">
        <f>SUMIFS(Хронология[ПНВ], Хронология[Скважина], Хронология[[#This Row],[Скважина]], Хронология[Начало], "&lt;=" &amp; Хронология[[#This Row],[Начало]])</f>
        <v>17.03</v>
      </c>
      <c r="AP28" s="523">
        <f>INT(ROUND(Хронология[[#This Row],[Начало]], 3))</f>
        <v>46150</v>
      </c>
      <c r="AQ28" s="524">
        <f>Хронология[[#This Row],[Начало]]-INT(Хронология[[#This Row],[Начало]])</f>
        <v>0</v>
      </c>
      <c r="AR28" s="523">
        <f>INT(ROUND(Хронология[[#This Row],[Окончание]], 3))</f>
        <v>46150</v>
      </c>
      <c r="AS28" s="524">
        <f>Хронология[[#This Row],[Окончание]]-INT(Хронология[[#This Row],[Окончание]])</f>
        <v>0.29166666666424135</v>
      </c>
      <c r="AT28" s="524" t="str">
        <f>Хронология[[#This Row],[Мастер]] &amp; CHAR(10) &amp; Хронология[[#This Row],[Помощник мастера]] &amp; CHAR(10) &amp; Хронология[[#This Row],[Бурильщик]]</f>
        <v>Жабин П.П.
Керимов Н.К.</v>
      </c>
      <c r="AU28"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431 ОК– ДПМ Передвижка УПА </v>
      </c>
      <c r="AV28" s="518" t="str">
        <f>Хронология[[#This Row],[Результат]]&amp;":  "&amp;Хронология[[#This Row],[Событие]]&amp; CHAR(10) &amp;Хронология[[#This Row],[Вид работ]]&amp;"  "&amp;Хронология[[#This Row],[Объект работ]]</f>
        <v>ПНВ:  
Передвижка  УПА</v>
      </c>
      <c r="AW28" s="522">
        <f>SUMIF($AU$2:AU28, Хронология[[#This Row],[Ключ]], $AH$2:AH28)</f>
        <v>1.3958333333333335</v>
      </c>
      <c r="AX28" s="516" t="str">
        <f>Хронология[[#This Row],[Вид работ]] &amp; " " &amp; Хронология[[#This Row],[Объект работ]]</f>
        <v>Передвижка УПА</v>
      </c>
      <c r="AZ28" s="339"/>
      <c r="BB28" s="339"/>
      <c r="BC28" s="339"/>
      <c r="BH28" s="247"/>
      <c r="BI28" s="247"/>
      <c r="BJ28" s="247"/>
      <c r="BK28" s="247"/>
      <c r="BL28" s="247"/>
      <c r="BM28" s="247"/>
      <c r="BN28" s="247"/>
      <c r="BO28" s="247"/>
      <c r="BP28" s="247"/>
      <c r="BQ28" s="247"/>
    </row>
    <row r="29" spans="1:69" ht="50.5" customHeight="1">
      <c r="A29" s="540" t="s">
        <v>50</v>
      </c>
      <c r="B29" s="541" t="s">
        <v>51</v>
      </c>
      <c r="C29" s="541" t="s">
        <v>52</v>
      </c>
      <c r="D29" s="542">
        <v>1</v>
      </c>
      <c r="E29" s="542">
        <v>431</v>
      </c>
      <c r="F29" s="515" t="s">
        <v>54</v>
      </c>
      <c r="G29" s="517"/>
      <c r="H29" s="516" t="s">
        <v>55</v>
      </c>
      <c r="I29" s="518"/>
      <c r="J29" s="517"/>
      <c r="K29" s="514"/>
      <c r="L29" s="516" t="s">
        <v>57</v>
      </c>
      <c r="M29" s="516" t="s">
        <v>58</v>
      </c>
      <c r="N29" s="516"/>
      <c r="O29" s="516" t="s">
        <v>59</v>
      </c>
      <c r="P29" s="516" t="s">
        <v>60</v>
      </c>
      <c r="Q29" s="516" t="s">
        <v>61</v>
      </c>
      <c r="R29" s="516" t="s">
        <v>62</v>
      </c>
      <c r="S29" s="516"/>
      <c r="T29" s="514" t="s">
        <v>131</v>
      </c>
      <c r="U29" s="516">
        <v>5</v>
      </c>
      <c r="V29" s="516"/>
      <c r="W29" s="516" t="s">
        <v>64</v>
      </c>
      <c r="X29" s="516" t="s">
        <v>65</v>
      </c>
      <c r="Y29" s="516"/>
      <c r="Z29" s="516"/>
      <c r="AA29" s="516"/>
      <c r="AB29" s="516"/>
      <c r="AC29" s="516"/>
      <c r="AD29" s="516"/>
      <c r="AE29" s="514">
        <f>IFERROR(IF(Хронология[[#This Row],[Забой, м]]-V28&lt;0, 0, Хронология[[#This Row],[Забой, м]]-V28), 0)</f>
        <v>0</v>
      </c>
      <c r="AF29" s="521">
        <f t="shared" si="0"/>
        <v>46150.291666666664</v>
      </c>
      <c r="AG29" s="521">
        <f>Хронология[[#This Row],[Начало]]+Хронология[[#This Row],[Сутки]]</f>
        <v>46150.5</v>
      </c>
      <c r="AH29" s="522">
        <f>Хронология[[#This Row],[Часы]]/24</f>
        <v>0.20833333333333334</v>
      </c>
      <c r="AI29" s="522">
        <f>IFERROR(Хронология[[#This Row],[Сутки]]+AI28, Хронология[[#This Row],[Сутки]])</f>
        <v>5.6666666666666679</v>
      </c>
      <c r="AJ29"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ПНВ</v>
      </c>
      <c r="AK29"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v>
      </c>
      <c r="AL29"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5</v>
      </c>
      <c r="AM29" s="527">
        <f>IF(Хронология[[#This Row],[Результат]]="НПВ", Хронология[[#This Row],[Часы]], 0)</f>
        <v>0</v>
      </c>
      <c r="AN29" s="518">
        <f>SUMIFS(Хронология[НПВ], Хронология[Скважина], Хронология[[#This Row],[Скважина]], Хронология[Начало], "&lt;=" &amp; Хронология[[#This Row],[Начало]])</f>
        <v>0</v>
      </c>
      <c r="AO29" s="518">
        <f>SUMIFS(Хронология[ПНВ], Хронология[Скважина], Хронология[[#This Row],[Скважина]], Хронология[Начало], "&lt;=" &amp; Хронология[[#This Row],[Начало]])</f>
        <v>22.03</v>
      </c>
      <c r="AP29" s="523">
        <f>INT(ROUND(Хронология[[#This Row],[Начало]], 3))</f>
        <v>46150</v>
      </c>
      <c r="AQ29" s="524">
        <f>Хронология[[#This Row],[Начало]]-INT(Хронология[[#This Row],[Начало]])</f>
        <v>0.29166666666424135</v>
      </c>
      <c r="AR29" s="523">
        <f>INT(ROUND(Хронология[[#This Row],[Окончание]], 3))</f>
        <v>46150</v>
      </c>
      <c r="AS29" s="524">
        <f>Хронология[[#This Row],[Окончание]]-INT(Хронология[[#This Row],[Окончание]])</f>
        <v>0.5</v>
      </c>
      <c r="AT29" s="524" t="str">
        <f>Хронология[[#This Row],[Мастер]] &amp; CHAR(10) &amp; Хронология[[#This Row],[Помощник мастера]] &amp; CHAR(10) &amp; Хронология[[#This Row],[Бурильщик]]</f>
        <v>Вдовин И.О.
Жангазиев С.К.</v>
      </c>
      <c r="AU29"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431 ОК– ДПМ Передвижка УПА </v>
      </c>
      <c r="AV29" s="518" t="str">
        <f>Хронология[[#This Row],[Результат]]&amp;":  "&amp;Хронология[[#This Row],[Событие]]&amp; CHAR(10) &amp;Хронология[[#This Row],[Вид работ]]&amp;"  "&amp;Хронология[[#This Row],[Объект работ]]</f>
        <v>ПНВ:  
Передвижка  УПА</v>
      </c>
      <c r="AW29" s="522">
        <f>SUMIF($AU$2:AU29, Хронология[[#This Row],[Ключ]], $AH$2:AH29)</f>
        <v>1.6041666666666667</v>
      </c>
      <c r="AX29" s="516" t="str">
        <f>Хронология[[#This Row],[Вид работ]] &amp; " " &amp; Хронология[[#This Row],[Объект работ]]</f>
        <v>Передвижка УПА</v>
      </c>
      <c r="AZ29" s="339"/>
      <c r="BB29" s="339"/>
      <c r="BC29" s="339"/>
      <c r="BH29" s="247"/>
      <c r="BI29" s="247"/>
      <c r="BJ29" s="247"/>
      <c r="BK29" s="247"/>
      <c r="BL29" s="247"/>
      <c r="BM29" s="247"/>
      <c r="BN29" s="247"/>
      <c r="BO29" s="247"/>
      <c r="BP29" s="247"/>
      <c r="BQ29" s="247"/>
    </row>
    <row r="30" spans="1:69" ht="50.5" customHeight="1">
      <c r="A30" s="540" t="s">
        <v>50</v>
      </c>
      <c r="B30" s="541" t="s">
        <v>51</v>
      </c>
      <c r="C30" s="541" t="s">
        <v>52</v>
      </c>
      <c r="D30" s="542">
        <v>1</v>
      </c>
      <c r="E30" s="542">
        <v>431</v>
      </c>
      <c r="F30" s="515" t="s">
        <v>54</v>
      </c>
      <c r="G30" s="517"/>
      <c r="H30" s="516" t="s">
        <v>55</v>
      </c>
      <c r="I30" s="518"/>
      <c r="J30" s="517"/>
      <c r="K30" s="514"/>
      <c r="L30" s="516" t="s">
        <v>57</v>
      </c>
      <c r="M30" s="516" t="s">
        <v>58</v>
      </c>
      <c r="N30" s="516"/>
      <c r="O30" s="516" t="s">
        <v>59</v>
      </c>
      <c r="P30" s="516" t="s">
        <v>60</v>
      </c>
      <c r="Q30" s="516" t="s">
        <v>61</v>
      </c>
      <c r="R30" s="516" t="s">
        <v>62</v>
      </c>
      <c r="S30" s="516"/>
      <c r="T30" s="514" t="s">
        <v>132</v>
      </c>
      <c r="U30" s="516">
        <v>4</v>
      </c>
      <c r="V30" s="516"/>
      <c r="W30" s="516" t="s">
        <v>64</v>
      </c>
      <c r="X30" s="516" t="s">
        <v>65</v>
      </c>
      <c r="Y30" s="516"/>
      <c r="Z30" s="516"/>
      <c r="AA30" s="516"/>
      <c r="AB30" s="516"/>
      <c r="AC30" s="516"/>
      <c r="AD30" s="516"/>
      <c r="AE30" s="514">
        <f>IFERROR(IF(Хронология[[#This Row],[Забой, м]]-V29&lt;0, 0, Хронология[[#This Row],[Забой, м]]-V29), 0)</f>
        <v>0</v>
      </c>
      <c r="AF30" s="521">
        <f t="shared" si="0"/>
        <v>46150.5</v>
      </c>
      <c r="AG30" s="521">
        <f>Хронология[[#This Row],[Начало]]+Хронология[[#This Row],[Сутки]]</f>
        <v>46150.666666666664</v>
      </c>
      <c r="AH30" s="522">
        <f>Хронология[[#This Row],[Часы]]/24</f>
        <v>0.16666666666666666</v>
      </c>
      <c r="AI30" s="522">
        <f>IFERROR(Хронология[[#This Row],[Сутки]]+AI29, Хронология[[#This Row],[Сутки]])</f>
        <v>5.8333333333333348</v>
      </c>
      <c r="AJ30"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ПНВ</v>
      </c>
      <c r="AK30"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v>
      </c>
      <c r="AL30"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4</v>
      </c>
      <c r="AM30" s="527">
        <f>IF(Хронология[[#This Row],[Результат]]="НПВ", Хронология[[#This Row],[Часы]], 0)</f>
        <v>0</v>
      </c>
      <c r="AN30" s="518">
        <f>SUMIFS(Хронология[НПВ], Хронология[Скважина], Хронология[[#This Row],[Скважина]], Хронология[Начало], "&lt;=" &amp; Хронология[[#This Row],[Начало]])</f>
        <v>0</v>
      </c>
      <c r="AO30" s="518">
        <f>SUMIFS(Хронология[ПНВ], Хронология[Скважина], Хронология[[#This Row],[Скважина]], Хронология[Начало], "&lt;=" &amp; Хронология[[#This Row],[Начало]])</f>
        <v>26.03</v>
      </c>
      <c r="AP30" s="523">
        <f>INT(ROUND(Хронология[[#This Row],[Начало]], 3))</f>
        <v>46150</v>
      </c>
      <c r="AQ30" s="524">
        <f>Хронология[[#This Row],[Начало]]-INT(Хронология[[#This Row],[Начало]])</f>
        <v>0.5</v>
      </c>
      <c r="AR30" s="523">
        <f>INT(ROUND(Хронология[[#This Row],[Окончание]], 3))</f>
        <v>46150</v>
      </c>
      <c r="AS30" s="524">
        <f>Хронология[[#This Row],[Окончание]]-INT(Хронология[[#This Row],[Окончание]])</f>
        <v>0.66666666666424135</v>
      </c>
      <c r="AT30" s="524" t="str">
        <f>Хронология[[#This Row],[Мастер]] &amp; CHAR(10) &amp; Хронология[[#This Row],[Помощник мастера]] &amp; CHAR(10) &amp; Хронология[[#This Row],[Бурильщик]]</f>
        <v>Вдовин И.О.
Жангазиев С.К.</v>
      </c>
      <c r="AU30"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431 ОК– ДПМ Передвижка УПА </v>
      </c>
      <c r="AV30" s="518" t="str">
        <f>Хронология[[#This Row],[Результат]]&amp;":  "&amp;Хронология[[#This Row],[Событие]]&amp; CHAR(10) &amp;Хронология[[#This Row],[Вид работ]]&amp;"  "&amp;Хронология[[#This Row],[Объект работ]]</f>
        <v>ПНВ:  
Передвижка  УПА</v>
      </c>
      <c r="AW30" s="522">
        <f>SUMIF($AU$2:AU30, Хронология[[#This Row],[Ключ]], $AH$2:AH30)</f>
        <v>1.7708333333333335</v>
      </c>
      <c r="AX30" s="516" t="str">
        <f>Хронология[[#This Row],[Вид работ]] &amp; " " &amp; Хронология[[#This Row],[Объект работ]]</f>
        <v>Передвижка УПА</v>
      </c>
      <c r="AZ30" s="339"/>
      <c r="BB30" s="339"/>
      <c r="BC30" s="339"/>
      <c r="BH30" s="247"/>
      <c r="BI30" s="247"/>
      <c r="BJ30" s="247"/>
      <c r="BK30" s="247"/>
      <c r="BL30" s="247"/>
      <c r="BM30" s="247"/>
      <c r="BN30" s="247"/>
      <c r="BO30" s="247"/>
      <c r="BP30" s="247"/>
      <c r="BQ30" s="247"/>
    </row>
    <row r="31" spans="1:69" ht="50.5" customHeight="1">
      <c r="A31" s="540" t="s">
        <v>50</v>
      </c>
      <c r="B31" s="541" t="s">
        <v>51</v>
      </c>
      <c r="C31" s="541" t="s">
        <v>52</v>
      </c>
      <c r="D31" s="542">
        <v>1</v>
      </c>
      <c r="E31" s="542">
        <v>431</v>
      </c>
      <c r="F31" s="515" t="s">
        <v>54</v>
      </c>
      <c r="G31" s="517"/>
      <c r="H31" s="516" t="s">
        <v>55</v>
      </c>
      <c r="I31" s="518"/>
      <c r="J31" s="517"/>
      <c r="K31" s="514"/>
      <c r="L31" s="516" t="s">
        <v>57</v>
      </c>
      <c r="M31" s="516" t="s">
        <v>58</v>
      </c>
      <c r="N31" s="516"/>
      <c r="O31" s="516" t="s">
        <v>59</v>
      </c>
      <c r="P31" s="516" t="s">
        <v>60</v>
      </c>
      <c r="Q31" s="516" t="s">
        <v>61</v>
      </c>
      <c r="R31" s="516" t="s">
        <v>62</v>
      </c>
      <c r="S31" s="516"/>
      <c r="T31" s="514" t="s">
        <v>133</v>
      </c>
      <c r="U31" s="516">
        <v>4</v>
      </c>
      <c r="V31" s="516"/>
      <c r="W31" s="516" t="s">
        <v>64</v>
      </c>
      <c r="X31" s="516" t="s">
        <v>65</v>
      </c>
      <c r="Y31" s="516"/>
      <c r="Z31" s="516"/>
      <c r="AA31" s="516"/>
      <c r="AB31" s="516"/>
      <c r="AC31" s="516"/>
      <c r="AD31" s="516"/>
      <c r="AE31" s="514">
        <f>IFERROR(IF(Хронология[[#This Row],[Забой, м]]-V30&lt;0, 0, Хронология[[#This Row],[Забой, м]]-V30), 0)</f>
        <v>0</v>
      </c>
      <c r="AF31" s="521">
        <f t="shared" si="0"/>
        <v>46150.666666666664</v>
      </c>
      <c r="AG31" s="521">
        <f>Хронология[[#This Row],[Начало]]+Хронология[[#This Row],[Сутки]]</f>
        <v>46150.833333333328</v>
      </c>
      <c r="AH31" s="522">
        <f>Хронология[[#This Row],[Часы]]/24</f>
        <v>0.16666666666666666</v>
      </c>
      <c r="AI31" s="522">
        <f>IFERROR(Хронология[[#This Row],[Сутки]]+AI30, Хронология[[#This Row],[Сутки]])</f>
        <v>6.0000000000000018</v>
      </c>
      <c r="AJ31"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ПНВ</v>
      </c>
      <c r="AK31"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v>
      </c>
      <c r="AL31"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4</v>
      </c>
      <c r="AM31" s="527">
        <f>IF(Хронология[[#This Row],[Результат]]="НПВ", Хронология[[#This Row],[Часы]], 0)</f>
        <v>0</v>
      </c>
      <c r="AN31" s="518">
        <f>SUMIFS(Хронология[НПВ], Хронология[Скважина], Хронология[[#This Row],[Скважина]], Хронология[Начало], "&lt;=" &amp; Хронология[[#This Row],[Начало]])</f>
        <v>0</v>
      </c>
      <c r="AO31" s="518">
        <f>SUMIFS(Хронология[ПНВ], Хронология[Скважина], Хронология[[#This Row],[Скважина]], Хронология[Начало], "&lt;=" &amp; Хронология[[#This Row],[Начало]])</f>
        <v>30.03</v>
      </c>
      <c r="AP31" s="523">
        <f>INT(ROUND(Хронология[[#This Row],[Начало]], 3))</f>
        <v>46150</v>
      </c>
      <c r="AQ31" s="524">
        <f>Хронология[[#This Row],[Начало]]-INT(Хронология[[#This Row],[Начало]])</f>
        <v>0.66666666666424135</v>
      </c>
      <c r="AR31" s="523">
        <f>INT(ROUND(Хронология[[#This Row],[Окончание]], 3))</f>
        <v>46150</v>
      </c>
      <c r="AS31" s="524">
        <f>Хронология[[#This Row],[Окончание]]-INT(Хронология[[#This Row],[Окончание]])</f>
        <v>0.83333333332848269</v>
      </c>
      <c r="AT31" s="524" t="str">
        <f>Хронология[[#This Row],[Мастер]] &amp; CHAR(10) &amp; Хронология[[#This Row],[Помощник мастера]] &amp; CHAR(10) &amp; Хронология[[#This Row],[Бурильщик]]</f>
        <v>Вдовин И.О.
Жангазиев С.К.</v>
      </c>
      <c r="AU31"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431 ОК– ДПМ Передвижка УПА </v>
      </c>
      <c r="AV31" s="518" t="str">
        <f>Хронология[[#This Row],[Результат]]&amp;":  "&amp;Хронология[[#This Row],[Событие]]&amp; CHAR(10) &amp;Хронология[[#This Row],[Вид работ]]&amp;"  "&amp;Хронология[[#This Row],[Объект работ]]</f>
        <v>ПНВ:  
Передвижка  УПА</v>
      </c>
      <c r="AW31" s="522">
        <f>SUMIF($AU$2:AU31, Хронология[[#This Row],[Ключ]], $AH$2:AH31)</f>
        <v>1.9375000000000002</v>
      </c>
      <c r="AX31" s="516" t="str">
        <f>Хронология[[#This Row],[Вид работ]] &amp; " " &amp; Хронология[[#This Row],[Объект работ]]</f>
        <v>Передвижка УПА</v>
      </c>
      <c r="AZ31" s="339"/>
      <c r="BB31" s="339"/>
      <c r="BC31" s="339"/>
      <c r="BH31" s="247"/>
      <c r="BI31" s="247"/>
      <c r="BJ31" s="247"/>
      <c r="BK31" s="247"/>
      <c r="BL31" s="247"/>
      <c r="BM31" s="247"/>
      <c r="BN31" s="247"/>
      <c r="BO31" s="247"/>
      <c r="BP31" s="247"/>
      <c r="BQ31" s="247"/>
    </row>
    <row r="32" spans="1:69" ht="50.5" customHeight="1">
      <c r="A32" s="540" t="s">
        <v>50</v>
      </c>
      <c r="B32" s="541" t="s">
        <v>51</v>
      </c>
      <c r="C32" s="541" t="s">
        <v>52</v>
      </c>
      <c r="D32" s="542">
        <v>1</v>
      </c>
      <c r="E32" s="542">
        <v>431</v>
      </c>
      <c r="F32" s="515" t="s">
        <v>54</v>
      </c>
      <c r="G32" s="517"/>
      <c r="H32" s="516" t="s">
        <v>55</v>
      </c>
      <c r="I32" s="518"/>
      <c r="J32" s="517"/>
      <c r="K32" s="514"/>
      <c r="L32" s="516" t="s">
        <v>57</v>
      </c>
      <c r="M32" s="516" t="s">
        <v>58</v>
      </c>
      <c r="N32" s="516"/>
      <c r="O32" s="516" t="s">
        <v>59</v>
      </c>
      <c r="P32" s="516" t="s">
        <v>60</v>
      </c>
      <c r="Q32" s="516" t="s">
        <v>61</v>
      </c>
      <c r="R32" s="516" t="s">
        <v>62</v>
      </c>
      <c r="S32" s="516"/>
      <c r="T32" s="514" t="s">
        <v>134</v>
      </c>
      <c r="U32" s="516">
        <v>4</v>
      </c>
      <c r="V32" s="516"/>
      <c r="W32" s="516" t="s">
        <v>64</v>
      </c>
      <c r="X32" s="516" t="s">
        <v>65</v>
      </c>
      <c r="Y32" s="516"/>
      <c r="Z32" s="516"/>
      <c r="AA32" s="516"/>
      <c r="AB32" s="516"/>
      <c r="AC32" s="516"/>
      <c r="AD32" s="516"/>
      <c r="AE32" s="514">
        <f>IFERROR(IF(Хронология[[#This Row],[Забой, м]]-V31&lt;0, 0, Хронология[[#This Row],[Забой, м]]-V31), 0)</f>
        <v>0</v>
      </c>
      <c r="AF32" s="521">
        <f t="shared" si="0"/>
        <v>46150.833333333328</v>
      </c>
      <c r="AG32" s="521">
        <f>Хронология[[#This Row],[Начало]]+Хронология[[#This Row],[Сутки]]</f>
        <v>46150.999999999993</v>
      </c>
      <c r="AH32" s="522">
        <f>Хронология[[#This Row],[Часы]]/24</f>
        <v>0.16666666666666666</v>
      </c>
      <c r="AI32" s="522">
        <f>IFERROR(Хронология[[#This Row],[Сутки]]+AI31, Хронология[[#This Row],[Сутки]])</f>
        <v>6.1666666666666687</v>
      </c>
      <c r="AJ32"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ПНВ</v>
      </c>
      <c r="AK32"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v>
      </c>
      <c r="AL32"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4</v>
      </c>
      <c r="AM32" s="527">
        <f>IF(Хронология[[#This Row],[Результат]]="НПВ", Хронология[[#This Row],[Часы]], 0)</f>
        <v>0</v>
      </c>
      <c r="AN32" s="518">
        <f>SUMIFS(Хронология[НПВ], Хронология[Скважина], Хронология[[#This Row],[Скважина]], Хронология[Начало], "&lt;=" &amp; Хронология[[#This Row],[Начало]])</f>
        <v>0</v>
      </c>
      <c r="AO32" s="518">
        <f>SUMIFS(Хронология[ПНВ], Хронология[Скважина], Хронология[[#This Row],[Скважина]], Хронология[Начало], "&lt;=" &amp; Хронология[[#This Row],[Начало]])</f>
        <v>34.03</v>
      </c>
      <c r="AP32" s="523">
        <f>INT(ROUND(Хронология[[#This Row],[Начало]], 3))</f>
        <v>46150</v>
      </c>
      <c r="AQ32" s="524">
        <f>Хронология[[#This Row],[Начало]]-INT(Хронология[[#This Row],[Начало]])</f>
        <v>0.83333333332848269</v>
      </c>
      <c r="AR32" s="523">
        <f>INT(ROUND(Хронология[[#This Row],[Окончание]], 3))</f>
        <v>46151</v>
      </c>
      <c r="AS32" s="524">
        <f>Хронология[[#This Row],[Окончание]]-INT(Хронология[[#This Row],[Окончание]])</f>
        <v>0</v>
      </c>
      <c r="AT32" s="524" t="str">
        <f>Хронология[[#This Row],[Мастер]] &amp; CHAR(10) &amp; Хронология[[#This Row],[Помощник мастера]] &amp; CHAR(10) &amp; Хронология[[#This Row],[Бурильщик]]</f>
        <v>Вдовин И.О.
Жангазиев С.К.</v>
      </c>
      <c r="AU32"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431 ОК– ДПМ Передвижка УПА </v>
      </c>
      <c r="AV32" s="518" t="str">
        <f>Хронология[[#This Row],[Результат]]&amp;":  "&amp;Хронология[[#This Row],[Событие]]&amp; CHAR(10) &amp;Хронология[[#This Row],[Вид работ]]&amp;"  "&amp;Хронология[[#This Row],[Объект работ]]</f>
        <v>ПНВ:  
Передвижка  УПА</v>
      </c>
      <c r="AW32" s="522">
        <f>SUMIF($AU$2:AU32, Хронология[[#This Row],[Ключ]], $AH$2:AH32)</f>
        <v>2.104166666666667</v>
      </c>
      <c r="AX32" s="516" t="str">
        <f>Хронология[[#This Row],[Вид работ]] &amp; " " &amp; Хронология[[#This Row],[Объект работ]]</f>
        <v>Передвижка УПА</v>
      </c>
      <c r="AZ32" s="339"/>
      <c r="BB32" s="339"/>
      <c r="BC32" s="339"/>
      <c r="BH32" s="247"/>
      <c r="BI32" s="247"/>
      <c r="BJ32" s="247"/>
      <c r="BK32" s="247"/>
      <c r="BL32" s="247"/>
      <c r="BM32" s="247"/>
      <c r="BN32" s="247"/>
      <c r="BO32" s="247"/>
      <c r="BP32" s="247"/>
      <c r="BQ32" s="247"/>
    </row>
    <row r="33" spans="1:69" ht="50.5" customHeight="1">
      <c r="A33" s="540" t="s">
        <v>50</v>
      </c>
      <c r="B33" s="541" t="s">
        <v>51</v>
      </c>
      <c r="C33" s="541" t="s">
        <v>52</v>
      </c>
      <c r="D33" s="542">
        <v>1</v>
      </c>
      <c r="E33" s="542">
        <v>431</v>
      </c>
      <c r="F33" s="515" t="s">
        <v>66</v>
      </c>
      <c r="G33" s="517"/>
      <c r="H33" s="516" t="s">
        <v>67</v>
      </c>
      <c r="I33" s="518"/>
      <c r="J33" s="517"/>
      <c r="K33" s="514"/>
      <c r="L33" s="516" t="s">
        <v>57</v>
      </c>
      <c r="M33" s="516" t="s">
        <v>58</v>
      </c>
      <c r="N33" s="516"/>
      <c r="O33" s="516" t="s">
        <v>59</v>
      </c>
      <c r="P33" s="516" t="s">
        <v>60</v>
      </c>
      <c r="Q33" s="516" t="s">
        <v>61</v>
      </c>
      <c r="R33" s="516" t="s">
        <v>62</v>
      </c>
      <c r="S33" s="516"/>
      <c r="T33" s="514" t="s">
        <v>135</v>
      </c>
      <c r="U33" s="516">
        <v>7</v>
      </c>
      <c r="V33" s="516"/>
      <c r="W33" s="516" t="s">
        <v>64</v>
      </c>
      <c r="X33" s="516" t="s">
        <v>65</v>
      </c>
      <c r="Y33" s="516"/>
      <c r="Z33" s="516"/>
      <c r="AA33" s="516"/>
      <c r="AB33" s="516"/>
      <c r="AC33" s="516"/>
      <c r="AD33" s="516"/>
      <c r="AE33" s="514">
        <f>IFERROR(IF(Хронология[[#This Row],[Забой, м]]-V32&lt;0, 0, Хронология[[#This Row],[Забой, м]]-V32), 0)</f>
        <v>0</v>
      </c>
      <c r="AF33" s="521">
        <f t="shared" si="0"/>
        <v>46150.999999999993</v>
      </c>
      <c r="AG33" s="521">
        <f>Хронология[[#This Row],[Начало]]+Хронология[[#This Row],[Сутки]]</f>
        <v>46151.291666666657</v>
      </c>
      <c r="AH33" s="522">
        <f>Хронология[[#This Row],[Часы]]/24</f>
        <v>0.29166666666666669</v>
      </c>
      <c r="AI33" s="522">
        <f>IFERROR(Хронология[[#This Row],[Сутки]]+AI32, Хронология[[#This Row],[Сутки]])</f>
        <v>6.4583333333333357</v>
      </c>
      <c r="AJ33"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ПНВ</v>
      </c>
      <c r="AK33"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v>
      </c>
      <c r="AL33"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7</v>
      </c>
      <c r="AM33" s="527">
        <f>IF(Хронология[[#This Row],[Результат]]="НПВ", Хронология[[#This Row],[Часы]], 0)</f>
        <v>0</v>
      </c>
      <c r="AN33" s="518">
        <f>SUMIFS(Хронология[НПВ], Хронология[Скважина], Хронология[[#This Row],[Скважина]], Хронология[Начало], "&lt;=" &amp; Хронология[[#This Row],[Начало]])</f>
        <v>0</v>
      </c>
      <c r="AO33" s="518">
        <f>SUMIFS(Хронология[ПНВ], Хронология[Скважина], Хронология[[#This Row],[Скважина]], Хронология[Начало], "&lt;=" &amp; Хронология[[#This Row],[Начало]])</f>
        <v>41.03</v>
      </c>
      <c r="AP33" s="523">
        <f>INT(ROUND(Хронология[[#This Row],[Начало]], 3))</f>
        <v>46151</v>
      </c>
      <c r="AQ33" s="524">
        <f>Хронология[[#This Row],[Начало]]-INT(Хронология[[#This Row],[Начало]])</f>
        <v>0</v>
      </c>
      <c r="AR33" s="523">
        <f>INT(ROUND(Хронология[[#This Row],[Окончание]], 3))</f>
        <v>46151</v>
      </c>
      <c r="AS33" s="524">
        <f>Хронология[[#This Row],[Окончание]]-INT(Хронология[[#This Row],[Окончание]])</f>
        <v>0.29166666665696539</v>
      </c>
      <c r="AT33" s="524" t="str">
        <f>Хронология[[#This Row],[Мастер]] &amp; CHAR(10) &amp; Хронология[[#This Row],[Помощник мастера]] &amp; CHAR(10) &amp; Хронология[[#This Row],[Бурильщик]]</f>
        <v>Жабин П.П.
Керимов Н.К.</v>
      </c>
      <c r="AU33"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431 ОК– ДПМ Передвижка УПА </v>
      </c>
      <c r="AV33" s="518" t="str">
        <f>Хронология[[#This Row],[Результат]]&amp;":  "&amp;Хронология[[#This Row],[Событие]]&amp; CHAR(10) &amp;Хронология[[#This Row],[Вид работ]]&amp;"  "&amp;Хронология[[#This Row],[Объект работ]]</f>
        <v>ПНВ:  
Передвижка  УПА</v>
      </c>
      <c r="AW33" s="522">
        <f>SUMIF($AU$2:AU33, Хронология[[#This Row],[Ключ]], $AH$2:AH33)</f>
        <v>2.3958333333333335</v>
      </c>
      <c r="AX33" s="516" t="str">
        <f>Хронология[[#This Row],[Вид работ]] &amp; " " &amp; Хронология[[#This Row],[Объект работ]]</f>
        <v>Передвижка УПА</v>
      </c>
      <c r="AZ33" s="339"/>
      <c r="BB33" s="339"/>
      <c r="BC33" s="339"/>
      <c r="BH33" s="247"/>
      <c r="BI33" s="247"/>
      <c r="BJ33" s="247"/>
      <c r="BK33" s="247"/>
      <c r="BL33" s="247"/>
      <c r="BM33" s="247"/>
      <c r="BN33" s="247"/>
      <c r="BO33" s="247"/>
      <c r="BP33" s="247"/>
      <c r="BQ33" s="247"/>
    </row>
    <row r="34" spans="1:69" ht="69" customHeight="1">
      <c r="A34" s="540" t="s">
        <v>50</v>
      </c>
      <c r="B34" s="541" t="s">
        <v>51</v>
      </c>
      <c r="C34" s="541" t="s">
        <v>52</v>
      </c>
      <c r="D34" s="542">
        <v>1</v>
      </c>
      <c r="E34" s="542">
        <v>431</v>
      </c>
      <c r="F34" s="515" t="s">
        <v>54</v>
      </c>
      <c r="G34" s="517"/>
      <c r="H34" s="516" t="s">
        <v>55</v>
      </c>
      <c r="I34" s="518"/>
      <c r="J34" s="517"/>
      <c r="K34" s="514"/>
      <c r="L34" s="516" t="s">
        <v>59</v>
      </c>
      <c r="M34" s="516" t="s">
        <v>58</v>
      </c>
      <c r="N34" s="516"/>
      <c r="O34" s="516" t="s">
        <v>78</v>
      </c>
      <c r="P34" s="516" t="s">
        <v>136</v>
      </c>
      <c r="Q34" s="516" t="s">
        <v>137</v>
      </c>
      <c r="R34" s="516" t="s">
        <v>138</v>
      </c>
      <c r="S34" s="516"/>
      <c r="T34" s="526" t="s">
        <v>139</v>
      </c>
      <c r="U34" s="516">
        <v>5</v>
      </c>
      <c r="V34" s="516"/>
      <c r="W34" s="516"/>
      <c r="X34" s="516"/>
      <c r="Y34" s="516"/>
      <c r="Z34" s="516"/>
      <c r="AA34" s="516"/>
      <c r="AB34" s="516"/>
      <c r="AC34" s="516"/>
      <c r="AD34" s="516"/>
      <c r="AE34" s="514">
        <f>IFERROR(IF(Хронология[[#This Row],[Забой, м]]-V33&lt;0, 0, Хронология[[#This Row],[Забой, м]]-V33), 0)</f>
        <v>0</v>
      </c>
      <c r="AF34" s="521">
        <f t="shared" si="0"/>
        <v>46151.291666666657</v>
      </c>
      <c r="AG34" s="521">
        <f>Хронология[[#This Row],[Начало]]+Хронология[[#This Row],[Сутки]]</f>
        <v>46151.499999999993</v>
      </c>
      <c r="AH34" s="522">
        <f>Хронология[[#This Row],[Часы]]/24</f>
        <v>0.20833333333333334</v>
      </c>
      <c r="AI34" s="522">
        <f>IFERROR(Хронология[[#This Row],[Сутки]]+AI33, Хронология[[#This Row],[Сутки]])</f>
        <v>6.6666666666666687</v>
      </c>
      <c r="AJ34"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ПВ</v>
      </c>
      <c r="AK34"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5</v>
      </c>
      <c r="AL34"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v>
      </c>
      <c r="AM34" s="527">
        <f>IF(Хронология[[#This Row],[Результат]]="НПВ", Хронология[[#This Row],[Часы]], 0)</f>
        <v>0</v>
      </c>
      <c r="AN34" s="518">
        <f>SUMIFS(Хронология[НПВ], Хронология[Скважина], Хронология[[#This Row],[Скважина]], Хронология[Начало], "&lt;=" &amp; Хронология[[#This Row],[Начало]])</f>
        <v>0</v>
      </c>
      <c r="AO34" s="518">
        <f>SUMIFS(Хронология[ПНВ], Хронология[Скважина], Хронология[[#This Row],[Скважина]], Хронология[Начало], "&lt;=" &amp; Хронология[[#This Row],[Начало]])</f>
        <v>41.03</v>
      </c>
      <c r="AP34" s="523">
        <f>INT(ROUND(Хронология[[#This Row],[Начало]], 3))</f>
        <v>46151</v>
      </c>
      <c r="AQ34" s="524">
        <f>Хронология[[#This Row],[Начало]]-INT(Хронология[[#This Row],[Начало]])</f>
        <v>0.29166666665696539</v>
      </c>
      <c r="AR34" s="523">
        <f>INT(ROUND(Хронология[[#This Row],[Окончание]], 3))</f>
        <v>46151</v>
      </c>
      <c r="AS34" s="524">
        <f>Хронология[[#This Row],[Окончание]]-INT(Хронология[[#This Row],[Окончание]])</f>
        <v>0.49999999999272404</v>
      </c>
      <c r="AT34" s="524" t="str">
        <f>Хронология[[#This Row],[Мастер]] &amp; CHAR(10) &amp; Хронология[[#This Row],[Помощник мастера]] &amp; CHAR(10) &amp; Хронология[[#This Row],[Бурильщик]]</f>
        <v>Вдовин И.О.
Жангазиев С.К.</v>
      </c>
      <c r="AU34"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431 ОК– ПР Завоз Тех. вода </v>
      </c>
      <c r="AV34" s="518" t="str">
        <f>Хронология[[#This Row],[Результат]]&amp;":  "&amp;Хронология[[#This Row],[Событие]]&amp; CHAR(10) &amp;Хронология[[#This Row],[Вид работ]]&amp;"  "&amp;Хронология[[#This Row],[Объект работ]]</f>
        <v>ПВ:  
Завоз  Тех. вода</v>
      </c>
      <c r="AW34" s="522">
        <f>SUMIF($AU$2:AU34, Хронология[[#This Row],[Ключ]], $AH$2:AH34)</f>
        <v>0.20833333333333334</v>
      </c>
      <c r="AX34" s="516" t="str">
        <f>Хронология[[#This Row],[Вид работ]] &amp; " " &amp; Хронология[[#This Row],[Объект работ]]</f>
        <v>Завоз Тех. вода</v>
      </c>
      <c r="AZ34" s="339"/>
      <c r="BB34" s="339"/>
      <c r="BC34" s="339"/>
      <c r="BH34" s="247"/>
      <c r="BI34" s="247"/>
      <c r="BJ34" s="247"/>
      <c r="BK34" s="247"/>
      <c r="BL34" s="247"/>
      <c r="BM34" s="247"/>
      <c r="BN34" s="247"/>
      <c r="BO34" s="247"/>
      <c r="BP34" s="247"/>
      <c r="BQ34" s="247"/>
    </row>
    <row r="35" spans="1:69" ht="69" customHeight="1">
      <c r="A35" s="540" t="s">
        <v>50</v>
      </c>
      <c r="B35" s="541" t="s">
        <v>51</v>
      </c>
      <c r="C35" s="541" t="s">
        <v>52</v>
      </c>
      <c r="D35" s="542">
        <v>1</v>
      </c>
      <c r="E35" s="542">
        <v>431</v>
      </c>
      <c r="F35" s="515" t="s">
        <v>54</v>
      </c>
      <c r="G35" s="517"/>
      <c r="H35" s="516" t="s">
        <v>55</v>
      </c>
      <c r="I35" s="518"/>
      <c r="J35" s="517"/>
      <c r="K35" s="514"/>
      <c r="L35" s="516" t="s">
        <v>59</v>
      </c>
      <c r="M35" s="516" t="s">
        <v>58</v>
      </c>
      <c r="N35" s="516"/>
      <c r="O35" s="516" t="s">
        <v>78</v>
      </c>
      <c r="P35" s="516" t="s">
        <v>136</v>
      </c>
      <c r="Q35" s="516" t="s">
        <v>137</v>
      </c>
      <c r="R35" s="516" t="s">
        <v>138</v>
      </c>
      <c r="S35" s="516"/>
      <c r="T35" s="526" t="s">
        <v>140</v>
      </c>
      <c r="U35" s="516">
        <v>4</v>
      </c>
      <c r="V35" s="516"/>
      <c r="W35" s="516" t="s">
        <v>64</v>
      </c>
      <c r="X35" s="516" t="s">
        <v>65</v>
      </c>
      <c r="Y35" s="516"/>
      <c r="Z35" s="516"/>
      <c r="AA35" s="516"/>
      <c r="AB35" s="516"/>
      <c r="AC35" s="516"/>
      <c r="AD35" s="516"/>
      <c r="AE35" s="514">
        <f>IFERROR(IF(Хронология[[#This Row],[Забой, м]]-V34&lt;0, 0, Хронология[[#This Row],[Забой, м]]-V34), 0)</f>
        <v>0</v>
      </c>
      <c r="AF35" s="521">
        <f t="shared" si="0"/>
        <v>46151.499999999993</v>
      </c>
      <c r="AG35" s="521">
        <f>Хронология[[#This Row],[Начало]]+Хронология[[#This Row],[Сутки]]</f>
        <v>46151.666666666657</v>
      </c>
      <c r="AH35" s="522">
        <f>Хронология[[#This Row],[Часы]]/24</f>
        <v>0.16666666666666666</v>
      </c>
      <c r="AI35" s="522">
        <f>IFERROR(Хронология[[#This Row],[Сутки]]+AI34, Хронология[[#This Row],[Сутки]])</f>
        <v>6.8333333333333357</v>
      </c>
      <c r="AJ35"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ПНВ</v>
      </c>
      <c r="AK35"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3.9399999999999995</v>
      </c>
      <c r="AL35"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6.0000000000000497E-2</v>
      </c>
      <c r="AM35" s="527">
        <f>IF(Хронология[[#This Row],[Результат]]="НПВ", Хронология[[#This Row],[Часы]], 0)</f>
        <v>0</v>
      </c>
      <c r="AN35" s="518">
        <f>SUMIFS(Хронология[НПВ], Хронология[Скважина], Хронология[[#This Row],[Скважина]], Хронология[Начало], "&lt;=" &amp; Хронология[[#This Row],[Начало]])</f>
        <v>0</v>
      </c>
      <c r="AO35" s="518">
        <f>SUMIFS(Хронология[ПНВ], Хронология[Скважина], Хронология[[#This Row],[Скважина]], Хронология[Начало], "&lt;=" &amp; Хронология[[#This Row],[Начало]])</f>
        <v>41.09</v>
      </c>
      <c r="AP35" s="523">
        <f>INT(ROUND(Хронология[[#This Row],[Начало]], 3))</f>
        <v>46151</v>
      </c>
      <c r="AQ35" s="524">
        <f>Хронология[[#This Row],[Начало]]-INT(Хронология[[#This Row],[Начало]])</f>
        <v>0.49999999999272404</v>
      </c>
      <c r="AR35" s="523">
        <f>INT(ROUND(Хронология[[#This Row],[Окончание]], 3))</f>
        <v>46151</v>
      </c>
      <c r="AS35" s="524">
        <f>Хронология[[#This Row],[Окончание]]-INT(Хронология[[#This Row],[Окончание]])</f>
        <v>0.66666666665696539</v>
      </c>
      <c r="AT35" s="524" t="str">
        <f>Хронология[[#This Row],[Мастер]] &amp; CHAR(10) &amp; Хронология[[#This Row],[Помощник мастера]] &amp; CHAR(10) &amp; Хронология[[#This Row],[Бурильщик]]</f>
        <v>Вдовин И.О.
Жангазиев С.К.</v>
      </c>
      <c r="AU35"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431 ОК– ПР Завоз Тех. вода </v>
      </c>
      <c r="AV35" s="518" t="str">
        <f>Хронология[[#This Row],[Результат]]&amp;":  "&amp;Хронология[[#This Row],[Событие]]&amp; CHAR(10) &amp;Хронология[[#This Row],[Вид работ]]&amp;"  "&amp;Хронология[[#This Row],[Объект работ]]</f>
        <v>ПНВ:  
Завоз  Тех. вода</v>
      </c>
      <c r="AW35" s="522">
        <f>SUMIF($AU$2:AU35, Хронология[[#This Row],[Ключ]], $AH$2:AH35)</f>
        <v>0.375</v>
      </c>
      <c r="AX35" s="516" t="str">
        <f>Хронология[[#This Row],[Вид работ]] &amp; " " &amp; Хронология[[#This Row],[Объект работ]]</f>
        <v>Завоз Тех. вода</v>
      </c>
      <c r="AZ35" s="339"/>
      <c r="BB35" s="339"/>
      <c r="BC35" s="339"/>
      <c r="BH35" s="247"/>
      <c r="BI35" s="247"/>
      <c r="BJ35" s="247"/>
      <c r="BK35" s="247"/>
      <c r="BL35" s="247"/>
      <c r="BM35" s="247"/>
      <c r="BN35" s="247"/>
      <c r="BO35" s="247"/>
      <c r="BP35" s="247"/>
      <c r="BQ35" s="247"/>
    </row>
    <row r="36" spans="1:69" ht="69" customHeight="1">
      <c r="A36" s="540" t="s">
        <v>50</v>
      </c>
      <c r="B36" s="541" t="s">
        <v>51</v>
      </c>
      <c r="C36" s="541" t="s">
        <v>52</v>
      </c>
      <c r="D36" s="542">
        <v>1</v>
      </c>
      <c r="E36" s="542">
        <v>431</v>
      </c>
      <c r="F36" s="515" t="s">
        <v>54</v>
      </c>
      <c r="G36" s="517"/>
      <c r="H36" s="516" t="s">
        <v>55</v>
      </c>
      <c r="I36" s="518"/>
      <c r="J36" s="517"/>
      <c r="K36" s="514"/>
      <c r="L36" s="516" t="s">
        <v>59</v>
      </c>
      <c r="M36" s="516" t="s">
        <v>76</v>
      </c>
      <c r="N36" s="516" t="s">
        <v>141</v>
      </c>
      <c r="O36" s="516" t="s">
        <v>142</v>
      </c>
      <c r="P36" s="516" t="s">
        <v>143</v>
      </c>
      <c r="Q36" s="516" t="s">
        <v>86</v>
      </c>
      <c r="R36" s="516" t="s">
        <v>144</v>
      </c>
      <c r="S36" s="516"/>
      <c r="T36" s="526" t="s">
        <v>145</v>
      </c>
      <c r="U36" s="516">
        <v>4</v>
      </c>
      <c r="V36" s="516"/>
      <c r="W36" s="516" t="s">
        <v>64</v>
      </c>
      <c r="X36" s="516" t="s">
        <v>146</v>
      </c>
      <c r="Y36" s="516"/>
      <c r="Z36" s="516"/>
      <c r="AA36" s="516"/>
      <c r="AB36" s="516"/>
      <c r="AC36" s="516"/>
      <c r="AD36" s="516"/>
      <c r="AE36" s="514">
        <f>IFERROR(IF(Хронология[[#This Row],[Забой, м]]-V35&lt;0, 0, Хронология[[#This Row],[Забой, м]]-V35), 0)</f>
        <v>0</v>
      </c>
      <c r="AF36" s="521">
        <f t="shared" si="0"/>
        <v>46151.666666666657</v>
      </c>
      <c r="AG36" s="521">
        <f>Хронология[[#This Row],[Начало]]+Хронология[[#This Row],[Сутки]]</f>
        <v>46151.833333333321</v>
      </c>
      <c r="AH36" s="522">
        <f>Хронология[[#This Row],[Часы]]/24</f>
        <v>0.16666666666666666</v>
      </c>
      <c r="AI36" s="522">
        <f>IFERROR(Хронология[[#This Row],[Сутки]]+AI35, Хронология[[#This Row],[Сутки]])</f>
        <v>7.0000000000000027</v>
      </c>
      <c r="AJ36"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НПВ</v>
      </c>
      <c r="AK36"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v>
      </c>
      <c r="AL36"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v>
      </c>
      <c r="AM36" s="527">
        <f>IF(Хронология[[#This Row],[Результат]]="НПВ", Хронология[[#This Row],[Часы]], 0)</f>
        <v>4</v>
      </c>
      <c r="AN36" s="518">
        <f>SUMIFS(Хронология[НПВ], Хронология[Скважина], Хронология[[#This Row],[Скважина]], Хронология[Начало], "&lt;=" &amp; Хронология[[#This Row],[Начало]])</f>
        <v>4</v>
      </c>
      <c r="AO36" s="518">
        <f>SUMIFS(Хронология[ПНВ], Хронология[Скважина], Хронология[[#This Row],[Скважина]], Хронология[Начало], "&lt;=" &amp; Хронология[[#This Row],[Начало]])</f>
        <v>41.09</v>
      </c>
      <c r="AP36" s="523">
        <f>INT(ROUND(Хронология[[#This Row],[Начало]], 3))</f>
        <v>46151</v>
      </c>
      <c r="AQ36" s="524">
        <f>Хронология[[#This Row],[Начало]]-INT(Хронология[[#This Row],[Начало]])</f>
        <v>0.66666666665696539</v>
      </c>
      <c r="AR36" s="523">
        <f>INT(ROUND(Хронология[[#This Row],[Окончание]], 3))</f>
        <v>46151</v>
      </c>
      <c r="AS36" s="524">
        <f>Хронология[[#This Row],[Окончание]]-INT(Хронология[[#This Row],[Окончание]])</f>
        <v>0.83333333332120674</v>
      </c>
      <c r="AT36" s="524" t="str">
        <f>Хронология[[#This Row],[Мастер]] &amp; CHAR(10) &amp; Хронология[[#This Row],[Помощник мастера]] &amp; CHAR(10) &amp; Хронология[[#This Row],[Бурильщик]]</f>
        <v>Вдовин И.О.
Жангазиев С.К.</v>
      </c>
      <c r="AU36"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431 ОК– ПР Орг_простой Внеплановый ремонт Замена Запорная арматура </v>
      </c>
      <c r="AV36" s="518" t="str">
        <f>Хронология[[#This Row],[Результат]]&amp;":  "&amp;Хронология[[#This Row],[Событие]]&amp; CHAR(10) &amp;Хронология[[#This Row],[Вид работ]]&amp;"  "&amp;Хронология[[#This Row],[Объект работ]]</f>
        <v>НПВ:  Внеплановый ремонт
Замена  Запорная арматура</v>
      </c>
      <c r="AW36" s="522">
        <f>SUMIF($AU$2:AU36, Хронология[[#This Row],[Ключ]], $AH$2:AH36)</f>
        <v>0.16666666666666666</v>
      </c>
      <c r="AX36" s="516" t="str">
        <f>Хронология[[#This Row],[Вид работ]] &amp; " " &amp; Хронология[[#This Row],[Объект работ]]</f>
        <v>Замена Запорная арматура</v>
      </c>
      <c r="AZ36" s="339"/>
      <c r="BB36" s="339"/>
      <c r="BC36" s="339"/>
      <c r="BH36" s="247"/>
      <c r="BI36" s="247"/>
      <c r="BJ36" s="247"/>
      <c r="BK36" s="247"/>
      <c r="BL36" s="247"/>
      <c r="BM36" s="247"/>
      <c r="BN36" s="247"/>
      <c r="BO36" s="247"/>
      <c r="BP36" s="247"/>
      <c r="BQ36" s="247"/>
    </row>
    <row r="37" spans="1:69" ht="69" customHeight="1">
      <c r="A37" s="540" t="s">
        <v>50</v>
      </c>
      <c r="B37" s="541" t="s">
        <v>51</v>
      </c>
      <c r="C37" s="541" t="s">
        <v>52</v>
      </c>
      <c r="D37" s="542">
        <v>1</v>
      </c>
      <c r="E37" s="542">
        <v>431</v>
      </c>
      <c r="F37" s="515" t="s">
        <v>54</v>
      </c>
      <c r="G37" s="517"/>
      <c r="H37" s="516" t="s">
        <v>55</v>
      </c>
      <c r="I37" s="518"/>
      <c r="J37" s="517"/>
      <c r="K37" s="514"/>
      <c r="L37" s="516" t="s">
        <v>59</v>
      </c>
      <c r="M37" s="516" t="s">
        <v>58</v>
      </c>
      <c r="N37" s="516"/>
      <c r="O37" s="516" t="s">
        <v>78</v>
      </c>
      <c r="P37" s="516" t="s">
        <v>136</v>
      </c>
      <c r="Q37" s="516" t="s">
        <v>137</v>
      </c>
      <c r="R37" s="516" t="s">
        <v>138</v>
      </c>
      <c r="S37" s="516"/>
      <c r="T37" s="526" t="s">
        <v>147</v>
      </c>
      <c r="U37" s="516">
        <v>4</v>
      </c>
      <c r="V37" s="516"/>
      <c r="W37" s="516" t="s">
        <v>64</v>
      </c>
      <c r="X37" s="516" t="s">
        <v>65</v>
      </c>
      <c r="Y37" s="516"/>
      <c r="Z37" s="516"/>
      <c r="AA37" s="516"/>
      <c r="AB37" s="516"/>
      <c r="AC37" s="516"/>
      <c r="AD37" s="516"/>
      <c r="AE37" s="514">
        <f>IFERROR(IF(Хронология[[#This Row],[Забой, м]]-V36&lt;0, 0, Хронология[[#This Row],[Забой, м]]-V36), 0)</f>
        <v>0</v>
      </c>
      <c r="AF37" s="521">
        <f t="shared" si="0"/>
        <v>46151.833333333321</v>
      </c>
      <c r="AG37" s="521">
        <f>Хронология[[#This Row],[Начало]]+Хронология[[#This Row],[Сутки]]</f>
        <v>46151.999999999985</v>
      </c>
      <c r="AH37" s="522">
        <f>Хронология[[#This Row],[Часы]]/24</f>
        <v>0.16666666666666666</v>
      </c>
      <c r="AI37" s="522">
        <f>IFERROR(Хронология[[#This Row],[Сутки]]+AI36, Хронология[[#This Row],[Сутки]])</f>
        <v>7.1666666666666696</v>
      </c>
      <c r="AJ37"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ПНВ</v>
      </c>
      <c r="AK37"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v>
      </c>
      <c r="AL37"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4</v>
      </c>
      <c r="AM37" s="527">
        <f>IF(Хронология[[#This Row],[Результат]]="НПВ", Хронология[[#This Row],[Часы]], 0)</f>
        <v>0</v>
      </c>
      <c r="AN37" s="518">
        <f>SUMIFS(Хронология[НПВ], Хронология[Скважина], Хронология[[#This Row],[Скважина]], Хронология[Начало], "&lt;=" &amp; Хронология[[#This Row],[Начало]])</f>
        <v>4</v>
      </c>
      <c r="AO37" s="518">
        <f>SUMIFS(Хронология[ПНВ], Хронология[Скважина], Хронология[[#This Row],[Скважина]], Хронология[Начало], "&lt;=" &amp; Хронология[[#This Row],[Начало]])</f>
        <v>45.09</v>
      </c>
      <c r="AP37" s="523">
        <f>INT(ROUND(Хронология[[#This Row],[Начало]], 3))</f>
        <v>46151</v>
      </c>
      <c r="AQ37" s="524">
        <f>Хронология[[#This Row],[Начало]]-INT(Хронология[[#This Row],[Начало]])</f>
        <v>0.83333333332120674</v>
      </c>
      <c r="AR37" s="523">
        <f>INT(ROUND(Хронология[[#This Row],[Окончание]], 3))</f>
        <v>46152</v>
      </c>
      <c r="AS37" s="524">
        <f>Хронология[[#This Row],[Окончание]]-INT(Хронология[[#This Row],[Окончание]])</f>
        <v>0</v>
      </c>
      <c r="AT37" s="524" t="str">
        <f>Хронология[[#This Row],[Мастер]] &amp; CHAR(10) &amp; Хронология[[#This Row],[Помощник мастера]] &amp; CHAR(10) &amp; Хронология[[#This Row],[Бурильщик]]</f>
        <v>Вдовин И.О.
Жангазиев С.К.</v>
      </c>
      <c r="AU37"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431 ОК– ПР Завоз Тех. вода </v>
      </c>
      <c r="AV37" s="518" t="str">
        <f>Хронология[[#This Row],[Результат]]&amp;":  "&amp;Хронология[[#This Row],[Событие]]&amp; CHAR(10) &amp;Хронология[[#This Row],[Вид работ]]&amp;"  "&amp;Хронология[[#This Row],[Объект работ]]</f>
        <v>ПНВ:  
Завоз  Тех. вода</v>
      </c>
      <c r="AW37" s="522">
        <f>SUMIF($AU$2:AU37, Хронология[[#This Row],[Ключ]], $AH$2:AH37)</f>
        <v>0.54166666666666663</v>
      </c>
      <c r="AX37" s="516" t="str">
        <f>Хронология[[#This Row],[Вид работ]] &amp; " " &amp; Хронология[[#This Row],[Объект работ]]</f>
        <v>Завоз Тех. вода</v>
      </c>
      <c r="AZ37" s="339"/>
      <c r="BB37" s="339"/>
      <c r="BC37" s="339"/>
      <c r="BH37" s="247"/>
      <c r="BI37" s="247"/>
      <c r="BJ37" s="247"/>
      <c r="BK37" s="247"/>
      <c r="BL37" s="247"/>
      <c r="BM37" s="247"/>
      <c r="BN37" s="247"/>
      <c r="BO37" s="247"/>
      <c r="BP37" s="247"/>
      <c r="BQ37" s="247"/>
    </row>
    <row r="38" spans="1:69" ht="69" customHeight="1">
      <c r="A38" s="540" t="s">
        <v>50</v>
      </c>
      <c r="B38" s="541" t="s">
        <v>51</v>
      </c>
      <c r="C38" s="541" t="s">
        <v>52</v>
      </c>
      <c r="D38" s="542">
        <v>1</v>
      </c>
      <c r="E38" s="542">
        <v>431</v>
      </c>
      <c r="F38" s="515" t="s">
        <v>66</v>
      </c>
      <c r="G38" s="517"/>
      <c r="H38" s="516" t="s">
        <v>67</v>
      </c>
      <c r="I38" s="518"/>
      <c r="J38" s="517"/>
      <c r="K38" s="514"/>
      <c r="L38" s="516" t="s">
        <v>59</v>
      </c>
      <c r="M38" s="516" t="s">
        <v>58</v>
      </c>
      <c r="N38" s="516"/>
      <c r="O38" s="516" t="s">
        <v>78</v>
      </c>
      <c r="P38" s="516" t="s">
        <v>136</v>
      </c>
      <c r="Q38" s="516" t="s">
        <v>137</v>
      </c>
      <c r="R38" s="516" t="s">
        <v>138</v>
      </c>
      <c r="S38" s="516"/>
      <c r="T38" s="526" t="s">
        <v>148</v>
      </c>
      <c r="U38" s="516">
        <v>7</v>
      </c>
      <c r="V38" s="516"/>
      <c r="W38" s="516" t="s">
        <v>64</v>
      </c>
      <c r="X38" s="516" t="s">
        <v>65</v>
      </c>
      <c r="Y38" s="516"/>
      <c r="Z38" s="516"/>
      <c r="AA38" s="516"/>
      <c r="AB38" s="516"/>
      <c r="AC38" s="516"/>
      <c r="AD38" s="516"/>
      <c r="AE38" s="514">
        <f>IFERROR(IF(Хронология[[#This Row],[Забой, м]]-V37&lt;0, 0, Хронология[[#This Row],[Забой, м]]-V37), 0)</f>
        <v>0</v>
      </c>
      <c r="AF38" s="521">
        <f t="shared" si="0"/>
        <v>46151.999999999985</v>
      </c>
      <c r="AG38" s="521">
        <f>Хронология[[#This Row],[Начало]]+Хронология[[#This Row],[Сутки]]</f>
        <v>46152.29166666665</v>
      </c>
      <c r="AH38" s="522">
        <f>Хронология[[#This Row],[Часы]]/24</f>
        <v>0.29166666666666669</v>
      </c>
      <c r="AI38" s="522">
        <f>IFERROR(Хронология[[#This Row],[Сутки]]+AI37, Хронология[[#This Row],[Сутки]])</f>
        <v>7.4583333333333366</v>
      </c>
      <c r="AJ38"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ПНВ</v>
      </c>
      <c r="AK38"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v>
      </c>
      <c r="AL38"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7</v>
      </c>
      <c r="AM38" s="527">
        <f>IF(Хронология[[#This Row],[Результат]]="НПВ", Хронология[[#This Row],[Часы]], 0)</f>
        <v>0</v>
      </c>
      <c r="AN38" s="518">
        <f>SUMIFS(Хронология[НПВ], Хронология[Скважина], Хронология[[#This Row],[Скважина]], Хронология[Начало], "&lt;=" &amp; Хронология[[#This Row],[Начало]])</f>
        <v>4</v>
      </c>
      <c r="AO38" s="518">
        <f>SUMIFS(Хронология[ПНВ], Хронология[Скважина], Хронология[[#This Row],[Скважина]], Хронология[Начало], "&lt;=" &amp; Хронология[[#This Row],[Начало]])</f>
        <v>52.09</v>
      </c>
      <c r="AP38" s="523">
        <f>INT(ROUND(Хронология[[#This Row],[Начало]], 3))</f>
        <v>46152</v>
      </c>
      <c r="AQ38" s="524">
        <f>Хронология[[#This Row],[Начало]]-INT(Хронология[[#This Row],[Начало]])</f>
        <v>0</v>
      </c>
      <c r="AR38" s="523">
        <f>INT(ROUND(Хронология[[#This Row],[Окончание]], 3))</f>
        <v>46152</v>
      </c>
      <c r="AS38" s="524">
        <f>Хронология[[#This Row],[Окончание]]-INT(Хронология[[#This Row],[Окончание]])</f>
        <v>0.29166666664968943</v>
      </c>
      <c r="AT38" s="524" t="str">
        <f>Хронология[[#This Row],[Мастер]] &amp; CHAR(10) &amp; Хронология[[#This Row],[Помощник мастера]] &amp; CHAR(10) &amp; Хронология[[#This Row],[Бурильщик]]</f>
        <v>Жабин П.П.
Керимов Н.К.</v>
      </c>
      <c r="AU38"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431 ОК– ПР Завоз Тех. вода </v>
      </c>
      <c r="AV38" s="518" t="str">
        <f>Хронология[[#This Row],[Результат]]&amp;":  "&amp;Хронология[[#This Row],[Событие]]&amp; CHAR(10) &amp;Хронология[[#This Row],[Вид работ]]&amp;"  "&amp;Хронология[[#This Row],[Объект работ]]</f>
        <v>ПНВ:  
Завоз  Тех. вода</v>
      </c>
      <c r="AW38" s="522">
        <f>SUMIF($AU$2:AU38, Хронология[[#This Row],[Ключ]], $AH$2:AH38)</f>
        <v>0.83333333333333326</v>
      </c>
      <c r="AX38" s="516" t="str">
        <f>Хронология[[#This Row],[Вид работ]] &amp; " " &amp; Хронология[[#This Row],[Объект работ]]</f>
        <v>Завоз Тех. вода</v>
      </c>
      <c r="AZ38" s="339"/>
      <c r="BB38" s="339"/>
      <c r="BC38" s="339"/>
      <c r="BH38" s="247"/>
      <c r="BI38" s="247"/>
      <c r="BJ38" s="247"/>
      <c r="BK38" s="247"/>
      <c r="BL38" s="247"/>
      <c r="BM38" s="247"/>
      <c r="BN38" s="247"/>
      <c r="BO38" s="247"/>
      <c r="BP38" s="247"/>
      <c r="BQ38" s="247"/>
    </row>
    <row r="39" spans="1:69" ht="69" customHeight="1">
      <c r="A39" s="540" t="s">
        <v>50</v>
      </c>
      <c r="B39" s="541" t="s">
        <v>51</v>
      </c>
      <c r="C39" s="541" t="s">
        <v>52</v>
      </c>
      <c r="D39" s="542">
        <v>1</v>
      </c>
      <c r="E39" s="542">
        <v>431</v>
      </c>
      <c r="F39" s="515" t="s">
        <v>54</v>
      </c>
      <c r="G39" s="517"/>
      <c r="H39" s="516" t="s">
        <v>55</v>
      </c>
      <c r="I39" s="518"/>
      <c r="J39" s="517"/>
      <c r="K39" s="514"/>
      <c r="L39" s="516" t="s">
        <v>59</v>
      </c>
      <c r="M39" s="516" t="s">
        <v>58</v>
      </c>
      <c r="N39" s="516"/>
      <c r="O39" s="516" t="s">
        <v>78</v>
      </c>
      <c r="P39" s="516" t="s">
        <v>136</v>
      </c>
      <c r="Q39" s="516" t="s">
        <v>137</v>
      </c>
      <c r="R39" s="516" t="s">
        <v>138</v>
      </c>
      <c r="S39" s="516"/>
      <c r="T39" s="526" t="s">
        <v>149</v>
      </c>
      <c r="U39" s="516">
        <v>5</v>
      </c>
      <c r="V39" s="516"/>
      <c r="W39" s="516" t="s">
        <v>64</v>
      </c>
      <c r="X39" s="516" t="s">
        <v>65</v>
      </c>
      <c r="Y39" s="516"/>
      <c r="Z39" s="516"/>
      <c r="AA39" s="516"/>
      <c r="AB39" s="516"/>
      <c r="AC39" s="516"/>
      <c r="AD39" s="516"/>
      <c r="AE39" s="514">
        <f>IFERROR(IF(Хронология[[#This Row],[Забой, м]]-V38&lt;0, 0, Хронология[[#This Row],[Забой, м]]-V38), 0)</f>
        <v>0</v>
      </c>
      <c r="AF39" s="521">
        <f t="shared" si="0"/>
        <v>46152.29166666665</v>
      </c>
      <c r="AG39" s="521">
        <f>Хронология[[#This Row],[Начало]]+Хронология[[#This Row],[Сутки]]</f>
        <v>46152.499999999985</v>
      </c>
      <c r="AH39" s="522">
        <f>Хронология[[#This Row],[Часы]]/24</f>
        <v>0.20833333333333334</v>
      </c>
      <c r="AI39" s="522">
        <f>IFERROR(Хронология[[#This Row],[Сутки]]+AI38, Хронология[[#This Row],[Сутки]])</f>
        <v>7.6666666666666696</v>
      </c>
      <c r="AJ39"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ПНВ</v>
      </c>
      <c r="AK39"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-1.7763568394002505E-15</v>
      </c>
      <c r="AL39"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5.0000000000000018</v>
      </c>
      <c r="AM39" s="527">
        <f>IF(Хронология[[#This Row],[Результат]]="НПВ", Хронология[[#This Row],[Часы]], 0)</f>
        <v>0</v>
      </c>
      <c r="AN39" s="518">
        <f>SUMIFS(Хронология[НПВ], Хронология[Скважина], Хронология[[#This Row],[Скважина]], Хронология[Начало], "&lt;=" &amp; Хронология[[#This Row],[Начало]])</f>
        <v>4</v>
      </c>
      <c r="AO39" s="518">
        <f>SUMIFS(Хронология[ПНВ], Хронология[Скважина], Хронология[[#This Row],[Скважина]], Хронология[Начало], "&lt;=" &amp; Хронология[[#This Row],[Начало]])</f>
        <v>57.09</v>
      </c>
      <c r="AP39" s="523">
        <f>INT(ROUND(Хронология[[#This Row],[Начало]], 3))</f>
        <v>46152</v>
      </c>
      <c r="AQ39" s="524">
        <f>Хронология[[#This Row],[Начало]]-INT(Хронология[[#This Row],[Начало]])</f>
        <v>0.29166666664968943</v>
      </c>
      <c r="AR39" s="523">
        <f>INT(ROUND(Хронология[[#This Row],[Окончание]], 3))</f>
        <v>46152</v>
      </c>
      <c r="AS39" s="524">
        <f>Хронология[[#This Row],[Окончание]]-INT(Хронология[[#This Row],[Окончание]])</f>
        <v>0.49999999998544808</v>
      </c>
      <c r="AT39" s="524" t="str">
        <f>Хронология[[#This Row],[Мастер]] &amp; CHAR(10) &amp; Хронология[[#This Row],[Помощник мастера]] &amp; CHAR(10) &amp; Хронология[[#This Row],[Бурильщик]]</f>
        <v>Вдовин И.О.
Жангазиев С.К.</v>
      </c>
      <c r="AU39"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431 ОК– ПР Завоз Тех. вода </v>
      </c>
      <c r="AV39" s="518" t="str">
        <f>Хронология[[#This Row],[Результат]]&amp;":  "&amp;Хронология[[#This Row],[Событие]]&amp; CHAR(10) &amp;Хронология[[#This Row],[Вид работ]]&amp;"  "&amp;Хронология[[#This Row],[Объект работ]]</f>
        <v>ПНВ:  
Завоз  Тех. вода</v>
      </c>
      <c r="AW39" s="522">
        <f>SUMIF($AU$2:AU39, Хронология[[#This Row],[Ключ]], $AH$2:AH39)</f>
        <v>1.0416666666666665</v>
      </c>
      <c r="AX39" s="516" t="str">
        <f>Хронология[[#This Row],[Вид работ]] &amp; " " &amp; Хронология[[#This Row],[Объект работ]]</f>
        <v>Завоз Тех. вода</v>
      </c>
      <c r="AZ39" s="339"/>
      <c r="BB39" s="339"/>
      <c r="BC39" s="339"/>
      <c r="BH39" s="247"/>
      <c r="BI39" s="247"/>
      <c r="BJ39" s="247"/>
      <c r="BK39" s="247"/>
      <c r="BL39" s="247"/>
      <c r="BM39" s="247"/>
      <c r="BN39" s="247"/>
      <c r="BO39" s="247"/>
      <c r="BP39" s="247"/>
      <c r="BQ39" s="247"/>
    </row>
    <row r="40" spans="1:69" ht="69" customHeight="1">
      <c r="A40" s="540" t="s">
        <v>50</v>
      </c>
      <c r="B40" s="541" t="s">
        <v>51</v>
      </c>
      <c r="C40" s="541" t="s">
        <v>52</v>
      </c>
      <c r="D40" s="542">
        <v>1</v>
      </c>
      <c r="E40" s="542">
        <v>431</v>
      </c>
      <c r="F40" s="515" t="s">
        <v>54</v>
      </c>
      <c r="G40" s="517"/>
      <c r="H40" s="516" t="s">
        <v>55</v>
      </c>
      <c r="I40" s="518"/>
      <c r="J40" s="517"/>
      <c r="K40" s="514"/>
      <c r="L40" s="516" t="s">
        <v>59</v>
      </c>
      <c r="M40" s="516" t="s">
        <v>58</v>
      </c>
      <c r="N40" s="516"/>
      <c r="O40" s="516" t="s">
        <v>111</v>
      </c>
      <c r="P40" s="516" t="s">
        <v>150</v>
      </c>
      <c r="Q40" s="516" t="s">
        <v>86</v>
      </c>
      <c r="R40" s="516" t="s">
        <v>118</v>
      </c>
      <c r="S40" s="516"/>
      <c r="T40" s="526" t="s">
        <v>151</v>
      </c>
      <c r="U40" s="516">
        <v>4</v>
      </c>
      <c r="V40" s="516"/>
      <c r="W40" s="516" t="s">
        <v>64</v>
      </c>
      <c r="X40" s="516" t="s">
        <v>65</v>
      </c>
      <c r="Y40" s="516"/>
      <c r="Z40" s="516"/>
      <c r="AA40" s="516"/>
      <c r="AB40" s="516"/>
      <c r="AC40" s="516"/>
      <c r="AD40" s="516"/>
      <c r="AE40" s="514">
        <f>IFERROR(IF(Хронология[[#This Row],[Забой, м]]-V39&lt;0, 0, Хронология[[#This Row],[Забой, м]]-V39), 0)</f>
        <v>0</v>
      </c>
      <c r="AF40" s="521">
        <f t="shared" si="0"/>
        <v>46152.499999999985</v>
      </c>
      <c r="AG40" s="521">
        <f>Хронология[[#This Row],[Начало]]+Хронология[[#This Row],[Сутки]]</f>
        <v>46152.66666666665</v>
      </c>
      <c r="AH40" s="522">
        <f>Хронология[[#This Row],[Часы]]/24</f>
        <v>0.16666666666666666</v>
      </c>
      <c r="AI40" s="522">
        <f>IFERROR(Хронология[[#This Row],[Сутки]]+AI39, Хронология[[#This Row],[Сутки]])</f>
        <v>7.8333333333333366</v>
      </c>
      <c r="AJ40"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ПНВ</v>
      </c>
      <c r="AK40"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0.7056</v>
      </c>
      <c r="AL40"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3.2944</v>
      </c>
      <c r="AM40" s="527">
        <f>IF(Хронология[[#This Row],[Результат]]="НПВ", Хронология[[#This Row],[Часы]], 0)</f>
        <v>0</v>
      </c>
      <c r="AN40" s="518">
        <f>SUMIFS(Хронология[НПВ], Хронология[Скважина], Хронология[[#This Row],[Скважина]], Хронология[Начало], "&lt;=" &amp; Хронология[[#This Row],[Начало]])</f>
        <v>4</v>
      </c>
      <c r="AO40" s="518">
        <f>SUMIFS(Хронология[ПНВ], Хронология[Скважина], Хронология[[#This Row],[Скважина]], Хронология[Начало], "&lt;=" &amp; Хронология[[#This Row],[Начало]])</f>
        <v>60.384400000000007</v>
      </c>
      <c r="AP40" s="523">
        <f>INT(ROUND(Хронология[[#This Row],[Начало]], 3))</f>
        <v>46152</v>
      </c>
      <c r="AQ40" s="524">
        <f>Хронология[[#This Row],[Начало]]-INT(Хронология[[#This Row],[Начало]])</f>
        <v>0.49999999998544808</v>
      </c>
      <c r="AR40" s="523">
        <f>INT(ROUND(Хронология[[#This Row],[Окончание]], 3))</f>
        <v>46152</v>
      </c>
      <c r="AS40" s="524">
        <f>Хронология[[#This Row],[Окончание]]-INT(Хронология[[#This Row],[Окончание]])</f>
        <v>0.66666666664968943</v>
      </c>
      <c r="AT40" s="524" t="str">
        <f>Хронология[[#This Row],[Мастер]] &amp; CHAR(10) &amp; Хронология[[#This Row],[Помощник мастера]] &amp; CHAR(10) &amp; Хронология[[#This Row],[Бурильщик]]</f>
        <v>Вдовин И.О.
Жангазиев С.К.</v>
      </c>
      <c r="AU40"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431 ОК– ПР Опрессовка Фонтанная арматура </v>
      </c>
      <c r="AV40" s="518" t="str">
        <f>Хронология[[#This Row],[Результат]]&amp;":  "&amp;Хронология[[#This Row],[Событие]]&amp; CHAR(10) &amp;Хронология[[#This Row],[Вид работ]]&amp;"  "&amp;Хронология[[#This Row],[Объект работ]]</f>
        <v>ПНВ:  
Опрессовка  Фонтанная арматура</v>
      </c>
      <c r="AW40" s="522">
        <f>SUMIF($AU$2:AU40, Хронология[[#This Row],[Ключ]], $AH$2:AH40)</f>
        <v>0.16666666666666666</v>
      </c>
      <c r="AX40" s="516" t="str">
        <f>Хронология[[#This Row],[Вид работ]] &amp; " " &amp; Хронология[[#This Row],[Объект работ]]</f>
        <v>Опрессовка Фонтанная арматура</v>
      </c>
      <c r="AZ40" s="339"/>
      <c r="BB40" s="339"/>
      <c r="BC40" s="339"/>
      <c r="BH40" s="247"/>
      <c r="BI40" s="247"/>
      <c r="BJ40" s="247"/>
      <c r="BK40" s="247"/>
      <c r="BL40" s="247"/>
      <c r="BM40" s="247"/>
      <c r="BN40" s="247"/>
      <c r="BO40" s="247"/>
      <c r="BP40" s="247"/>
      <c r="BQ40" s="247"/>
    </row>
    <row r="41" spans="1:69" ht="69" customHeight="1">
      <c r="A41" s="540" t="s">
        <v>50</v>
      </c>
      <c r="B41" s="541" t="s">
        <v>51</v>
      </c>
      <c r="C41" s="541" t="s">
        <v>52</v>
      </c>
      <c r="D41" s="542">
        <v>1</v>
      </c>
      <c r="E41" s="542">
        <v>431</v>
      </c>
      <c r="F41" s="515" t="s">
        <v>54</v>
      </c>
      <c r="G41" s="517"/>
      <c r="H41" s="516" t="s">
        <v>55</v>
      </c>
      <c r="I41" s="518"/>
      <c r="J41" s="517"/>
      <c r="K41" s="514"/>
      <c r="L41" s="516" t="s">
        <v>57</v>
      </c>
      <c r="M41" s="516" t="s">
        <v>58</v>
      </c>
      <c r="N41" s="516"/>
      <c r="O41" s="516" t="s">
        <v>69</v>
      </c>
      <c r="P41" s="516" t="s">
        <v>70</v>
      </c>
      <c r="Q41" s="516" t="s">
        <v>61</v>
      </c>
      <c r="R41" s="516" t="s">
        <v>71</v>
      </c>
      <c r="S41" s="516"/>
      <c r="T41" s="526" t="s">
        <v>152</v>
      </c>
      <c r="U41" s="516">
        <v>4</v>
      </c>
      <c r="V41" s="516"/>
      <c r="W41" s="516" t="s">
        <v>64</v>
      </c>
      <c r="X41" s="516"/>
      <c r="Y41" s="516"/>
      <c r="Z41" s="516"/>
      <c r="AA41" s="516"/>
      <c r="AB41" s="516"/>
      <c r="AC41" s="516"/>
      <c r="AD41" s="516"/>
      <c r="AE41" s="514">
        <f>IFERROR(IF(Хронология[[#This Row],[Забой, м]]-V40&lt;0, 0, Хронология[[#This Row],[Забой, м]]-V40), 0)</f>
        <v>0</v>
      </c>
      <c r="AF41" s="521">
        <f t="shared" si="0"/>
        <v>46152.66666666665</v>
      </c>
      <c r="AG41" s="521">
        <f>Хронология[[#This Row],[Начало]]+Хронология[[#This Row],[Сутки]]</f>
        <v>46152.833333333314</v>
      </c>
      <c r="AH41" s="522">
        <f>Хронология[[#This Row],[Часы]]/24</f>
        <v>0.16666666666666666</v>
      </c>
      <c r="AI41" s="522">
        <f>IFERROR(Хронология[[#This Row],[Сутки]]+AI40, Хронология[[#This Row],[Сутки]])</f>
        <v>8.0000000000000036</v>
      </c>
      <c r="AJ41"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ПВ</v>
      </c>
      <c r="AK41"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4</v>
      </c>
      <c r="AL41"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v>
      </c>
      <c r="AM41" s="527">
        <f>IF(Хронология[[#This Row],[Результат]]="НПВ", Хронология[[#This Row],[Часы]], 0)</f>
        <v>0</v>
      </c>
      <c r="AN41" s="518">
        <f>SUMIFS(Хронология[НПВ], Хронология[Скважина], Хронология[[#This Row],[Скважина]], Хронология[Начало], "&lt;=" &amp; Хронология[[#This Row],[Начало]])</f>
        <v>4</v>
      </c>
      <c r="AO41" s="518">
        <f>SUMIFS(Хронология[ПНВ], Хронология[Скважина], Хронология[[#This Row],[Скважина]], Хронология[Начало], "&lt;=" &amp; Хронология[[#This Row],[Начало]])</f>
        <v>60.384400000000007</v>
      </c>
      <c r="AP41" s="523">
        <f>INT(ROUND(Хронология[[#This Row],[Начало]], 3))</f>
        <v>46152</v>
      </c>
      <c r="AQ41" s="524">
        <f>Хронология[[#This Row],[Начало]]-INT(Хронология[[#This Row],[Начало]])</f>
        <v>0.66666666664968943</v>
      </c>
      <c r="AR41" s="523">
        <f>INT(ROUND(Хронология[[#This Row],[Окончание]], 3))</f>
        <v>46152</v>
      </c>
      <c r="AS41" s="524">
        <f>Хронология[[#This Row],[Окончание]]-INT(Хронология[[#This Row],[Окончание]])</f>
        <v>0.83333333331393078</v>
      </c>
      <c r="AT41" s="524" t="str">
        <f>Хронология[[#This Row],[Мастер]] &amp; CHAR(10) &amp; Хронология[[#This Row],[Помощник мастера]] &amp; CHAR(10) &amp; Хронология[[#This Row],[Бурильщик]]</f>
        <v>Вдовин И.О.
Жангазиев С.К.</v>
      </c>
      <c r="AU41"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431 ОК– ДПМ Монтаж БО </v>
      </c>
      <c r="AV41" s="518" t="str">
        <f>Хронология[[#This Row],[Результат]]&amp;":  "&amp;Хронология[[#This Row],[Событие]]&amp; CHAR(10) &amp;Хронология[[#This Row],[Вид работ]]&amp;"  "&amp;Хронология[[#This Row],[Объект работ]]</f>
        <v>ПВ:  
Монтаж  БО</v>
      </c>
      <c r="AW41" s="522">
        <f>SUMIF($AU$2:AU41, Хронология[[#This Row],[Ключ]], $AH$2:AH41)</f>
        <v>0.16666666666666666</v>
      </c>
      <c r="AX41" s="516" t="str">
        <f>Хронология[[#This Row],[Вид работ]] &amp; " " &amp; Хронология[[#This Row],[Объект работ]]</f>
        <v>Монтаж БО</v>
      </c>
      <c r="AZ41" s="339"/>
      <c r="BB41" s="339"/>
      <c r="BC41" s="339"/>
      <c r="BH41" s="247"/>
      <c r="BI41" s="247"/>
      <c r="BJ41" s="247"/>
      <c r="BK41" s="247"/>
      <c r="BL41" s="247"/>
      <c r="BM41" s="247"/>
      <c r="BN41" s="247"/>
      <c r="BO41" s="247"/>
      <c r="BP41" s="247"/>
      <c r="BQ41" s="247"/>
    </row>
    <row r="42" spans="1:69" ht="69" customHeight="1">
      <c r="A42" s="540" t="s">
        <v>50</v>
      </c>
      <c r="B42" s="541" t="s">
        <v>51</v>
      </c>
      <c r="C42" s="541" t="s">
        <v>52</v>
      </c>
      <c r="D42" s="542">
        <v>1</v>
      </c>
      <c r="E42" s="542">
        <v>431</v>
      </c>
      <c r="F42" s="515" t="s">
        <v>54</v>
      </c>
      <c r="G42" s="517"/>
      <c r="H42" s="516" t="s">
        <v>55</v>
      </c>
      <c r="I42" s="518"/>
      <c r="J42" s="517"/>
      <c r="K42" s="514"/>
      <c r="L42" s="516" t="s">
        <v>57</v>
      </c>
      <c r="M42" s="516" t="s">
        <v>58</v>
      </c>
      <c r="N42" s="516"/>
      <c r="O42" s="516" t="s">
        <v>69</v>
      </c>
      <c r="P42" s="516" t="s">
        <v>70</v>
      </c>
      <c r="Q42" s="516" t="s">
        <v>61</v>
      </c>
      <c r="R42" s="516" t="s">
        <v>71</v>
      </c>
      <c r="S42" s="516"/>
      <c r="T42" s="526" t="s">
        <v>153</v>
      </c>
      <c r="U42" s="516">
        <v>4</v>
      </c>
      <c r="V42" s="516"/>
      <c r="W42" s="516" t="s">
        <v>64</v>
      </c>
      <c r="X42" s="516" t="s">
        <v>65</v>
      </c>
      <c r="Y42" s="516"/>
      <c r="Z42" s="516"/>
      <c r="AA42" s="516"/>
      <c r="AB42" s="516"/>
      <c r="AC42" s="516"/>
      <c r="AD42" s="516"/>
      <c r="AE42" s="514">
        <f>IFERROR(IF(Хронология[[#This Row],[Забой, м]]-V41&lt;0, 0, Хронология[[#This Row],[Забой, м]]-V41), 0)</f>
        <v>0</v>
      </c>
      <c r="AF42" s="521">
        <f t="shared" si="0"/>
        <v>46152.833333333314</v>
      </c>
      <c r="AG42" s="521">
        <f>Хронология[[#This Row],[Начало]]+Хронология[[#This Row],[Сутки]]</f>
        <v>46152.999999999978</v>
      </c>
      <c r="AH42" s="522">
        <f>Хронология[[#This Row],[Часы]]/24</f>
        <v>0.16666666666666666</v>
      </c>
      <c r="AI42" s="522">
        <f>IFERROR(Хронология[[#This Row],[Сутки]]+AI41, Хронология[[#This Row],[Сутки]])</f>
        <v>8.1666666666666696</v>
      </c>
      <c r="AJ42"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ПНВ</v>
      </c>
      <c r="AK42"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1.3364000000000003</v>
      </c>
      <c r="AL42"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2.6635999999999997</v>
      </c>
      <c r="AM42" s="527">
        <f>IF(Хронология[[#This Row],[Результат]]="НПВ", Хронология[[#This Row],[Часы]], 0)</f>
        <v>0</v>
      </c>
      <c r="AN42" s="518">
        <f>SUMIFS(Хронология[НПВ], Хронология[Скважина], Хронология[[#This Row],[Скважина]], Хронология[Начало], "&lt;=" &amp; Хронология[[#This Row],[Начало]])</f>
        <v>4</v>
      </c>
      <c r="AO42" s="518">
        <f>SUMIFS(Хронология[ПНВ], Хронология[Скважина], Хронология[[#This Row],[Скважина]], Хронология[Начало], "&lt;=" &amp; Хронология[[#This Row],[Начало]])</f>
        <v>63.048000000000009</v>
      </c>
      <c r="AP42" s="523">
        <f>INT(ROUND(Хронология[[#This Row],[Начало]], 3))</f>
        <v>46152</v>
      </c>
      <c r="AQ42" s="524">
        <f>Хронология[[#This Row],[Начало]]-INT(Хронология[[#This Row],[Начало]])</f>
        <v>0.83333333331393078</v>
      </c>
      <c r="AR42" s="523">
        <f>INT(ROUND(Хронология[[#This Row],[Окончание]], 3))</f>
        <v>46153</v>
      </c>
      <c r="AS42" s="524">
        <f>Хронология[[#This Row],[Окончание]]-INT(Хронология[[#This Row],[Окончание]])</f>
        <v>0</v>
      </c>
      <c r="AT42" s="524" t="str">
        <f>Хронология[[#This Row],[Мастер]] &amp; CHAR(10) &amp; Хронология[[#This Row],[Помощник мастера]] &amp; CHAR(10) &amp; Хронология[[#This Row],[Бурильщик]]</f>
        <v>Вдовин И.О.
Жангазиев С.К.</v>
      </c>
      <c r="AU42"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431 ОК– ДПМ Монтаж БО </v>
      </c>
      <c r="AV42" s="518" t="str">
        <f>Хронология[[#This Row],[Результат]]&amp;":  "&amp;Хронология[[#This Row],[Событие]]&amp; CHAR(10) &amp;Хронология[[#This Row],[Вид работ]]&amp;"  "&amp;Хронология[[#This Row],[Объект работ]]</f>
        <v>ПНВ:  
Монтаж  БО</v>
      </c>
      <c r="AW42" s="522">
        <f>SUMIF($AU$2:AU42, Хронология[[#This Row],[Ключ]], $AH$2:AH42)</f>
        <v>0.33333333333333331</v>
      </c>
      <c r="AX42" s="516" t="str">
        <f>Хронология[[#This Row],[Вид работ]] &amp; " " &amp; Хронология[[#This Row],[Объект работ]]</f>
        <v>Монтаж БО</v>
      </c>
      <c r="AZ42" s="339"/>
      <c r="BB42" s="339"/>
      <c r="BC42" s="339"/>
      <c r="BH42" s="247"/>
      <c r="BI42" s="247"/>
      <c r="BJ42" s="247"/>
      <c r="BK42" s="247"/>
      <c r="BL42" s="247"/>
      <c r="BM42" s="247"/>
      <c r="BN42" s="247"/>
      <c r="BO42" s="247"/>
      <c r="BP42" s="247"/>
      <c r="BQ42" s="247"/>
    </row>
    <row r="43" spans="1:69" ht="69" customHeight="1">
      <c r="A43" s="540" t="s">
        <v>50</v>
      </c>
      <c r="B43" s="541" t="s">
        <v>51</v>
      </c>
      <c r="C43" s="541" t="s">
        <v>52</v>
      </c>
      <c r="D43" s="542">
        <v>1</v>
      </c>
      <c r="E43" s="542">
        <v>431</v>
      </c>
      <c r="F43" s="515" t="s">
        <v>66</v>
      </c>
      <c r="G43" s="517"/>
      <c r="H43" s="516" t="s">
        <v>67</v>
      </c>
      <c r="I43" s="518"/>
      <c r="J43" s="517"/>
      <c r="K43" s="514"/>
      <c r="L43" s="516" t="s">
        <v>57</v>
      </c>
      <c r="M43" s="516" t="s">
        <v>58</v>
      </c>
      <c r="N43" s="516"/>
      <c r="O43" s="516" t="s">
        <v>69</v>
      </c>
      <c r="P43" s="516" t="s">
        <v>70</v>
      </c>
      <c r="Q43" s="516" t="s">
        <v>61</v>
      </c>
      <c r="R43" s="516" t="s">
        <v>71</v>
      </c>
      <c r="S43" s="516"/>
      <c r="T43" s="526" t="s">
        <v>154</v>
      </c>
      <c r="U43" s="516">
        <v>7</v>
      </c>
      <c r="V43" s="516"/>
      <c r="W43" s="516" t="s">
        <v>64</v>
      </c>
      <c r="X43" s="516" t="s">
        <v>65</v>
      </c>
      <c r="Y43" s="516"/>
      <c r="Z43" s="516"/>
      <c r="AA43" s="516"/>
      <c r="AB43" s="516"/>
      <c r="AC43" s="516"/>
      <c r="AD43" s="516"/>
      <c r="AE43" s="514">
        <f>IFERROR(IF(Хронология[[#This Row],[Забой, м]]-V42&lt;0, 0, Хронология[[#This Row],[Забой, м]]-V42), 0)</f>
        <v>0</v>
      </c>
      <c r="AF43" s="521">
        <f t="shared" si="0"/>
        <v>46152.999999999978</v>
      </c>
      <c r="AG43" s="521">
        <f>Хронология[[#This Row],[Начало]]+Хронология[[#This Row],[Сутки]]</f>
        <v>46153.291666666642</v>
      </c>
      <c r="AH43" s="522">
        <f>Хронология[[#This Row],[Часы]]/24</f>
        <v>0.29166666666666669</v>
      </c>
      <c r="AI43" s="522">
        <f>IFERROR(Хронология[[#This Row],[Сутки]]+AI42, Хронология[[#This Row],[Сутки]])</f>
        <v>8.4583333333333357</v>
      </c>
      <c r="AJ43"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ПНВ</v>
      </c>
      <c r="AK43"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8.8817841970012523E-16</v>
      </c>
      <c r="AL43"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6.9999999999999991</v>
      </c>
      <c r="AM43" s="527">
        <f>IF(Хронология[[#This Row],[Результат]]="НПВ", Хронология[[#This Row],[Часы]], 0)</f>
        <v>0</v>
      </c>
      <c r="AN43" s="518">
        <f>SUMIFS(Хронология[НПВ], Хронология[Скважина], Хронология[[#This Row],[Скважина]], Хронология[Начало], "&lt;=" &amp; Хронология[[#This Row],[Начало]])</f>
        <v>4</v>
      </c>
      <c r="AO43" s="518">
        <f>SUMIFS(Хронология[ПНВ], Хронология[Скважина], Хронология[[#This Row],[Скважина]], Хронология[Начало], "&lt;=" &amp; Хронология[[#This Row],[Начало]])</f>
        <v>70.048000000000002</v>
      </c>
      <c r="AP43" s="523">
        <f>INT(ROUND(Хронология[[#This Row],[Начало]], 3))</f>
        <v>46153</v>
      </c>
      <c r="AQ43" s="524">
        <f>Хронология[[#This Row],[Начало]]-INT(Хронология[[#This Row],[Начало]])</f>
        <v>0</v>
      </c>
      <c r="AR43" s="523">
        <f>INT(ROUND(Хронология[[#This Row],[Окончание]], 3))</f>
        <v>46153</v>
      </c>
      <c r="AS43" s="524">
        <f>Хронология[[#This Row],[Окончание]]-INT(Хронология[[#This Row],[Окончание]])</f>
        <v>0.29166666664241347</v>
      </c>
      <c r="AT43" s="524" t="str">
        <f>Хронология[[#This Row],[Мастер]] &amp; CHAR(10) &amp; Хронология[[#This Row],[Помощник мастера]] &amp; CHAR(10) &amp; Хронология[[#This Row],[Бурильщик]]</f>
        <v>Жабин П.П.
Керимов Н.К.</v>
      </c>
      <c r="AU43"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431 ОК– ДПМ Монтаж БО </v>
      </c>
      <c r="AV43" s="518" t="str">
        <f>Хронология[[#This Row],[Результат]]&amp;":  "&amp;Хронология[[#This Row],[Событие]]&amp; CHAR(10) &amp;Хронология[[#This Row],[Вид работ]]&amp;"  "&amp;Хронология[[#This Row],[Объект работ]]</f>
        <v>ПНВ:  
Монтаж  БО</v>
      </c>
      <c r="AW43" s="522">
        <f>SUMIF($AU$2:AU43, Хронология[[#This Row],[Ключ]], $AH$2:AH43)</f>
        <v>0.625</v>
      </c>
      <c r="AX43" s="516" t="str">
        <f>Хронология[[#This Row],[Вид работ]] &amp; " " &amp; Хронология[[#This Row],[Объект работ]]</f>
        <v>Монтаж БО</v>
      </c>
      <c r="AZ43" s="339"/>
      <c r="BB43" s="339"/>
      <c r="BC43" s="339"/>
      <c r="BH43" s="247"/>
      <c r="BI43" s="247"/>
      <c r="BJ43" s="247"/>
      <c r="BK43" s="247"/>
      <c r="BL43" s="247"/>
      <c r="BM43" s="247"/>
      <c r="BN43" s="247"/>
      <c r="BO43" s="247"/>
      <c r="BP43" s="247"/>
      <c r="BQ43" s="247"/>
    </row>
    <row r="44" spans="1:69" ht="69" customHeight="1">
      <c r="A44" s="540" t="s">
        <v>50</v>
      </c>
      <c r="B44" s="541" t="s">
        <v>51</v>
      </c>
      <c r="C44" s="541" t="s">
        <v>52</v>
      </c>
      <c r="D44" s="542">
        <v>1</v>
      </c>
      <c r="E44" s="542">
        <v>431</v>
      </c>
      <c r="F44" s="515" t="s">
        <v>54</v>
      </c>
      <c r="G44" s="517"/>
      <c r="H44" s="516" t="s">
        <v>55</v>
      </c>
      <c r="I44" s="518"/>
      <c r="J44" s="517"/>
      <c r="K44" s="514"/>
      <c r="L44" s="516" t="s">
        <v>57</v>
      </c>
      <c r="M44" s="516" t="s">
        <v>58</v>
      </c>
      <c r="N44" s="516"/>
      <c r="O44" s="516" t="s">
        <v>69</v>
      </c>
      <c r="P44" s="516" t="s">
        <v>70</v>
      </c>
      <c r="Q44" s="516" t="s">
        <v>61</v>
      </c>
      <c r="R44" s="516" t="s">
        <v>71</v>
      </c>
      <c r="S44" s="516"/>
      <c r="T44" s="526" t="s">
        <v>155</v>
      </c>
      <c r="U44" s="516">
        <v>5</v>
      </c>
      <c r="V44" s="516"/>
      <c r="W44" s="516" t="s">
        <v>64</v>
      </c>
      <c r="X44" s="516"/>
      <c r="Y44" s="516"/>
      <c r="Z44" s="516"/>
      <c r="AA44" s="516"/>
      <c r="AB44" s="516"/>
      <c r="AC44" s="516"/>
      <c r="AD44" s="516"/>
      <c r="AE44" s="514">
        <f>IFERROR(IF(Хронология[[#This Row],[Забой, м]]-V43&lt;0, 0, Хронология[[#This Row],[Забой, м]]-V43), 0)</f>
        <v>0</v>
      </c>
      <c r="AF44" s="521">
        <f t="shared" si="0"/>
        <v>46153.291666666642</v>
      </c>
      <c r="AG44" s="521">
        <f>Хронология[[#This Row],[Начало]]+Хронология[[#This Row],[Сутки]]</f>
        <v>46153.499999999978</v>
      </c>
      <c r="AH44" s="522">
        <f>Хронология[[#This Row],[Часы]]/24</f>
        <v>0.20833333333333334</v>
      </c>
      <c r="AI44" s="522">
        <f>IFERROR(Хронология[[#This Row],[Сутки]]+AI43, Хронология[[#This Row],[Сутки]])</f>
        <v>8.6666666666666696</v>
      </c>
      <c r="AJ44"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ПНВ</v>
      </c>
      <c r="AK44"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v>
      </c>
      <c r="AL44"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5</v>
      </c>
      <c r="AM44" s="527">
        <f>IF(Хронология[[#This Row],[Результат]]="НПВ", Хронология[[#This Row],[Часы]], 0)</f>
        <v>0</v>
      </c>
      <c r="AN44" s="518">
        <f>SUMIFS(Хронология[НПВ], Хронология[Скважина], Хронология[[#This Row],[Скважина]], Хронология[Начало], "&lt;=" &amp; Хронология[[#This Row],[Начало]])</f>
        <v>4</v>
      </c>
      <c r="AO44" s="518">
        <f>SUMIFS(Хронология[ПНВ], Хронология[Скважина], Хронология[[#This Row],[Скважина]], Хронология[Начало], "&lt;=" &amp; Хронология[[#This Row],[Начало]])</f>
        <v>75.048000000000002</v>
      </c>
      <c r="AP44" s="523">
        <f>INT(ROUND(Хронология[[#This Row],[Начало]], 3))</f>
        <v>46153</v>
      </c>
      <c r="AQ44" s="524">
        <f>Хронология[[#This Row],[Начало]]-INT(Хронология[[#This Row],[Начало]])</f>
        <v>0.29166666664241347</v>
      </c>
      <c r="AR44" s="523">
        <f>INT(ROUND(Хронология[[#This Row],[Окончание]], 3))</f>
        <v>46153</v>
      </c>
      <c r="AS44" s="524">
        <f>Хронология[[#This Row],[Окончание]]-INT(Хронология[[#This Row],[Окончание]])</f>
        <v>0.49999999997817213</v>
      </c>
      <c r="AT44" s="524" t="str">
        <f>Хронология[[#This Row],[Мастер]] &amp; CHAR(10) &amp; Хронология[[#This Row],[Помощник мастера]] &amp; CHAR(10) &amp; Хронология[[#This Row],[Бурильщик]]</f>
        <v>Вдовин И.О.
Жангазиев С.К.</v>
      </c>
      <c r="AU44"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431 ОК– ДПМ Монтаж БО </v>
      </c>
      <c r="AV44" s="518" t="str">
        <f>Хронология[[#This Row],[Результат]]&amp;":  "&amp;Хронология[[#This Row],[Событие]]&amp; CHAR(10) &amp;Хронология[[#This Row],[Вид работ]]&amp;"  "&amp;Хронология[[#This Row],[Объект работ]]</f>
        <v>ПНВ:  
Монтаж  БО</v>
      </c>
      <c r="AW44" s="522">
        <f>SUMIF($AU$2:AU44, Хронология[[#This Row],[Ключ]], $AH$2:AH44)</f>
        <v>0.83333333333333337</v>
      </c>
      <c r="AX44" s="516" t="str">
        <f>Хронология[[#This Row],[Вид работ]] &amp; " " &amp; Хронология[[#This Row],[Объект работ]]</f>
        <v>Монтаж БО</v>
      </c>
      <c r="AZ44" s="339"/>
      <c r="BB44" s="339"/>
      <c r="BC44" s="339"/>
      <c r="BH44" s="247"/>
      <c r="BI44" s="247"/>
      <c r="BJ44" s="247"/>
      <c r="BK44" s="247"/>
      <c r="BL44" s="247"/>
      <c r="BM44" s="247"/>
      <c r="BN44" s="247"/>
      <c r="BO44" s="247"/>
      <c r="BP44" s="247"/>
      <c r="BQ44" s="247"/>
    </row>
    <row r="45" spans="1:69" ht="69" customHeight="1">
      <c r="A45" s="540" t="s">
        <v>50</v>
      </c>
      <c r="B45" s="541" t="s">
        <v>51</v>
      </c>
      <c r="C45" s="541" t="s">
        <v>52</v>
      </c>
      <c r="D45" s="542">
        <v>1</v>
      </c>
      <c r="E45" s="542">
        <v>431</v>
      </c>
      <c r="F45" s="515" t="s">
        <v>54</v>
      </c>
      <c r="G45" s="517"/>
      <c r="H45" s="516" t="s">
        <v>55</v>
      </c>
      <c r="I45" s="518"/>
      <c r="J45" s="517"/>
      <c r="K45" s="514"/>
      <c r="L45" s="516" t="s">
        <v>57</v>
      </c>
      <c r="M45" s="516" t="s">
        <v>58</v>
      </c>
      <c r="N45" s="516"/>
      <c r="O45" s="516" t="s">
        <v>69</v>
      </c>
      <c r="P45" s="516" t="s">
        <v>70</v>
      </c>
      <c r="Q45" s="516" t="s">
        <v>61</v>
      </c>
      <c r="R45" s="516" t="s">
        <v>71</v>
      </c>
      <c r="S45" s="516"/>
      <c r="T45" s="526" t="s">
        <v>156</v>
      </c>
      <c r="U45" s="516">
        <v>4</v>
      </c>
      <c r="V45" s="516"/>
      <c r="W45" s="516" t="s">
        <v>64</v>
      </c>
      <c r="X45" s="516"/>
      <c r="Y45" s="516"/>
      <c r="Z45" s="516"/>
      <c r="AA45" s="516"/>
      <c r="AB45" s="516"/>
      <c r="AC45" s="516"/>
      <c r="AD45" s="516"/>
      <c r="AE45" s="514">
        <f>IFERROR(IF(Хронология[[#This Row],[Забой, м]]-V44&lt;0, 0, Хронология[[#This Row],[Забой, м]]-V44), 0)</f>
        <v>0</v>
      </c>
      <c r="AF45" s="521">
        <f t="shared" si="0"/>
        <v>46153.499999999978</v>
      </c>
      <c r="AG45" s="521">
        <f>Хронология[[#This Row],[Начало]]+Хронология[[#This Row],[Сутки]]</f>
        <v>46153.666666666642</v>
      </c>
      <c r="AH45" s="522">
        <f>Хронология[[#This Row],[Часы]]/24</f>
        <v>0.16666666666666666</v>
      </c>
      <c r="AI45" s="522">
        <f>IFERROR(Хронология[[#This Row],[Сутки]]+AI44, Хронология[[#This Row],[Сутки]])</f>
        <v>8.8333333333333357</v>
      </c>
      <c r="AJ45"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ПНВ</v>
      </c>
      <c r="AK45"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v>
      </c>
      <c r="AL45"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4</v>
      </c>
      <c r="AM45" s="527">
        <f>IF(Хронология[[#This Row],[Результат]]="НПВ", Хронология[[#This Row],[Часы]], 0)</f>
        <v>0</v>
      </c>
      <c r="AN45" s="518">
        <f>SUMIFS(Хронология[НПВ], Хронология[Скважина], Хронология[[#This Row],[Скважина]], Хронология[Начало], "&lt;=" &amp; Хронология[[#This Row],[Начало]])</f>
        <v>4</v>
      </c>
      <c r="AO45" s="518">
        <f>SUMIFS(Хронология[ПНВ], Хронология[Скважина], Хронология[[#This Row],[Скважина]], Хронология[Начало], "&lt;=" &amp; Хронология[[#This Row],[Начало]])</f>
        <v>79.048000000000002</v>
      </c>
      <c r="AP45" s="523">
        <f>INT(ROUND(Хронология[[#This Row],[Начало]], 3))</f>
        <v>46153</v>
      </c>
      <c r="AQ45" s="524">
        <f>Хронология[[#This Row],[Начало]]-INT(Хронология[[#This Row],[Начало]])</f>
        <v>0.49999999997817213</v>
      </c>
      <c r="AR45" s="523">
        <f>INT(ROUND(Хронология[[#This Row],[Окончание]], 3))</f>
        <v>46153</v>
      </c>
      <c r="AS45" s="524">
        <f>Хронология[[#This Row],[Окончание]]-INT(Хронология[[#This Row],[Окончание]])</f>
        <v>0.66666666664241347</v>
      </c>
      <c r="AT45" s="524" t="str">
        <f>Хронология[[#This Row],[Мастер]] &amp; CHAR(10) &amp; Хронология[[#This Row],[Помощник мастера]] &amp; CHAR(10) &amp; Хронология[[#This Row],[Бурильщик]]</f>
        <v>Вдовин И.О.
Жангазиев С.К.</v>
      </c>
      <c r="AU45"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431 ОК– ДПМ Монтаж БО </v>
      </c>
      <c r="AV45" s="518" t="str">
        <f>Хронология[[#This Row],[Результат]]&amp;":  "&amp;Хронология[[#This Row],[Событие]]&amp; CHAR(10) &amp;Хронология[[#This Row],[Вид работ]]&amp;"  "&amp;Хронология[[#This Row],[Объект работ]]</f>
        <v>ПНВ:  
Монтаж  БО</v>
      </c>
      <c r="AW45" s="522">
        <f>SUMIF($AU$2:AU45, Хронология[[#This Row],[Ключ]], $AH$2:AH45)</f>
        <v>1</v>
      </c>
      <c r="AX45" s="516" t="str">
        <f>Хронология[[#This Row],[Вид работ]] &amp; " " &amp; Хронология[[#This Row],[Объект работ]]</f>
        <v>Монтаж БО</v>
      </c>
      <c r="AZ45" s="339"/>
      <c r="BB45" s="339"/>
      <c r="BC45" s="339"/>
      <c r="BH45" s="247"/>
      <c r="BI45" s="247"/>
      <c r="BJ45" s="247"/>
      <c r="BK45" s="247"/>
      <c r="BL45" s="247"/>
      <c r="BM45" s="247"/>
      <c r="BN45" s="247"/>
      <c r="BO45" s="247"/>
      <c r="BP45" s="247"/>
      <c r="BQ45" s="247"/>
    </row>
    <row r="46" spans="1:69" ht="69" customHeight="1">
      <c r="A46" s="540" t="s">
        <v>50</v>
      </c>
      <c r="B46" s="541" t="s">
        <v>51</v>
      </c>
      <c r="C46" s="541" t="s">
        <v>52</v>
      </c>
      <c r="D46" s="542">
        <v>1</v>
      </c>
      <c r="E46" s="542">
        <v>431</v>
      </c>
      <c r="F46" s="515" t="s">
        <v>54</v>
      </c>
      <c r="G46" s="517"/>
      <c r="H46" s="516" t="s">
        <v>55</v>
      </c>
      <c r="I46" s="518"/>
      <c r="J46" s="517"/>
      <c r="K46" s="515"/>
      <c r="L46" s="516" t="s">
        <v>59</v>
      </c>
      <c r="M46" s="516" t="s">
        <v>58</v>
      </c>
      <c r="N46" s="516"/>
      <c r="O46" s="516" t="s">
        <v>69</v>
      </c>
      <c r="P46" s="516" t="s">
        <v>157</v>
      </c>
      <c r="Q46" s="516" t="s">
        <v>86</v>
      </c>
      <c r="R46" s="516" t="s">
        <v>158</v>
      </c>
      <c r="S46" s="516"/>
      <c r="T46" s="526" t="s">
        <v>159</v>
      </c>
      <c r="U46" s="516">
        <v>4</v>
      </c>
      <c r="V46" s="516"/>
      <c r="W46" s="516" t="s">
        <v>64</v>
      </c>
      <c r="X46" s="516" t="s">
        <v>65</v>
      </c>
      <c r="Y46" s="516"/>
      <c r="Z46" s="516"/>
      <c r="AA46" s="516"/>
      <c r="AB46" s="516"/>
      <c r="AC46" s="516"/>
      <c r="AD46" s="516"/>
      <c r="AE46" s="514">
        <f>IFERROR(IF(Хронология[[#This Row],[Забой, м]]-V45&lt;0, 0, Хронология[[#This Row],[Забой, м]]-V45), 0)</f>
        <v>0</v>
      </c>
      <c r="AF46" s="521">
        <f t="shared" si="0"/>
        <v>46153.666666666642</v>
      </c>
      <c r="AG46" s="521">
        <f>Хронология[[#This Row],[Начало]]+Хронология[[#This Row],[Сутки]]</f>
        <v>46153.833333333307</v>
      </c>
      <c r="AH46" s="522">
        <f>Хронология[[#This Row],[Часы]]/24</f>
        <v>0.16666666666666666</v>
      </c>
      <c r="AI46" s="522">
        <f>IFERROR(Хронология[[#This Row],[Сутки]]+AI45, Хронология[[#This Row],[Сутки]])</f>
        <v>9.0000000000000018</v>
      </c>
      <c r="AJ46"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ПНВ</v>
      </c>
      <c r="AK46"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0.45440000000000014</v>
      </c>
      <c r="AL46"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3.5455999999999999</v>
      </c>
      <c r="AM46" s="527">
        <f>IF(Хронология[[#This Row],[Результат]]="НПВ", Хронология[[#This Row],[Часы]], 0)</f>
        <v>0</v>
      </c>
      <c r="AN46" s="518">
        <f>SUMIFS(Хронология[НПВ], Хронология[Скважина], Хронология[[#This Row],[Скважина]], Хронология[Начало], "&lt;=" &amp; Хронология[[#This Row],[Начало]])</f>
        <v>4</v>
      </c>
      <c r="AO46" s="518">
        <f>SUMIFS(Хронология[ПНВ], Хронология[Скважина], Хронология[[#This Row],[Скважина]], Хронология[Начало], "&lt;=" &amp; Хронология[[#This Row],[Начало]])</f>
        <v>82.593599999999995</v>
      </c>
      <c r="AP46" s="523">
        <f>INT(ROUND(Хронология[[#This Row],[Начало]], 3))</f>
        <v>46153</v>
      </c>
      <c r="AQ46" s="524">
        <f>Хронология[[#This Row],[Начало]]-INT(Хронология[[#This Row],[Начало]])</f>
        <v>0.66666666664241347</v>
      </c>
      <c r="AR46" s="523">
        <f>INT(ROUND(Хронология[[#This Row],[Окончание]], 3))</f>
        <v>46153</v>
      </c>
      <c r="AS46" s="524">
        <f>Хронология[[#This Row],[Окончание]]-INT(Хронология[[#This Row],[Окончание]])</f>
        <v>0.83333333330665482</v>
      </c>
      <c r="AT46" s="524" t="str">
        <f>Хронология[[#This Row],[Мастер]] &amp; CHAR(10) &amp; Хронология[[#This Row],[Помощник мастера]] &amp; CHAR(10) &amp; Хронология[[#This Row],[Бурильщик]]</f>
        <v>Вдовин И.О.
Жангазиев С.К.</v>
      </c>
      <c r="AU46"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431 ОК– ПР Монтаж линии Линия глушения </v>
      </c>
      <c r="AV46" s="518" t="str">
        <f>Хронология[[#This Row],[Результат]]&amp;":  "&amp;Хронология[[#This Row],[Событие]]&amp; CHAR(10) &amp;Хронология[[#This Row],[Вид работ]]&amp;"  "&amp;Хронология[[#This Row],[Объект работ]]</f>
        <v>ПНВ:  
Монтаж линии  Линия глушения</v>
      </c>
      <c r="AW46" s="522">
        <f>SUMIF($AU$2:AU46, Хронология[[#This Row],[Ключ]], $AH$2:AH46)</f>
        <v>0.16666666666666666</v>
      </c>
      <c r="AX46" s="516" t="str">
        <f>Хронология[[#This Row],[Вид работ]] &amp; " " &amp; Хронология[[#This Row],[Объект работ]]</f>
        <v>Монтаж линии Линия глушения</v>
      </c>
      <c r="AZ46" s="339"/>
      <c r="BB46" s="339"/>
      <c r="BC46" s="339"/>
      <c r="BH46" s="247"/>
      <c r="BI46" s="247"/>
      <c r="BJ46" s="247"/>
      <c r="BK46" s="247"/>
      <c r="BL46" s="247"/>
      <c r="BM46" s="247"/>
      <c r="BN46" s="247"/>
      <c r="BO46" s="247"/>
      <c r="BP46" s="247"/>
      <c r="BQ46" s="247"/>
    </row>
    <row r="47" spans="1:69" ht="69" customHeight="1">
      <c r="A47" s="540" t="s">
        <v>50</v>
      </c>
      <c r="B47" s="541" t="s">
        <v>51</v>
      </c>
      <c r="C47" s="541" t="s">
        <v>52</v>
      </c>
      <c r="D47" s="542">
        <v>1</v>
      </c>
      <c r="E47" s="542">
        <v>431</v>
      </c>
      <c r="F47" s="515" t="s">
        <v>54</v>
      </c>
      <c r="G47" s="517"/>
      <c r="H47" s="516" t="s">
        <v>55</v>
      </c>
      <c r="I47" s="518"/>
      <c r="J47" s="517"/>
      <c r="K47" s="515"/>
      <c r="L47" s="516" t="s">
        <v>59</v>
      </c>
      <c r="M47" s="516" t="s">
        <v>58</v>
      </c>
      <c r="N47" s="516"/>
      <c r="O47" s="516" t="s">
        <v>69</v>
      </c>
      <c r="P47" s="516" t="s">
        <v>157</v>
      </c>
      <c r="Q47" s="516" t="s">
        <v>86</v>
      </c>
      <c r="R47" s="516" t="s">
        <v>158</v>
      </c>
      <c r="S47" s="516"/>
      <c r="T47" s="526" t="s">
        <v>160</v>
      </c>
      <c r="U47" s="516">
        <v>4</v>
      </c>
      <c r="V47" s="516"/>
      <c r="W47" s="516" t="s">
        <v>64</v>
      </c>
      <c r="X47" s="516"/>
      <c r="Y47" s="516"/>
      <c r="Z47" s="516"/>
      <c r="AA47" s="516"/>
      <c r="AB47" s="516"/>
      <c r="AC47" s="516"/>
      <c r="AD47" s="516"/>
      <c r="AE47" s="514">
        <f>IFERROR(IF(Хронология[[#This Row],[Забой, м]]-V46&lt;0, 0, Хронология[[#This Row],[Забой, м]]-V46), 0)</f>
        <v>0</v>
      </c>
      <c r="AF47" s="521">
        <f t="shared" si="0"/>
        <v>46153.833333333307</v>
      </c>
      <c r="AG47" s="521">
        <f>Хронология[[#This Row],[Начало]]+Хронология[[#This Row],[Сутки]]</f>
        <v>46153.999999999971</v>
      </c>
      <c r="AH47" s="522">
        <f>Хронология[[#This Row],[Часы]]/24</f>
        <v>0.16666666666666666</v>
      </c>
      <c r="AI47" s="522">
        <f>IFERROR(Хронология[[#This Row],[Сутки]]+AI46, Хронология[[#This Row],[Сутки]])</f>
        <v>9.1666666666666679</v>
      </c>
      <c r="AJ47"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ПНВ</v>
      </c>
      <c r="AK47"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v>
      </c>
      <c r="AL47"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4</v>
      </c>
      <c r="AM47" s="527">
        <f>IF(Хронология[[#This Row],[Результат]]="НПВ", Хронология[[#This Row],[Часы]], 0)</f>
        <v>0</v>
      </c>
      <c r="AN47" s="518">
        <f>SUMIFS(Хронология[НПВ], Хронология[Скважина], Хронология[[#This Row],[Скважина]], Хронология[Начало], "&lt;=" &amp; Хронология[[#This Row],[Начало]])</f>
        <v>4</v>
      </c>
      <c r="AO47" s="518">
        <f>SUMIFS(Хронология[ПНВ], Хронология[Скважина], Хронология[[#This Row],[Скважина]], Хронология[Начало], "&lt;=" &amp; Хронология[[#This Row],[Начало]])</f>
        <v>86.593599999999995</v>
      </c>
      <c r="AP47" s="523">
        <f>INT(ROUND(Хронология[[#This Row],[Начало]], 3))</f>
        <v>46153</v>
      </c>
      <c r="AQ47" s="524">
        <f>Хронология[[#This Row],[Начало]]-INT(Хронология[[#This Row],[Начало]])</f>
        <v>0.83333333330665482</v>
      </c>
      <c r="AR47" s="523">
        <f>INT(ROUND(Хронология[[#This Row],[Окончание]], 3))</f>
        <v>46154</v>
      </c>
      <c r="AS47" s="524">
        <f>Хронология[[#This Row],[Окончание]]-INT(Хронология[[#This Row],[Окончание]])</f>
        <v>0</v>
      </c>
      <c r="AT47" s="524" t="str">
        <f>Хронология[[#This Row],[Мастер]] &amp; CHAR(10) &amp; Хронология[[#This Row],[Помощник мастера]] &amp; CHAR(10) &amp; Хронология[[#This Row],[Бурильщик]]</f>
        <v>Вдовин И.О.
Жангазиев С.К.</v>
      </c>
      <c r="AU47"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431 ОК– ПР Монтаж линии Линия глушения </v>
      </c>
      <c r="AV47" s="518" t="str">
        <f>Хронология[[#This Row],[Результат]]&amp;":  "&amp;Хронология[[#This Row],[Событие]]&amp; CHAR(10) &amp;Хронология[[#This Row],[Вид работ]]&amp;"  "&amp;Хронология[[#This Row],[Объект работ]]</f>
        <v>ПНВ:  
Монтаж линии  Линия глушения</v>
      </c>
      <c r="AW47" s="522">
        <f>SUMIF($AU$2:AU47, Хронология[[#This Row],[Ключ]], $AH$2:AH47)</f>
        <v>0.33333333333333331</v>
      </c>
      <c r="AX47" s="516" t="str">
        <f>Хронология[[#This Row],[Вид работ]] &amp; " " &amp; Хронология[[#This Row],[Объект работ]]</f>
        <v>Монтаж линии Линия глушения</v>
      </c>
      <c r="AZ47" s="339"/>
      <c r="BB47" s="339"/>
      <c r="BC47" s="339"/>
      <c r="BH47" s="247"/>
      <c r="BI47" s="247"/>
      <c r="BJ47" s="247"/>
      <c r="BK47" s="247"/>
      <c r="BL47" s="247"/>
      <c r="BM47" s="247"/>
      <c r="BN47" s="247"/>
      <c r="BO47" s="247"/>
      <c r="BP47" s="247"/>
      <c r="BQ47" s="247"/>
    </row>
    <row r="48" spans="1:69" ht="69" customHeight="1">
      <c r="A48" s="540" t="s">
        <v>50</v>
      </c>
      <c r="B48" s="541" t="s">
        <v>51</v>
      </c>
      <c r="C48" s="541" t="s">
        <v>52</v>
      </c>
      <c r="D48" s="542">
        <v>1</v>
      </c>
      <c r="E48" s="542">
        <v>431</v>
      </c>
      <c r="F48" s="515" t="s">
        <v>66</v>
      </c>
      <c r="G48" s="517"/>
      <c r="H48" s="516" t="s">
        <v>67</v>
      </c>
      <c r="I48" s="518"/>
      <c r="J48" s="517"/>
      <c r="K48" s="515"/>
      <c r="L48" s="516" t="s">
        <v>59</v>
      </c>
      <c r="M48" s="516" t="s">
        <v>58</v>
      </c>
      <c r="N48" s="516"/>
      <c r="O48" s="516" t="s">
        <v>111</v>
      </c>
      <c r="P48" s="516" t="s">
        <v>150</v>
      </c>
      <c r="Q48" s="516" t="s">
        <v>86</v>
      </c>
      <c r="R48" s="516" t="s">
        <v>161</v>
      </c>
      <c r="S48" s="516"/>
      <c r="T48" s="526" t="s">
        <v>162</v>
      </c>
      <c r="U48" s="516">
        <v>7</v>
      </c>
      <c r="V48" s="516"/>
      <c r="W48" s="516" t="s">
        <v>64</v>
      </c>
      <c r="X48" s="516" t="s">
        <v>65</v>
      </c>
      <c r="Y48" s="516"/>
      <c r="Z48" s="516"/>
      <c r="AA48" s="516"/>
      <c r="AB48" s="516"/>
      <c r="AC48" s="516"/>
      <c r="AD48" s="516"/>
      <c r="AE48" s="514">
        <f>IFERROR(IF(Хронология[[#This Row],[Забой, м]]-V47&lt;0, 0, Хронология[[#This Row],[Забой, м]]-V47), 0)</f>
        <v>0</v>
      </c>
      <c r="AF48" s="521">
        <f t="shared" si="0"/>
        <v>46153.999999999971</v>
      </c>
      <c r="AG48" s="521">
        <f>Хронология[[#This Row],[Начало]]+Хронология[[#This Row],[Сутки]]</f>
        <v>46154.291666666635</v>
      </c>
      <c r="AH48" s="522">
        <f>Хронология[[#This Row],[Часы]]/24</f>
        <v>0.29166666666666669</v>
      </c>
      <c r="AI48" s="522">
        <f>IFERROR(Хронология[[#This Row],[Сутки]]+AI47, Хронология[[#This Row],[Сутки]])</f>
        <v>9.4583333333333339</v>
      </c>
      <c r="AJ48"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ПНВ</v>
      </c>
      <c r="AK48"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0.50399999999999956</v>
      </c>
      <c r="AL48"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6.4960000000000004</v>
      </c>
      <c r="AM48" s="527">
        <f>IF(Хронология[[#This Row],[Результат]]="НПВ", Хронология[[#This Row],[Часы]], 0)</f>
        <v>0</v>
      </c>
      <c r="AN48" s="518">
        <f>SUMIFS(Хронология[НПВ], Хронология[Скважина], Хронология[[#This Row],[Скважина]], Хронология[Начало], "&lt;=" &amp; Хронология[[#This Row],[Начало]])</f>
        <v>4</v>
      </c>
      <c r="AO48" s="518">
        <f>SUMIFS(Хронология[ПНВ], Хронология[Скважина], Хронология[[#This Row],[Скважина]], Хронология[Начало], "&lt;=" &amp; Хронология[[#This Row],[Начало]])</f>
        <v>93.08959999999999</v>
      </c>
      <c r="AP48" s="523">
        <f>INT(ROUND(Хронология[[#This Row],[Начало]], 3))</f>
        <v>46154</v>
      </c>
      <c r="AQ48" s="524">
        <f>Хронология[[#This Row],[Начало]]-INT(Хронология[[#This Row],[Начало]])</f>
        <v>0</v>
      </c>
      <c r="AR48" s="523">
        <f>INT(ROUND(Хронология[[#This Row],[Окончание]], 3))</f>
        <v>46154</v>
      </c>
      <c r="AS48" s="524">
        <f>Хронология[[#This Row],[Окончание]]-INT(Хронология[[#This Row],[Окончание]])</f>
        <v>0.29166666663513752</v>
      </c>
      <c r="AT48" s="524" t="str">
        <f>Хронология[[#This Row],[Мастер]] &amp; CHAR(10) &amp; Хронология[[#This Row],[Помощник мастера]] &amp; CHAR(10) &amp; Хронология[[#This Row],[Бурильщик]]</f>
        <v>Жабин П.П.
Керимов Н.К.</v>
      </c>
      <c r="AU48"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431 ОК– ПР Опрессовка ПВО </v>
      </c>
      <c r="AV48" s="518" t="str">
        <f>Хронология[[#This Row],[Результат]]&amp;":  "&amp;Хронология[[#This Row],[Событие]]&amp; CHAR(10) &amp;Хронология[[#This Row],[Вид работ]]&amp;"  "&amp;Хронология[[#This Row],[Объект работ]]</f>
        <v>ПНВ:  
Опрессовка  ПВО</v>
      </c>
      <c r="AW48" s="522">
        <f>SUMIF($AU$2:AU48, Хронология[[#This Row],[Ключ]], $AH$2:AH48)</f>
        <v>0.29166666666666669</v>
      </c>
      <c r="AX48" s="516" t="str">
        <f>Хронология[[#This Row],[Вид работ]] &amp; " " &amp; Хронология[[#This Row],[Объект работ]]</f>
        <v>Опрессовка ПВО</v>
      </c>
      <c r="AZ48" s="339"/>
      <c r="BB48" s="339"/>
      <c r="BC48" s="339"/>
      <c r="BH48" s="247"/>
      <c r="BI48" s="247"/>
      <c r="BJ48" s="247"/>
      <c r="BK48" s="247"/>
      <c r="BL48" s="247"/>
      <c r="BM48" s="247"/>
      <c r="BN48" s="247"/>
      <c r="BO48" s="247"/>
      <c r="BP48" s="247"/>
      <c r="BQ48" s="247"/>
    </row>
    <row r="49" spans="1:59" s="247" customFormat="1" ht="69" customHeight="1">
      <c r="A49" s="540" t="s">
        <v>50</v>
      </c>
      <c r="B49" s="541" t="s">
        <v>51</v>
      </c>
      <c r="C49" s="541" t="s">
        <v>52</v>
      </c>
      <c r="D49" s="542">
        <v>1</v>
      </c>
      <c r="E49" s="542">
        <v>431</v>
      </c>
      <c r="F49" s="515" t="s">
        <v>54</v>
      </c>
      <c r="G49" s="517"/>
      <c r="H49" s="516" t="s">
        <v>55</v>
      </c>
      <c r="I49" s="518"/>
      <c r="J49" s="517"/>
      <c r="K49" s="515"/>
      <c r="L49" s="516" t="s">
        <v>59</v>
      </c>
      <c r="M49" s="516" t="s">
        <v>76</v>
      </c>
      <c r="N49" s="516" t="s">
        <v>141</v>
      </c>
      <c r="O49" s="516" t="s">
        <v>142</v>
      </c>
      <c r="P49" s="516" t="s">
        <v>143</v>
      </c>
      <c r="Q49" s="516" t="s">
        <v>86</v>
      </c>
      <c r="R49" s="516" t="s">
        <v>161</v>
      </c>
      <c r="S49" s="516"/>
      <c r="T49" s="526" t="s">
        <v>163</v>
      </c>
      <c r="U49" s="516">
        <v>5</v>
      </c>
      <c r="V49" s="516"/>
      <c r="W49" s="516" t="s">
        <v>64</v>
      </c>
      <c r="X49" s="516" t="s">
        <v>146</v>
      </c>
      <c r="Y49" s="516"/>
      <c r="Z49" s="516"/>
      <c r="AA49" s="516"/>
      <c r="AB49" s="516"/>
      <c r="AC49" s="516"/>
      <c r="AD49" s="516"/>
      <c r="AE49" s="514">
        <f>IFERROR(IF(Хронология[[#This Row],[Забой, м]]-V48&lt;0, 0, Хронология[[#This Row],[Забой, м]]-V48), 0)</f>
        <v>0</v>
      </c>
      <c r="AF49" s="521">
        <f t="shared" si="0"/>
        <v>46154.291666666635</v>
      </c>
      <c r="AG49" s="521">
        <f>Хронология[[#This Row],[Начало]]+Хронология[[#This Row],[Сутки]]</f>
        <v>46154.499999999971</v>
      </c>
      <c r="AH49" s="522">
        <f>Хронология[[#This Row],[Часы]]/24</f>
        <v>0.20833333333333334</v>
      </c>
      <c r="AI49" s="522">
        <f>IFERROR(Хронология[[#This Row],[Сутки]]+AI48, Хронология[[#This Row],[Сутки]])</f>
        <v>9.6666666666666679</v>
      </c>
      <c r="AJ49"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НПВ</v>
      </c>
      <c r="AK49"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v>
      </c>
      <c r="AL49"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v>
      </c>
      <c r="AM49" s="527">
        <f>IF(Хронология[[#This Row],[Результат]]="НПВ", Хронология[[#This Row],[Часы]], 0)</f>
        <v>5</v>
      </c>
      <c r="AN49" s="518">
        <f>SUMIFS(Хронология[НПВ], Хронология[Скважина], Хронология[[#This Row],[Скважина]], Хронология[Начало], "&lt;=" &amp; Хронология[[#This Row],[Начало]])</f>
        <v>9</v>
      </c>
      <c r="AO49" s="518">
        <f>SUMIFS(Хронология[ПНВ], Хронология[Скважина], Хронология[[#This Row],[Скважина]], Хронология[Начало], "&lt;=" &amp; Хронология[[#This Row],[Начало]])</f>
        <v>93.08959999999999</v>
      </c>
      <c r="AP49" s="523">
        <f>INT(ROUND(Хронология[[#This Row],[Начало]], 3))</f>
        <v>46154</v>
      </c>
      <c r="AQ49" s="524">
        <f>Хронология[[#This Row],[Начало]]-INT(Хронология[[#This Row],[Начало]])</f>
        <v>0.29166666663513752</v>
      </c>
      <c r="AR49" s="523">
        <f>INT(ROUND(Хронология[[#This Row],[Окончание]], 3))</f>
        <v>46154</v>
      </c>
      <c r="AS49" s="524">
        <f>Хронология[[#This Row],[Окончание]]-INT(Хронология[[#This Row],[Окончание]])</f>
        <v>0.49999999997089617</v>
      </c>
      <c r="AT49" s="524" t="str">
        <f>Хронология[[#This Row],[Мастер]] &amp; CHAR(10) &amp; Хронология[[#This Row],[Помощник мастера]] &amp; CHAR(10) &amp; Хронология[[#This Row],[Бурильщик]]</f>
        <v>Вдовин И.О.
Жангазиев С.К.</v>
      </c>
      <c r="AU49"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431 ОК– ПР Орг_простой Внеплановый ремонт Замена ПВО </v>
      </c>
      <c r="AV49" s="518" t="str">
        <f>Хронология[[#This Row],[Результат]]&amp;":  "&amp;Хронология[[#This Row],[Событие]]&amp; CHAR(10) &amp;Хронология[[#This Row],[Вид работ]]&amp;"  "&amp;Хронология[[#This Row],[Объект работ]]</f>
        <v>НПВ:  Внеплановый ремонт
Замена  ПВО</v>
      </c>
      <c r="AW49" s="522">
        <f>SUMIF($AU$2:AU49, Хронология[[#This Row],[Ключ]], $AH$2:AH49)</f>
        <v>0.20833333333333334</v>
      </c>
      <c r="AX49" s="516" t="str">
        <f>Хронология[[#This Row],[Вид работ]] &amp; " " &amp; Хронология[[#This Row],[Объект работ]]</f>
        <v>Замена ПВО</v>
      </c>
      <c r="AY49" s="339"/>
      <c r="AZ49" s="339"/>
      <c r="BA49" s="339"/>
      <c r="BB49" s="339"/>
      <c r="BC49" s="339"/>
      <c r="BD49" s="339"/>
      <c r="BE49" s="339"/>
      <c r="BF49" s="339"/>
      <c r="BG49" s="339"/>
    </row>
    <row r="50" spans="1:59" s="247" customFormat="1" ht="69" customHeight="1">
      <c r="A50" s="540" t="s">
        <v>50</v>
      </c>
      <c r="B50" s="541" t="s">
        <v>51</v>
      </c>
      <c r="C50" s="541" t="s">
        <v>52</v>
      </c>
      <c r="D50" s="542">
        <v>1</v>
      </c>
      <c r="E50" s="542">
        <v>431</v>
      </c>
      <c r="F50" s="515" t="s">
        <v>54</v>
      </c>
      <c r="G50" s="517"/>
      <c r="H50" s="516" t="s">
        <v>55</v>
      </c>
      <c r="I50" s="518"/>
      <c r="J50" s="517"/>
      <c r="K50" s="515"/>
      <c r="L50" s="516" t="s">
        <v>59</v>
      </c>
      <c r="M50" s="516" t="s">
        <v>58</v>
      </c>
      <c r="N50" s="516"/>
      <c r="O50" s="516" t="s">
        <v>111</v>
      </c>
      <c r="P50" s="516" t="s">
        <v>150</v>
      </c>
      <c r="Q50" s="516" t="s">
        <v>86</v>
      </c>
      <c r="R50" s="516" t="s">
        <v>161</v>
      </c>
      <c r="S50" s="516"/>
      <c r="T50" s="526" t="s">
        <v>164</v>
      </c>
      <c r="U50" s="516">
        <v>4</v>
      </c>
      <c r="V50" s="516"/>
      <c r="W50" s="516" t="s">
        <v>64</v>
      </c>
      <c r="X50" s="516" t="s">
        <v>65</v>
      </c>
      <c r="Y50" s="516"/>
      <c r="Z50" s="516"/>
      <c r="AA50" s="516"/>
      <c r="AB50" s="516"/>
      <c r="AC50" s="516"/>
      <c r="AD50" s="516"/>
      <c r="AE50" s="514">
        <f>IFERROR(IF(Хронология[[#This Row],[Забой, м]]-V49&lt;0, 0, Хронология[[#This Row],[Забой, м]]-V49), 0)</f>
        <v>0</v>
      </c>
      <c r="AF50" s="521">
        <f t="shared" si="0"/>
        <v>46154.499999999971</v>
      </c>
      <c r="AG50" s="521">
        <f>Хронология[[#This Row],[Начало]]+Хронология[[#This Row],[Сутки]]</f>
        <v>46154.666666666635</v>
      </c>
      <c r="AH50" s="522">
        <f>Хронология[[#This Row],[Часы]]/24</f>
        <v>0.16666666666666666</v>
      </c>
      <c r="AI50" s="522">
        <f>IFERROR(Хронология[[#This Row],[Сутки]]+AI49, Хронология[[#This Row],[Сутки]])</f>
        <v>9.8333333333333339</v>
      </c>
      <c r="AJ50"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ПНВ</v>
      </c>
      <c r="AK50"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v>
      </c>
      <c r="AL50"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4</v>
      </c>
      <c r="AM50" s="527">
        <f>IF(Хронология[[#This Row],[Результат]]="НПВ", Хронология[[#This Row],[Часы]], 0)</f>
        <v>0</v>
      </c>
      <c r="AN50" s="518">
        <f>SUMIFS(Хронология[НПВ], Хронология[Скважина], Хронология[[#This Row],[Скважина]], Хронология[Начало], "&lt;=" &amp; Хронология[[#This Row],[Начало]])</f>
        <v>9</v>
      </c>
      <c r="AO50" s="518">
        <f>SUMIFS(Хронология[ПНВ], Хронология[Скважина], Хронология[[#This Row],[Скважина]], Хронология[Начало], "&lt;=" &amp; Хронология[[#This Row],[Начало]])</f>
        <v>97.08959999999999</v>
      </c>
      <c r="AP50" s="523">
        <f>INT(ROUND(Хронология[[#This Row],[Начало]], 3))</f>
        <v>46154</v>
      </c>
      <c r="AQ50" s="524">
        <f>Хронология[[#This Row],[Начало]]-INT(Хронология[[#This Row],[Начало]])</f>
        <v>0.49999999997089617</v>
      </c>
      <c r="AR50" s="523">
        <f>INT(ROUND(Хронология[[#This Row],[Окончание]], 3))</f>
        <v>46154</v>
      </c>
      <c r="AS50" s="524">
        <f>Хронология[[#This Row],[Окончание]]-INT(Хронология[[#This Row],[Окончание]])</f>
        <v>0.66666666663513752</v>
      </c>
      <c r="AT50" s="524" t="str">
        <f>Хронология[[#This Row],[Мастер]] &amp; CHAR(10) &amp; Хронология[[#This Row],[Помощник мастера]] &amp; CHAR(10) &amp; Хронология[[#This Row],[Бурильщик]]</f>
        <v>Вдовин И.О.
Жангазиев С.К.</v>
      </c>
      <c r="AU50"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431 ОК– ПР Опрессовка ПВО </v>
      </c>
      <c r="AV50" s="518" t="str">
        <f>Хронология[[#This Row],[Результат]]&amp;":  "&amp;Хронология[[#This Row],[Событие]]&amp; CHAR(10) &amp;Хронология[[#This Row],[Вид работ]]&amp;"  "&amp;Хронология[[#This Row],[Объект работ]]</f>
        <v>ПНВ:  
Опрессовка  ПВО</v>
      </c>
      <c r="AW50" s="522">
        <f>SUMIF($AU$2:AU50, Хронология[[#This Row],[Ключ]], $AH$2:AH50)</f>
        <v>0.45833333333333337</v>
      </c>
      <c r="AX50" s="516" t="str">
        <f>Хронология[[#This Row],[Вид работ]] &amp; " " &amp; Хронология[[#This Row],[Объект работ]]</f>
        <v>Опрессовка ПВО</v>
      </c>
      <c r="AY50" s="339"/>
      <c r="AZ50" s="339"/>
      <c r="BA50" s="339"/>
      <c r="BB50" s="339"/>
      <c r="BC50" s="339"/>
      <c r="BD50" s="339"/>
      <c r="BE50" s="339"/>
      <c r="BF50" s="339"/>
      <c r="BG50" s="339"/>
    </row>
    <row r="51" spans="1:59" s="247" customFormat="1" ht="69" customHeight="1">
      <c r="A51" s="540" t="s">
        <v>50</v>
      </c>
      <c r="B51" s="541" t="s">
        <v>51</v>
      </c>
      <c r="C51" s="541" t="s">
        <v>52</v>
      </c>
      <c r="D51" s="542">
        <v>1</v>
      </c>
      <c r="E51" s="542">
        <v>431</v>
      </c>
      <c r="F51" s="515" t="s">
        <v>54</v>
      </c>
      <c r="G51" s="517"/>
      <c r="H51" s="516" t="s">
        <v>55</v>
      </c>
      <c r="I51" s="518"/>
      <c r="J51" s="517"/>
      <c r="K51" s="515"/>
      <c r="L51" s="516" t="s">
        <v>59</v>
      </c>
      <c r="M51" s="516" t="s">
        <v>58</v>
      </c>
      <c r="N51" s="516"/>
      <c r="O51" s="516" t="s">
        <v>111</v>
      </c>
      <c r="P51" s="516" t="s">
        <v>150</v>
      </c>
      <c r="Q51" s="516" t="s">
        <v>86</v>
      </c>
      <c r="R51" s="516" t="s">
        <v>161</v>
      </c>
      <c r="S51" s="516"/>
      <c r="T51" s="526" t="s">
        <v>165</v>
      </c>
      <c r="U51" s="516">
        <v>4</v>
      </c>
      <c r="V51" s="516"/>
      <c r="W51" s="516" t="s">
        <v>64</v>
      </c>
      <c r="X51" s="516" t="s">
        <v>65</v>
      </c>
      <c r="Y51" s="516"/>
      <c r="Z51" s="516"/>
      <c r="AA51" s="516"/>
      <c r="AB51" s="516"/>
      <c r="AC51" s="516"/>
      <c r="AD51" s="516"/>
      <c r="AE51" s="514">
        <f>IFERROR(IF(Хронология[[#This Row],[Забой, м]]-V50&lt;0, 0, Хронология[[#This Row],[Забой, м]]-V50), 0)</f>
        <v>0</v>
      </c>
      <c r="AF51" s="521">
        <f t="shared" si="0"/>
        <v>46154.666666666635</v>
      </c>
      <c r="AG51" s="521">
        <f>Хронология[[#This Row],[Начало]]+Хронология[[#This Row],[Сутки]]</f>
        <v>46154.833333333299</v>
      </c>
      <c r="AH51" s="522">
        <f>Хронология[[#This Row],[Часы]]/24</f>
        <v>0.16666666666666666</v>
      </c>
      <c r="AI51" s="522">
        <f>IFERROR(Хронология[[#This Row],[Сутки]]+AI50, Хронология[[#This Row],[Сутки]])</f>
        <v>10</v>
      </c>
      <c r="AJ51"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ПНВ</v>
      </c>
      <c r="AK51"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v>
      </c>
      <c r="AL51"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4</v>
      </c>
      <c r="AM51" s="527">
        <f>IF(Хронология[[#This Row],[Результат]]="НПВ", Хронология[[#This Row],[Часы]], 0)</f>
        <v>0</v>
      </c>
      <c r="AN51" s="518">
        <f>SUMIFS(Хронология[НПВ], Хронология[Скважина], Хронология[[#This Row],[Скважина]], Хронология[Начало], "&lt;=" &amp; Хронология[[#This Row],[Начало]])</f>
        <v>9</v>
      </c>
      <c r="AO51" s="518">
        <f>SUMIFS(Хронология[ПНВ], Хронология[Скважина], Хронология[[#This Row],[Скважина]], Хронология[Начало], "&lt;=" &amp; Хронология[[#This Row],[Начало]])</f>
        <v>101.08959999999999</v>
      </c>
      <c r="AP51" s="523">
        <f>INT(ROUND(Хронология[[#This Row],[Начало]], 3))</f>
        <v>46154</v>
      </c>
      <c r="AQ51" s="524">
        <f>Хронология[[#This Row],[Начало]]-INT(Хронология[[#This Row],[Начало]])</f>
        <v>0.66666666663513752</v>
      </c>
      <c r="AR51" s="523">
        <f>INT(ROUND(Хронология[[#This Row],[Окончание]], 3))</f>
        <v>46154</v>
      </c>
      <c r="AS51" s="524">
        <f>Хронология[[#This Row],[Окончание]]-INT(Хронология[[#This Row],[Окончание]])</f>
        <v>0.83333333329937886</v>
      </c>
      <c r="AT51" s="524" t="str">
        <f>Хронология[[#This Row],[Мастер]] &amp; CHAR(10) &amp; Хронология[[#This Row],[Помощник мастера]] &amp; CHAR(10) &amp; Хронология[[#This Row],[Бурильщик]]</f>
        <v>Вдовин И.О.
Жангазиев С.К.</v>
      </c>
      <c r="AU51"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431 ОК– ПР Опрессовка ПВО </v>
      </c>
      <c r="AV51" s="518" t="str">
        <f>Хронология[[#This Row],[Результат]]&amp;":  "&amp;Хронология[[#This Row],[Событие]]&amp; CHAR(10) &amp;Хронология[[#This Row],[Вид работ]]&amp;"  "&amp;Хронология[[#This Row],[Объект работ]]</f>
        <v>ПНВ:  
Опрессовка  ПВО</v>
      </c>
      <c r="AW51" s="522">
        <f>SUMIF($AU$2:AU51, Хронология[[#This Row],[Ключ]], $AH$2:AH51)</f>
        <v>0.625</v>
      </c>
      <c r="AX51" s="516" t="str">
        <f>Хронология[[#This Row],[Вид работ]] &amp; " " &amp; Хронология[[#This Row],[Объект работ]]</f>
        <v>Опрессовка ПВО</v>
      </c>
      <c r="AY51" s="339"/>
      <c r="AZ51" s="339"/>
      <c r="BA51" s="339"/>
      <c r="BB51" s="339"/>
      <c r="BC51" s="339"/>
      <c r="BD51" s="339"/>
      <c r="BE51" s="339"/>
      <c r="BF51" s="339"/>
      <c r="BG51" s="339"/>
    </row>
    <row r="52" spans="1:59" s="247" customFormat="1" ht="69" customHeight="1">
      <c r="A52" s="540" t="s">
        <v>50</v>
      </c>
      <c r="B52" s="541" t="s">
        <v>51</v>
      </c>
      <c r="C52" s="541" t="s">
        <v>52</v>
      </c>
      <c r="D52" s="542">
        <v>1</v>
      </c>
      <c r="E52" s="542">
        <v>431</v>
      </c>
      <c r="F52" s="515" t="s">
        <v>54</v>
      </c>
      <c r="G52" s="517"/>
      <c r="H52" s="516" t="s">
        <v>55</v>
      </c>
      <c r="I52" s="518"/>
      <c r="J52" s="517"/>
      <c r="K52" s="515"/>
      <c r="L52" s="516" t="s">
        <v>59</v>
      </c>
      <c r="M52" s="516" t="s">
        <v>76</v>
      </c>
      <c r="N52" s="516" t="s">
        <v>166</v>
      </c>
      <c r="O52" s="516" t="s">
        <v>59</v>
      </c>
      <c r="P52" s="516" t="s">
        <v>102</v>
      </c>
      <c r="Q52" s="516" t="s">
        <v>167</v>
      </c>
      <c r="R52" s="516" t="s">
        <v>4</v>
      </c>
      <c r="S52" s="516"/>
      <c r="T52" s="526" t="s">
        <v>168</v>
      </c>
      <c r="U52" s="516">
        <v>4</v>
      </c>
      <c r="V52" s="516"/>
      <c r="W52" s="516" t="s">
        <v>64</v>
      </c>
      <c r="X52" s="516" t="s">
        <v>83</v>
      </c>
      <c r="Y52" s="516"/>
      <c r="Z52" s="516"/>
      <c r="AA52" s="516"/>
      <c r="AB52" s="516"/>
      <c r="AC52" s="516"/>
      <c r="AD52" s="516"/>
      <c r="AE52" s="514">
        <f>IFERROR(IF(Хронология[[#This Row],[Забой, м]]-V51&lt;0, 0, Хронология[[#This Row],[Забой, м]]-V51), 0)</f>
        <v>0</v>
      </c>
      <c r="AF52" s="521">
        <f t="shared" si="0"/>
        <v>46154.833333333299</v>
      </c>
      <c r="AG52" s="521">
        <f>Хронология[[#This Row],[Начало]]+Хронология[[#This Row],[Сутки]]</f>
        <v>46154.999999999964</v>
      </c>
      <c r="AH52" s="522">
        <f>Хронология[[#This Row],[Часы]]/24</f>
        <v>0.16666666666666666</v>
      </c>
      <c r="AI52" s="522">
        <f>IFERROR(Хронология[[#This Row],[Сутки]]+AI51, Хронология[[#This Row],[Сутки]])</f>
        <v>10.166666666666666</v>
      </c>
      <c r="AJ52"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НПВ</v>
      </c>
      <c r="AK52"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v>
      </c>
      <c r="AL52"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v>
      </c>
      <c r="AM52" s="527">
        <f>IF(Хронология[[#This Row],[Результат]]="НПВ", Хронология[[#This Row],[Часы]], 0)</f>
        <v>4</v>
      </c>
      <c r="AN52" s="518">
        <f>SUMIFS(Хронология[НПВ], Хронология[Скважина], Хронология[[#This Row],[Скважина]], Хронология[Начало], "&lt;=" &amp; Хронология[[#This Row],[Начало]])</f>
        <v>13</v>
      </c>
      <c r="AO52" s="518">
        <f>SUMIFS(Хронология[ПНВ], Хронология[Скважина], Хронология[[#This Row],[Скважина]], Хронология[Начало], "&lt;=" &amp; Хронология[[#This Row],[Начало]])</f>
        <v>101.08959999999999</v>
      </c>
      <c r="AP52" s="523">
        <f>INT(ROUND(Хронология[[#This Row],[Начало]], 3))</f>
        <v>46154</v>
      </c>
      <c r="AQ52" s="524">
        <f>Хронология[[#This Row],[Начало]]-INT(Хронология[[#This Row],[Начало]])</f>
        <v>0.83333333329937886</v>
      </c>
      <c r="AR52" s="523">
        <f>INT(ROUND(Хронология[[#This Row],[Окончание]], 3))</f>
        <v>46155</v>
      </c>
      <c r="AS52" s="524">
        <f>Хронология[[#This Row],[Окончание]]-INT(Хронология[[#This Row],[Окончание]])</f>
        <v>0</v>
      </c>
      <c r="AT52" s="524" t="str">
        <f>Хронология[[#This Row],[Мастер]] &amp; CHAR(10) &amp; Хронология[[#This Row],[Помощник мастера]] &amp; CHAR(10) &amp; Хронология[[#This Row],[Бурильщик]]</f>
        <v>Вдовин И.О.
Жангазиев С.К.</v>
      </c>
      <c r="AU52"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431 ОК– ПР Орг_простой Орг. простой Подготовка Скважина </v>
      </c>
      <c r="AV52" s="518" t="str">
        <f>Хронология[[#This Row],[Результат]]&amp;":  "&amp;Хронология[[#This Row],[Событие]]&amp; CHAR(10) &amp;Хронология[[#This Row],[Вид работ]]&amp;"  "&amp;Хронология[[#This Row],[Объект работ]]</f>
        <v>НПВ:  Орг. простой
Подготовка  Скважина</v>
      </c>
      <c r="AW52" s="522">
        <f>SUMIF($AU$2:AU52, Хронология[[#This Row],[Ключ]], $AH$2:AH52)</f>
        <v>0.16666666666666666</v>
      </c>
      <c r="AX52" s="516" t="str">
        <f>Хронология[[#This Row],[Вид работ]] &amp; " " &amp; Хронология[[#This Row],[Объект работ]]</f>
        <v>Подготовка Скважина</v>
      </c>
      <c r="AY52" s="339"/>
      <c r="AZ52" s="339"/>
      <c r="BA52" s="339"/>
      <c r="BB52" s="339"/>
      <c r="BC52" s="339"/>
      <c r="BD52" s="339"/>
      <c r="BE52" s="339"/>
      <c r="BF52" s="339"/>
      <c r="BG52" s="339"/>
    </row>
    <row r="53" spans="1:59" s="247" customFormat="1" ht="69" customHeight="1">
      <c r="A53" s="540" t="s">
        <v>50</v>
      </c>
      <c r="B53" s="541" t="s">
        <v>51</v>
      </c>
      <c r="C53" s="541" t="s">
        <v>52</v>
      </c>
      <c r="D53" s="542">
        <v>1</v>
      </c>
      <c r="E53" s="542">
        <v>431</v>
      </c>
      <c r="F53" s="515" t="s">
        <v>66</v>
      </c>
      <c r="G53" s="517"/>
      <c r="H53" s="516" t="s">
        <v>67</v>
      </c>
      <c r="I53" s="518"/>
      <c r="J53" s="517"/>
      <c r="K53" s="515"/>
      <c r="L53" s="516" t="s">
        <v>59</v>
      </c>
      <c r="M53" s="516" t="s">
        <v>76</v>
      </c>
      <c r="N53" s="516" t="s">
        <v>166</v>
      </c>
      <c r="O53" s="516" t="s">
        <v>59</v>
      </c>
      <c r="P53" s="516" t="s">
        <v>102</v>
      </c>
      <c r="Q53" s="516" t="s">
        <v>167</v>
      </c>
      <c r="R53" s="516" t="s">
        <v>4</v>
      </c>
      <c r="S53" s="516"/>
      <c r="T53" s="526" t="s">
        <v>168</v>
      </c>
      <c r="U53" s="516">
        <v>7</v>
      </c>
      <c r="V53" s="516"/>
      <c r="W53" s="516" t="s">
        <v>64</v>
      </c>
      <c r="X53" s="516" t="s">
        <v>83</v>
      </c>
      <c r="Y53" s="516"/>
      <c r="Z53" s="516"/>
      <c r="AA53" s="516"/>
      <c r="AB53" s="516"/>
      <c r="AC53" s="516"/>
      <c r="AD53" s="516"/>
      <c r="AE53" s="514">
        <f>IFERROR(IF(Хронология[[#This Row],[Забой, м]]-V52&lt;0, 0, Хронология[[#This Row],[Забой, м]]-V52), 0)</f>
        <v>0</v>
      </c>
      <c r="AF53" s="521">
        <f t="shared" si="0"/>
        <v>46154.999999999964</v>
      </c>
      <c r="AG53" s="521">
        <f>Хронология[[#This Row],[Начало]]+Хронология[[#This Row],[Сутки]]</f>
        <v>46155.291666666628</v>
      </c>
      <c r="AH53" s="522">
        <f>Хронология[[#This Row],[Часы]]/24</f>
        <v>0.29166666666666669</v>
      </c>
      <c r="AI53" s="522">
        <f>IFERROR(Хронология[[#This Row],[Сутки]]+AI52, Хронология[[#This Row],[Сутки]])</f>
        <v>10.458333333333332</v>
      </c>
      <c r="AJ53"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НПВ</v>
      </c>
      <c r="AK53"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v>
      </c>
      <c r="AL53"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v>
      </c>
      <c r="AM53" s="527">
        <f>IF(Хронология[[#This Row],[Результат]]="НПВ", Хронология[[#This Row],[Часы]], 0)</f>
        <v>7</v>
      </c>
      <c r="AN53" s="518">
        <f>SUMIFS(Хронология[НПВ], Хронология[Скважина], Хронология[[#This Row],[Скважина]], Хронология[Начало], "&lt;=" &amp; Хронология[[#This Row],[Начало]])</f>
        <v>20</v>
      </c>
      <c r="AO53" s="518">
        <f>SUMIFS(Хронология[ПНВ], Хронология[Скважина], Хронология[[#This Row],[Скважина]], Хронология[Начало], "&lt;=" &amp; Хронология[[#This Row],[Начало]])</f>
        <v>101.08959999999999</v>
      </c>
      <c r="AP53" s="523">
        <f>INT(ROUND(Хронология[[#This Row],[Начало]], 3))</f>
        <v>46155</v>
      </c>
      <c r="AQ53" s="524">
        <f>Хронология[[#This Row],[Начало]]-INT(Хронология[[#This Row],[Начало]])</f>
        <v>0</v>
      </c>
      <c r="AR53" s="523">
        <f>INT(ROUND(Хронология[[#This Row],[Окончание]], 3))</f>
        <v>46155</v>
      </c>
      <c r="AS53" s="524">
        <f>Хронология[[#This Row],[Окончание]]-INT(Хронология[[#This Row],[Окончание]])</f>
        <v>0.29166666662786156</v>
      </c>
      <c r="AT53" s="524" t="str">
        <f>Хронология[[#This Row],[Мастер]] &amp; CHAR(10) &amp; Хронология[[#This Row],[Помощник мастера]] &amp; CHAR(10) &amp; Хронология[[#This Row],[Бурильщик]]</f>
        <v>Жабин П.П.
Керимов Н.К.</v>
      </c>
      <c r="AU53"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431 ОК– ПР Орг_простой Орг. простой Подготовка Скважина </v>
      </c>
      <c r="AV53" s="518" t="str">
        <f>Хронология[[#This Row],[Результат]]&amp;":  "&amp;Хронология[[#This Row],[Событие]]&amp; CHAR(10) &amp;Хронология[[#This Row],[Вид работ]]&amp;"  "&amp;Хронология[[#This Row],[Объект работ]]</f>
        <v>НПВ:  Орг. простой
Подготовка  Скважина</v>
      </c>
      <c r="AW53" s="522">
        <f>SUMIF($AU$2:AU53, Хронология[[#This Row],[Ключ]], $AH$2:AH53)</f>
        <v>0.45833333333333337</v>
      </c>
      <c r="AX53" s="516" t="str">
        <f>Хронология[[#This Row],[Вид работ]] &amp; " " &amp; Хронология[[#This Row],[Объект работ]]</f>
        <v>Подготовка Скважина</v>
      </c>
      <c r="AY53" s="339"/>
      <c r="AZ53" s="339"/>
      <c r="BA53" s="339"/>
      <c r="BB53" s="339"/>
      <c r="BC53" s="339"/>
      <c r="BD53" s="339"/>
      <c r="BE53" s="339"/>
      <c r="BF53" s="339"/>
      <c r="BG53" s="339"/>
    </row>
    <row r="54" spans="1:59" s="247" customFormat="1" ht="69" customHeight="1">
      <c r="A54" s="540" t="s">
        <v>50</v>
      </c>
      <c r="B54" s="541" t="s">
        <v>51</v>
      </c>
      <c r="C54" s="541" t="s">
        <v>52</v>
      </c>
      <c r="D54" s="542">
        <v>1</v>
      </c>
      <c r="E54" s="542">
        <v>431</v>
      </c>
      <c r="F54" s="515" t="s">
        <v>54</v>
      </c>
      <c r="G54" s="517"/>
      <c r="H54" s="516" t="s">
        <v>55</v>
      </c>
      <c r="I54" s="518"/>
      <c r="J54" s="517"/>
      <c r="K54" s="515"/>
      <c r="L54" s="516" t="s">
        <v>59</v>
      </c>
      <c r="M54" s="516" t="s">
        <v>76</v>
      </c>
      <c r="N54" s="516" t="s">
        <v>166</v>
      </c>
      <c r="O54" s="516" t="s">
        <v>59</v>
      </c>
      <c r="P54" s="516" t="s">
        <v>102</v>
      </c>
      <c r="Q54" s="516" t="s">
        <v>167</v>
      </c>
      <c r="R54" s="516" t="s">
        <v>4</v>
      </c>
      <c r="S54" s="516"/>
      <c r="T54" s="526" t="s">
        <v>168</v>
      </c>
      <c r="U54" s="516">
        <v>5</v>
      </c>
      <c r="V54" s="516"/>
      <c r="W54" s="516" t="s">
        <v>64</v>
      </c>
      <c r="X54" s="516" t="s">
        <v>83</v>
      </c>
      <c r="Y54" s="516"/>
      <c r="Z54" s="516"/>
      <c r="AA54" s="516"/>
      <c r="AB54" s="516"/>
      <c r="AC54" s="516"/>
      <c r="AD54" s="516"/>
      <c r="AE54" s="514">
        <f>IFERROR(IF(Хронология[[#This Row],[Забой, м]]-V53&lt;0, 0, Хронология[[#This Row],[Забой, м]]-V53), 0)</f>
        <v>0</v>
      </c>
      <c r="AF54" s="521">
        <f t="shared" si="0"/>
        <v>46155.291666666628</v>
      </c>
      <c r="AG54" s="521">
        <f>Хронология[[#This Row],[Начало]]+Хронология[[#This Row],[Сутки]]</f>
        <v>46155.499999999964</v>
      </c>
      <c r="AH54" s="522">
        <f>Хронология[[#This Row],[Часы]]/24</f>
        <v>0.20833333333333334</v>
      </c>
      <c r="AI54" s="522">
        <f>IFERROR(Хронология[[#This Row],[Сутки]]+AI53, Хронология[[#This Row],[Сутки]])</f>
        <v>10.666666666666666</v>
      </c>
      <c r="AJ54"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НПВ</v>
      </c>
      <c r="AK54"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v>
      </c>
      <c r="AL54"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v>
      </c>
      <c r="AM54" s="527">
        <f>IF(Хронология[[#This Row],[Результат]]="НПВ", Хронология[[#This Row],[Часы]], 0)</f>
        <v>5</v>
      </c>
      <c r="AN54" s="518">
        <f>SUMIFS(Хронология[НПВ], Хронология[Скважина], Хронология[[#This Row],[Скважина]], Хронология[Начало], "&lt;=" &amp; Хронология[[#This Row],[Начало]])</f>
        <v>25</v>
      </c>
      <c r="AO54" s="518">
        <f>SUMIFS(Хронология[ПНВ], Хронология[Скважина], Хронология[[#This Row],[Скважина]], Хронология[Начало], "&lt;=" &amp; Хронология[[#This Row],[Начало]])</f>
        <v>101.08959999999999</v>
      </c>
      <c r="AP54" s="523">
        <f>INT(ROUND(Хронология[[#This Row],[Начало]], 3))</f>
        <v>46155</v>
      </c>
      <c r="AQ54" s="524">
        <f>Хронология[[#This Row],[Начало]]-INT(Хронология[[#This Row],[Начало]])</f>
        <v>0.29166666662786156</v>
      </c>
      <c r="AR54" s="523">
        <f>INT(ROUND(Хронология[[#This Row],[Окончание]], 3))</f>
        <v>46155</v>
      </c>
      <c r="AS54" s="524">
        <f>Хронология[[#This Row],[Окончание]]-INT(Хронология[[#This Row],[Окончание]])</f>
        <v>0.49999999996362021</v>
      </c>
      <c r="AT54" s="524" t="str">
        <f>Хронология[[#This Row],[Мастер]] &amp; CHAR(10) &amp; Хронология[[#This Row],[Помощник мастера]] &amp; CHAR(10) &amp; Хронология[[#This Row],[Бурильщик]]</f>
        <v>Вдовин И.О.
Жангазиев С.К.</v>
      </c>
      <c r="AU54"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431 ОК– ПР Орг_простой Орг. простой Подготовка Скважина </v>
      </c>
      <c r="AV54" s="518" t="str">
        <f>Хронология[[#This Row],[Результат]]&amp;":  "&amp;Хронология[[#This Row],[Событие]]&amp; CHAR(10) &amp;Хронология[[#This Row],[Вид работ]]&amp;"  "&amp;Хронология[[#This Row],[Объект работ]]</f>
        <v>НПВ:  Орг. простой
Подготовка  Скважина</v>
      </c>
      <c r="AW54" s="522">
        <f>SUMIF($AU$2:AU54, Хронология[[#This Row],[Ключ]], $AH$2:AH54)</f>
        <v>0.66666666666666674</v>
      </c>
      <c r="AX54" s="516" t="str">
        <f>Хронология[[#This Row],[Вид работ]] &amp; " " &amp; Хронология[[#This Row],[Объект работ]]</f>
        <v>Подготовка Скважина</v>
      </c>
      <c r="AY54" s="339"/>
      <c r="AZ54" s="339"/>
      <c r="BA54" s="339"/>
      <c r="BB54" s="339"/>
      <c r="BC54" s="339"/>
      <c r="BD54" s="339"/>
      <c r="BE54" s="339"/>
      <c r="BF54" s="339"/>
      <c r="BG54" s="339"/>
    </row>
    <row r="55" spans="1:59" s="247" customFormat="1" ht="69" customHeight="1">
      <c r="A55" s="540" t="s">
        <v>50</v>
      </c>
      <c r="B55" s="541" t="s">
        <v>51</v>
      </c>
      <c r="C55" s="541" t="s">
        <v>52</v>
      </c>
      <c r="D55" s="542">
        <v>1</v>
      </c>
      <c r="E55" s="542">
        <v>431</v>
      </c>
      <c r="F55" s="515" t="s">
        <v>54</v>
      </c>
      <c r="G55" s="517"/>
      <c r="H55" s="516" t="s">
        <v>55</v>
      </c>
      <c r="I55" s="518"/>
      <c r="J55" s="517"/>
      <c r="K55" s="515"/>
      <c r="L55" s="516" t="s">
        <v>59</v>
      </c>
      <c r="M55" s="516" t="s">
        <v>58</v>
      </c>
      <c r="N55" s="516"/>
      <c r="O55" s="516" t="s">
        <v>169</v>
      </c>
      <c r="P55" s="516" t="s">
        <v>170</v>
      </c>
      <c r="Q55" s="516" t="s">
        <v>167</v>
      </c>
      <c r="R55" s="516" t="s">
        <v>4</v>
      </c>
      <c r="S55" s="516">
        <v>1</v>
      </c>
      <c r="T55" s="526" t="s">
        <v>171</v>
      </c>
      <c r="U55" s="516">
        <v>4</v>
      </c>
      <c r="V55" s="516"/>
      <c r="W55" s="516"/>
      <c r="X55" s="516"/>
      <c r="Y55" s="516"/>
      <c r="Z55" s="516"/>
      <c r="AA55" s="516"/>
      <c r="AB55" s="516"/>
      <c r="AC55" s="516"/>
      <c r="AD55" s="516"/>
      <c r="AE55" s="514">
        <f>IFERROR(IF(Хронология[[#This Row],[Забой, м]]-V54&lt;0, 0, Хронология[[#This Row],[Забой, м]]-V54), 0)</f>
        <v>0</v>
      </c>
      <c r="AF55" s="521">
        <f t="shared" si="0"/>
        <v>46155.499999999964</v>
      </c>
      <c r="AG55" s="521">
        <f>Хронология[[#This Row],[Начало]]+Хронология[[#This Row],[Сутки]]</f>
        <v>46155.666666666628</v>
      </c>
      <c r="AH55" s="522">
        <f>Хронология[[#This Row],[Часы]]/24</f>
        <v>0.16666666666666666</v>
      </c>
      <c r="AI55" s="522">
        <f>IFERROR(Хронология[[#This Row],[Сутки]]+AI54, Хронология[[#This Row],[Сутки]])</f>
        <v>10.833333333333332</v>
      </c>
      <c r="AJ55"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ПВ</v>
      </c>
      <c r="AK55"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4</v>
      </c>
      <c r="AL55"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v>
      </c>
      <c r="AM55" s="527">
        <f>IF(Хронология[[#This Row],[Результат]]="НПВ", Хронология[[#This Row],[Часы]], 0)</f>
        <v>0</v>
      </c>
      <c r="AN55" s="518">
        <f>SUMIFS(Хронология[НПВ], Хронология[Скважина], Хронология[[#This Row],[Скважина]], Хронология[Начало], "&lt;=" &amp; Хронология[[#This Row],[Начало]])</f>
        <v>25</v>
      </c>
      <c r="AO55" s="518">
        <f>SUMIFS(Хронология[ПНВ], Хронология[Скважина], Хронология[[#This Row],[Скважина]], Хронология[Начало], "&lt;=" &amp; Хронология[[#This Row],[Начало]])</f>
        <v>101.08959999999999</v>
      </c>
      <c r="AP55" s="523">
        <f>INT(ROUND(Хронология[[#This Row],[Начало]], 3))</f>
        <v>46155</v>
      </c>
      <c r="AQ55" s="524">
        <f>Хронология[[#This Row],[Начало]]-INT(Хронология[[#This Row],[Начало]])</f>
        <v>0.49999999996362021</v>
      </c>
      <c r="AR55" s="523">
        <f>INT(ROUND(Хронология[[#This Row],[Окончание]], 3))</f>
        <v>46155</v>
      </c>
      <c r="AS55" s="524">
        <f>Хронология[[#This Row],[Окончание]]-INT(Хронология[[#This Row],[Окончание]])</f>
        <v>0.66666666662786156</v>
      </c>
      <c r="AT55" s="524" t="str">
        <f>Хронология[[#This Row],[Мастер]] &amp; CHAR(10) &amp; Хронология[[#This Row],[Помощник мастера]] &amp; CHAR(10) &amp; Хронология[[#This Row],[Бурильщик]]</f>
        <v>Вдовин И.О.
Жангазиев С.К.</v>
      </c>
      <c r="AU55"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431 ОК– ПР Глушение Скважина 1</v>
      </c>
      <c r="AV55" s="518" t="str">
        <f>Хронология[[#This Row],[Результат]]&amp;":  "&amp;Хронология[[#This Row],[Событие]]&amp; CHAR(10) &amp;Хронология[[#This Row],[Вид работ]]&amp;"  "&amp;Хронология[[#This Row],[Объект работ]]</f>
        <v>ПВ:  
Глушение  Скважина</v>
      </c>
      <c r="AW55" s="522">
        <f>SUMIF($AU$2:AU55, Хронология[[#This Row],[Ключ]], $AH$2:AH55)</f>
        <v>0.16666666666666666</v>
      </c>
      <c r="AX55" s="516" t="str">
        <f>Хронология[[#This Row],[Вид работ]] &amp; " " &amp; Хронология[[#This Row],[Объект работ]]</f>
        <v>Глушение Скважина</v>
      </c>
      <c r="AY55" s="339"/>
      <c r="AZ55" s="339"/>
      <c r="BA55" s="339"/>
      <c r="BB55" s="339"/>
      <c r="BC55" s="339"/>
      <c r="BD55" s="339"/>
      <c r="BE55" s="339"/>
      <c r="BF55" s="339"/>
      <c r="BG55" s="339"/>
    </row>
    <row r="56" spans="1:59" s="247" customFormat="1" ht="69" customHeight="1">
      <c r="A56" s="540" t="s">
        <v>50</v>
      </c>
      <c r="B56" s="541" t="s">
        <v>51</v>
      </c>
      <c r="C56" s="541" t="s">
        <v>52</v>
      </c>
      <c r="D56" s="542">
        <v>1</v>
      </c>
      <c r="E56" s="542">
        <v>431</v>
      </c>
      <c r="F56" s="515" t="s">
        <v>54</v>
      </c>
      <c r="G56" s="517"/>
      <c r="H56" s="516" t="s">
        <v>55</v>
      </c>
      <c r="I56" s="518"/>
      <c r="J56" s="517"/>
      <c r="K56" s="515"/>
      <c r="L56" s="516" t="s">
        <v>59</v>
      </c>
      <c r="M56" s="516" t="s">
        <v>58</v>
      </c>
      <c r="N56" s="516"/>
      <c r="O56" s="516" t="s">
        <v>169</v>
      </c>
      <c r="P56" s="516" t="s">
        <v>170</v>
      </c>
      <c r="Q56" s="516" t="s">
        <v>167</v>
      </c>
      <c r="R56" s="516" t="s">
        <v>4</v>
      </c>
      <c r="S56" s="516">
        <v>1</v>
      </c>
      <c r="T56" s="526" t="s">
        <v>172</v>
      </c>
      <c r="U56" s="516">
        <v>4</v>
      </c>
      <c r="V56" s="516"/>
      <c r="W56" s="516"/>
      <c r="X56" s="516"/>
      <c r="Y56" s="516"/>
      <c r="Z56" s="516"/>
      <c r="AA56" s="516"/>
      <c r="AB56" s="516"/>
      <c r="AC56" s="516"/>
      <c r="AD56" s="516"/>
      <c r="AE56" s="514">
        <f>IFERROR(IF(Хронология[[#This Row],[Забой, м]]-V55&lt;0, 0, Хронология[[#This Row],[Забой, м]]-V55), 0)</f>
        <v>0</v>
      </c>
      <c r="AF56" s="521">
        <f t="shared" si="0"/>
        <v>46155.666666666628</v>
      </c>
      <c r="AG56" s="521">
        <f>Хронология[[#This Row],[Начало]]+Хронология[[#This Row],[Сутки]]</f>
        <v>46155.833333333292</v>
      </c>
      <c r="AH56" s="522">
        <f>Хронология[[#This Row],[Часы]]/24</f>
        <v>0.16666666666666666</v>
      </c>
      <c r="AI56" s="522">
        <f>IFERROR(Хронология[[#This Row],[Сутки]]+AI55, Хронология[[#This Row],[Сутки]])</f>
        <v>10.999999999999998</v>
      </c>
      <c r="AJ56"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ПВ</v>
      </c>
      <c r="AK56"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4</v>
      </c>
      <c r="AL56"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v>
      </c>
      <c r="AM56" s="527">
        <f>IF(Хронология[[#This Row],[Результат]]="НПВ", Хронология[[#This Row],[Часы]], 0)</f>
        <v>0</v>
      </c>
      <c r="AN56" s="518">
        <f>SUMIFS(Хронология[НПВ], Хронология[Скважина], Хронология[[#This Row],[Скважина]], Хронология[Начало], "&lt;=" &amp; Хронология[[#This Row],[Начало]])</f>
        <v>25</v>
      </c>
      <c r="AO56" s="518">
        <f>SUMIFS(Хронология[ПНВ], Хронология[Скважина], Хронология[[#This Row],[Скважина]], Хронология[Начало], "&lt;=" &amp; Хронология[[#This Row],[Начало]])</f>
        <v>101.08959999999999</v>
      </c>
      <c r="AP56" s="523">
        <f>INT(ROUND(Хронология[[#This Row],[Начало]], 3))</f>
        <v>46155</v>
      </c>
      <c r="AQ56" s="524">
        <f>Хронология[[#This Row],[Начало]]-INT(Хронология[[#This Row],[Начало]])</f>
        <v>0.66666666662786156</v>
      </c>
      <c r="AR56" s="523">
        <f>INT(ROUND(Хронология[[#This Row],[Окончание]], 3))</f>
        <v>46155</v>
      </c>
      <c r="AS56" s="524">
        <f>Хронология[[#This Row],[Окончание]]-INT(Хронология[[#This Row],[Окончание]])</f>
        <v>0.83333333329210291</v>
      </c>
      <c r="AT56" s="524" t="str">
        <f>Хронология[[#This Row],[Мастер]] &amp; CHAR(10) &amp; Хронология[[#This Row],[Помощник мастера]] &amp; CHAR(10) &amp; Хронология[[#This Row],[Бурильщик]]</f>
        <v>Вдовин И.О.
Жангазиев С.К.</v>
      </c>
      <c r="AU56"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431 ОК– ПР Глушение Скважина 1</v>
      </c>
      <c r="AV56" s="518" t="str">
        <f>Хронология[[#This Row],[Результат]]&amp;":  "&amp;Хронология[[#This Row],[Событие]]&amp; CHAR(10) &amp;Хронология[[#This Row],[Вид работ]]&amp;"  "&amp;Хронология[[#This Row],[Объект работ]]</f>
        <v>ПВ:  
Глушение  Скважина</v>
      </c>
      <c r="AW56" s="522">
        <f>SUMIF($AU$2:AU56, Хронология[[#This Row],[Ключ]], $AH$2:AH56)</f>
        <v>0.33333333333333331</v>
      </c>
      <c r="AX56" s="516" t="str">
        <f>Хронология[[#This Row],[Вид работ]] &amp; " " &amp; Хронология[[#This Row],[Объект работ]]</f>
        <v>Глушение Скважина</v>
      </c>
      <c r="AY56" s="339"/>
      <c r="AZ56" s="339"/>
      <c r="BA56" s="339"/>
      <c r="BB56" s="339"/>
      <c r="BC56" s="339"/>
      <c r="BD56" s="339"/>
      <c r="BE56" s="339"/>
      <c r="BF56" s="339"/>
      <c r="BG56" s="339"/>
    </row>
    <row r="57" spans="1:59" s="247" customFormat="1" ht="69" customHeight="1">
      <c r="A57" s="540" t="s">
        <v>50</v>
      </c>
      <c r="B57" s="541" t="s">
        <v>51</v>
      </c>
      <c r="C57" s="541" t="s">
        <v>52</v>
      </c>
      <c r="D57" s="542">
        <v>1</v>
      </c>
      <c r="E57" s="542">
        <v>431</v>
      </c>
      <c r="F57" s="515" t="s">
        <v>54</v>
      </c>
      <c r="G57" s="517"/>
      <c r="H57" s="516" t="s">
        <v>55</v>
      </c>
      <c r="I57" s="518"/>
      <c r="J57" s="517"/>
      <c r="K57" s="515"/>
      <c r="L57" s="516" t="s">
        <v>59</v>
      </c>
      <c r="M57" s="516" t="s">
        <v>58</v>
      </c>
      <c r="N57" s="516"/>
      <c r="O57" s="516" t="s">
        <v>169</v>
      </c>
      <c r="P57" s="516" t="s">
        <v>170</v>
      </c>
      <c r="Q57" s="516" t="s">
        <v>167</v>
      </c>
      <c r="R57" s="516" t="s">
        <v>4</v>
      </c>
      <c r="S57" s="516">
        <v>1</v>
      </c>
      <c r="T57" s="526" t="s">
        <v>173</v>
      </c>
      <c r="U57" s="516">
        <v>4</v>
      </c>
      <c r="V57" s="516"/>
      <c r="W57" s="516"/>
      <c r="X57" s="516"/>
      <c r="Y57" s="516"/>
      <c r="Z57" s="516"/>
      <c r="AA57" s="516"/>
      <c r="AB57" s="516"/>
      <c r="AC57" s="516"/>
      <c r="AD57" s="516"/>
      <c r="AE57" s="514">
        <f>IFERROR(IF(Хронология[[#This Row],[Забой, м]]-V56&lt;0, 0, Хронология[[#This Row],[Забой, м]]-V56), 0)</f>
        <v>0</v>
      </c>
      <c r="AF57" s="521">
        <f t="shared" si="0"/>
        <v>46155.833333333292</v>
      </c>
      <c r="AG57" s="521">
        <f>Хронология[[#This Row],[Начало]]+Хронология[[#This Row],[Сутки]]</f>
        <v>46155.999999999956</v>
      </c>
      <c r="AH57" s="522">
        <f>Хронология[[#This Row],[Часы]]/24</f>
        <v>0.16666666666666666</v>
      </c>
      <c r="AI57" s="522">
        <f>IFERROR(Хронология[[#This Row],[Сутки]]+AI56, Хронология[[#This Row],[Сутки]])</f>
        <v>11.166666666666664</v>
      </c>
      <c r="AJ57"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ПНВ</v>
      </c>
      <c r="AK57"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1.7400000000000002</v>
      </c>
      <c r="AL57"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2.2599999999999998</v>
      </c>
      <c r="AM57" s="527">
        <f>IF(Хронология[[#This Row],[Результат]]="НПВ", Хронология[[#This Row],[Часы]], 0)</f>
        <v>0</v>
      </c>
      <c r="AN57" s="518">
        <f>SUMIFS(Хронология[НПВ], Хронология[Скважина], Хронология[[#This Row],[Скважина]], Хронология[Начало], "&lt;=" &amp; Хронология[[#This Row],[Начало]])</f>
        <v>25</v>
      </c>
      <c r="AO57" s="518">
        <f>SUMIFS(Хронология[ПНВ], Хронология[Скважина], Хронология[[#This Row],[Скважина]], Хронология[Начало], "&lt;=" &amp; Хронология[[#This Row],[Начало]])</f>
        <v>103.3496</v>
      </c>
      <c r="AP57" s="523">
        <f>INT(ROUND(Хронология[[#This Row],[Начало]], 3))</f>
        <v>46155</v>
      </c>
      <c r="AQ57" s="524">
        <f>Хронология[[#This Row],[Начало]]-INT(Хронология[[#This Row],[Начало]])</f>
        <v>0.83333333329210291</v>
      </c>
      <c r="AR57" s="523">
        <f>INT(ROUND(Хронология[[#This Row],[Окончание]], 3))</f>
        <v>46156</v>
      </c>
      <c r="AS57" s="524">
        <f>Хронология[[#This Row],[Окончание]]-INT(Хронология[[#This Row],[Окончание]])</f>
        <v>0</v>
      </c>
      <c r="AT57" s="524" t="str">
        <f>Хронология[[#This Row],[Мастер]] &amp; CHAR(10) &amp; Хронология[[#This Row],[Помощник мастера]] &amp; CHAR(10) &amp; Хронология[[#This Row],[Бурильщик]]</f>
        <v>Вдовин И.О.
Жангазиев С.К.</v>
      </c>
      <c r="AU57"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431 ОК– ПР Глушение Скважина 1</v>
      </c>
      <c r="AV57" s="518" t="str">
        <f>Хронология[[#This Row],[Результат]]&amp;":  "&amp;Хронология[[#This Row],[Событие]]&amp; CHAR(10) &amp;Хронология[[#This Row],[Вид работ]]&amp;"  "&amp;Хронология[[#This Row],[Объект работ]]</f>
        <v>ПНВ:  
Глушение  Скважина</v>
      </c>
      <c r="AW57" s="522">
        <f>SUMIF($AU$2:AU57, Хронология[[#This Row],[Ключ]], $AH$2:AH57)</f>
        <v>0.5</v>
      </c>
      <c r="AX57" s="516" t="str">
        <f>Хронология[[#This Row],[Вид работ]] &amp; " " &amp; Хронология[[#This Row],[Объект работ]]</f>
        <v>Глушение Скважина</v>
      </c>
      <c r="AY57" s="339"/>
      <c r="AZ57" s="339"/>
      <c r="BA57" s="339"/>
      <c r="BB57" s="339"/>
      <c r="BC57" s="339"/>
      <c r="BD57" s="339"/>
      <c r="BE57" s="339"/>
      <c r="BF57" s="339"/>
      <c r="BG57" s="339"/>
    </row>
    <row r="58" spans="1:59" s="247" customFormat="1" ht="69" customHeight="1">
      <c r="A58" s="540" t="s">
        <v>50</v>
      </c>
      <c r="B58" s="541" t="s">
        <v>51</v>
      </c>
      <c r="C58" s="541" t="s">
        <v>52</v>
      </c>
      <c r="D58" s="542">
        <v>1</v>
      </c>
      <c r="E58" s="542">
        <v>431</v>
      </c>
      <c r="F58" s="515" t="s">
        <v>66</v>
      </c>
      <c r="G58" s="517"/>
      <c r="H58" s="516" t="s">
        <v>67</v>
      </c>
      <c r="I58" s="518"/>
      <c r="J58" s="517"/>
      <c r="K58" s="515"/>
      <c r="L58" s="516" t="s">
        <v>174</v>
      </c>
      <c r="M58" s="516" t="s">
        <v>58</v>
      </c>
      <c r="N58" s="516"/>
      <c r="O58" s="516" t="s">
        <v>169</v>
      </c>
      <c r="P58" s="516" t="s">
        <v>175</v>
      </c>
      <c r="Q58" s="516" t="s">
        <v>167</v>
      </c>
      <c r="R58" s="516" t="s">
        <v>4</v>
      </c>
      <c r="S58" s="516"/>
      <c r="T58" s="526" t="s">
        <v>176</v>
      </c>
      <c r="U58" s="516">
        <v>7</v>
      </c>
      <c r="V58" s="516"/>
      <c r="W58" s="516"/>
      <c r="X58" s="516"/>
      <c r="Y58" s="516"/>
      <c r="Z58" s="516"/>
      <c r="AA58" s="516"/>
      <c r="AB58" s="516"/>
      <c r="AC58" s="516"/>
      <c r="AD58" s="516"/>
      <c r="AE58" s="514">
        <f>IFERROR(IF(Хронология[[#This Row],[Забой, м]]-V57&lt;0, 0, Хронология[[#This Row],[Забой, м]]-V57), 0)</f>
        <v>0</v>
      </c>
      <c r="AF58" s="521">
        <f t="shared" si="0"/>
        <v>46155.999999999956</v>
      </c>
      <c r="AG58" s="521">
        <f>Хронология[[#This Row],[Начало]]+Хронология[[#This Row],[Сутки]]</f>
        <v>46156.291666666621</v>
      </c>
      <c r="AH58" s="522">
        <f>Хронология[[#This Row],[Часы]]/24</f>
        <v>0.29166666666666669</v>
      </c>
      <c r="AI58" s="522">
        <f>IFERROR(Хронология[[#This Row],[Сутки]]+AI57, Хронология[[#This Row],[Сутки]])</f>
        <v>11.45833333333333</v>
      </c>
      <c r="AJ58"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ПВ</v>
      </c>
      <c r="AK58"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7</v>
      </c>
      <c r="AL58"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v>
      </c>
      <c r="AM58" s="527">
        <f>IF(Хронология[[#This Row],[Результат]]="НПВ", Хронология[[#This Row],[Часы]], 0)</f>
        <v>0</v>
      </c>
      <c r="AN58" s="518">
        <f>SUMIFS(Хронология[НПВ], Хронология[Скважина], Хронология[[#This Row],[Скважина]], Хронология[Начало], "&lt;=" &amp; Хронология[[#This Row],[Начало]])</f>
        <v>25</v>
      </c>
      <c r="AO58" s="518">
        <f>SUMIFS(Хронология[ПНВ], Хронология[Скважина], Хронология[[#This Row],[Скважина]], Хронология[Начало], "&lt;=" &amp; Хронология[[#This Row],[Начало]])</f>
        <v>103.3496</v>
      </c>
      <c r="AP58" s="523">
        <f>INT(ROUND(Хронология[[#This Row],[Начало]], 3))</f>
        <v>46156</v>
      </c>
      <c r="AQ58" s="524">
        <f>Хронология[[#This Row],[Начало]]-INT(Хронология[[#This Row],[Начало]])</f>
        <v>0</v>
      </c>
      <c r="AR58" s="523">
        <f>INT(ROUND(Хронология[[#This Row],[Окончание]], 3))</f>
        <v>46156</v>
      </c>
      <c r="AS58" s="524">
        <f>Хронология[[#This Row],[Окончание]]-INT(Хронология[[#This Row],[Окончание]])</f>
        <v>0.2916666666205856</v>
      </c>
      <c r="AT58" s="524" t="str">
        <f>Хронология[[#This Row],[Мастер]] &amp; CHAR(10) &amp; Хронология[[#This Row],[Помощник мастера]] &amp; CHAR(10) &amp; Хронология[[#This Row],[Бурильщик]]</f>
        <v>Жабин П.П.
Керимов Н.К.</v>
      </c>
      <c r="AU58"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431 ОК– Доп. работы Обратная промывка Скважина </v>
      </c>
      <c r="AV58" s="518" t="str">
        <f>Хронология[[#This Row],[Результат]]&amp;":  "&amp;Хронология[[#This Row],[Событие]]&amp; CHAR(10) &amp;Хронология[[#This Row],[Вид работ]]&amp;"  "&amp;Хронология[[#This Row],[Объект работ]]</f>
        <v>ПВ:  
Обратная промывка  Скважина</v>
      </c>
      <c r="AW58" s="522">
        <f>SUMIF($AU$2:AU58, Хронология[[#This Row],[Ключ]], $AH$2:AH58)</f>
        <v>0.29166666666666669</v>
      </c>
      <c r="AX58" s="516" t="str">
        <f>Хронология[[#This Row],[Вид работ]] &amp; " " &amp; Хронология[[#This Row],[Объект работ]]</f>
        <v>Обратная промывка Скважина</v>
      </c>
      <c r="AY58" s="339"/>
      <c r="AZ58" s="339"/>
      <c r="BA58" s="339"/>
      <c r="BB58" s="339"/>
      <c r="BC58" s="339"/>
      <c r="BD58" s="339"/>
      <c r="BE58" s="339"/>
      <c r="BF58" s="339"/>
      <c r="BG58" s="339"/>
    </row>
    <row r="59" spans="1:59" s="247" customFormat="1" ht="69" customHeight="1">
      <c r="A59" s="540" t="s">
        <v>50</v>
      </c>
      <c r="B59" s="541" t="s">
        <v>51</v>
      </c>
      <c r="C59" s="541" t="s">
        <v>52</v>
      </c>
      <c r="D59" s="542">
        <v>1</v>
      </c>
      <c r="E59" s="542">
        <v>431</v>
      </c>
      <c r="F59" s="515" t="s">
        <v>54</v>
      </c>
      <c r="G59" s="517"/>
      <c r="H59" s="516" t="s">
        <v>55</v>
      </c>
      <c r="I59" s="518"/>
      <c r="J59" s="517"/>
      <c r="K59" s="515"/>
      <c r="L59" s="516" t="s">
        <v>174</v>
      </c>
      <c r="M59" s="516" t="s">
        <v>58</v>
      </c>
      <c r="N59" s="516"/>
      <c r="O59" s="516" t="s">
        <v>169</v>
      </c>
      <c r="P59" s="516" t="s">
        <v>177</v>
      </c>
      <c r="Q59" s="516" t="s">
        <v>167</v>
      </c>
      <c r="R59" s="516" t="s">
        <v>4</v>
      </c>
      <c r="S59" s="516"/>
      <c r="T59" s="526" t="s">
        <v>178</v>
      </c>
      <c r="U59" s="516">
        <v>5</v>
      </c>
      <c r="V59" s="516"/>
      <c r="W59" s="516"/>
      <c r="X59" s="516"/>
      <c r="Y59" s="516"/>
      <c r="Z59" s="516"/>
      <c r="AA59" s="516"/>
      <c r="AB59" s="516"/>
      <c r="AC59" s="516"/>
      <c r="AD59" s="516"/>
      <c r="AE59" s="514">
        <f>IFERROR(IF(Хронология[[#This Row],[Забой, м]]-V58&lt;0, 0, Хронология[[#This Row],[Забой, м]]-V58), 0)</f>
        <v>0</v>
      </c>
      <c r="AF59" s="521">
        <f t="shared" si="0"/>
        <v>46156.291666666621</v>
      </c>
      <c r="AG59" s="521">
        <f>Хронология[[#This Row],[Начало]]+Хронология[[#This Row],[Сутки]]</f>
        <v>46156.499999999956</v>
      </c>
      <c r="AH59" s="522">
        <f>Хронология[[#This Row],[Часы]]/24</f>
        <v>0.20833333333333334</v>
      </c>
      <c r="AI59" s="522">
        <f>IFERROR(Хронология[[#This Row],[Сутки]]+AI58, Хронология[[#This Row],[Сутки]])</f>
        <v>11.666666666666664</v>
      </c>
      <c r="AJ59"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ПВ</v>
      </c>
      <c r="AK59"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5</v>
      </c>
      <c r="AL59"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v>
      </c>
      <c r="AM59" s="527">
        <f>IF(Хронология[[#This Row],[Результат]]="НПВ", Хронология[[#This Row],[Часы]], 0)</f>
        <v>0</v>
      </c>
      <c r="AN59" s="518">
        <f>SUMIFS(Хронология[НПВ], Хронология[Скважина], Хронология[[#This Row],[Скважина]], Хронология[Начало], "&lt;=" &amp; Хронология[[#This Row],[Начало]])</f>
        <v>25</v>
      </c>
      <c r="AO59" s="518">
        <f>SUMIFS(Хронология[ПНВ], Хронология[Скважина], Хронология[[#This Row],[Скважина]], Хронология[Начало], "&lt;=" &amp; Хронология[[#This Row],[Начало]])</f>
        <v>103.3496</v>
      </c>
      <c r="AP59" s="523">
        <f>INT(ROUND(Хронология[[#This Row],[Начало]], 3))</f>
        <v>46156</v>
      </c>
      <c r="AQ59" s="524">
        <f>Хронология[[#This Row],[Начало]]-INT(Хронология[[#This Row],[Начало]])</f>
        <v>0.2916666666205856</v>
      </c>
      <c r="AR59" s="523">
        <f>INT(ROUND(Хронология[[#This Row],[Окончание]], 3))</f>
        <v>46156</v>
      </c>
      <c r="AS59" s="524">
        <f>Хронология[[#This Row],[Окончание]]-INT(Хронология[[#This Row],[Окончание]])</f>
        <v>0.49999999995634425</v>
      </c>
      <c r="AT59" s="524" t="str">
        <f>Хронология[[#This Row],[Мастер]] &amp; CHAR(10) &amp; Хронология[[#This Row],[Помощник мастера]] &amp; CHAR(10) &amp; Хронология[[#This Row],[Бурильщик]]</f>
        <v>Вдовин И.О.
Жангазиев С.К.</v>
      </c>
      <c r="AU59"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431 ОК– Доп. работы Разрядка Скважина </v>
      </c>
      <c r="AV59" s="518" t="str">
        <f>Хронология[[#This Row],[Результат]]&amp;":  "&amp;Хронология[[#This Row],[Событие]]&amp; CHAR(10) &amp;Хронология[[#This Row],[Вид работ]]&amp;"  "&amp;Хронология[[#This Row],[Объект работ]]</f>
        <v>ПВ:  
Разрядка  Скважина</v>
      </c>
      <c r="AW59" s="522">
        <f>SUMIF($AU$2:AU59, Хронология[[#This Row],[Ключ]], $AH$2:AH59)</f>
        <v>0.20833333333333334</v>
      </c>
      <c r="AX59" s="516" t="str">
        <f>Хронология[[#This Row],[Вид работ]] &amp; " " &amp; Хронология[[#This Row],[Объект работ]]</f>
        <v>Разрядка Скважина</v>
      </c>
      <c r="AY59" s="339"/>
      <c r="AZ59" s="339"/>
      <c r="BA59" s="339"/>
      <c r="BB59" s="339"/>
      <c r="BC59" s="339"/>
      <c r="BD59" s="339"/>
      <c r="BE59" s="339"/>
      <c r="BF59" s="339"/>
      <c r="BG59" s="339"/>
    </row>
    <row r="60" spans="1:59" s="247" customFormat="1" ht="69" customHeight="1">
      <c r="A60" s="540" t="s">
        <v>50</v>
      </c>
      <c r="B60" s="541" t="s">
        <v>51</v>
      </c>
      <c r="C60" s="541" t="s">
        <v>52</v>
      </c>
      <c r="D60" s="542">
        <v>1</v>
      </c>
      <c r="E60" s="542">
        <v>431</v>
      </c>
      <c r="F60" s="515" t="s">
        <v>54</v>
      </c>
      <c r="G60" s="517"/>
      <c r="H60" s="516" t="s">
        <v>55</v>
      </c>
      <c r="I60" s="518"/>
      <c r="J60" s="517"/>
      <c r="K60" s="515"/>
      <c r="L60" s="516" t="s">
        <v>59</v>
      </c>
      <c r="M60" s="516" t="s">
        <v>58</v>
      </c>
      <c r="N60" s="516"/>
      <c r="O60" s="516" t="s">
        <v>69</v>
      </c>
      <c r="P60" s="516" t="s">
        <v>70</v>
      </c>
      <c r="Q60" s="516" t="s">
        <v>61</v>
      </c>
      <c r="R60" s="516" t="s">
        <v>62</v>
      </c>
      <c r="S60" s="516"/>
      <c r="T60" s="526" t="s">
        <v>179</v>
      </c>
      <c r="U60" s="516">
        <v>4</v>
      </c>
      <c r="V60" s="516"/>
      <c r="W60" s="516"/>
      <c r="X60" s="516"/>
      <c r="Y60" s="516"/>
      <c r="Z60" s="516"/>
      <c r="AA60" s="516"/>
      <c r="AB60" s="516"/>
      <c r="AC60" s="516"/>
      <c r="AD60" s="516"/>
      <c r="AE60" s="514">
        <f>IFERROR(IF(Хронология[[#This Row],[Забой, м]]-V59&lt;0, 0, Хронология[[#This Row],[Забой, м]]-V59), 0)</f>
        <v>0</v>
      </c>
      <c r="AF60" s="521">
        <f t="shared" si="0"/>
        <v>46156.499999999956</v>
      </c>
      <c r="AG60" s="521">
        <f>Хронология[[#This Row],[Начало]]+Хронология[[#This Row],[Сутки]]</f>
        <v>46156.666666666621</v>
      </c>
      <c r="AH60" s="522">
        <f>Хронология[[#This Row],[Часы]]/24</f>
        <v>0.16666666666666666</v>
      </c>
      <c r="AI60" s="522">
        <f>IFERROR(Хронология[[#This Row],[Сутки]]+AI59, Хронология[[#This Row],[Сутки]])</f>
        <v>11.83333333333333</v>
      </c>
      <c r="AJ60"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ПВ</v>
      </c>
      <c r="AK60"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4</v>
      </c>
      <c r="AL60"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v>
      </c>
      <c r="AM60" s="527">
        <f>IF(Хронология[[#This Row],[Результат]]="НПВ", Хронология[[#This Row],[Часы]], 0)</f>
        <v>0</v>
      </c>
      <c r="AN60" s="518">
        <f>SUMIFS(Хронология[НПВ], Хронология[Скважина], Хронология[[#This Row],[Скважина]], Хронология[Начало], "&lt;=" &amp; Хронология[[#This Row],[Начало]])</f>
        <v>25</v>
      </c>
      <c r="AO60" s="518">
        <f>SUMIFS(Хронология[ПНВ], Хронология[Скважина], Хронология[[#This Row],[Скважина]], Хронология[Начало], "&lt;=" &amp; Хронология[[#This Row],[Начало]])</f>
        <v>103.3496</v>
      </c>
      <c r="AP60" s="523">
        <f>INT(ROUND(Хронология[[#This Row],[Начало]], 3))</f>
        <v>46156</v>
      </c>
      <c r="AQ60" s="524">
        <f>Хронология[[#This Row],[Начало]]-INT(Хронология[[#This Row],[Начало]])</f>
        <v>0.49999999995634425</v>
      </c>
      <c r="AR60" s="523">
        <f>INT(ROUND(Хронология[[#This Row],[Окончание]], 3))</f>
        <v>46156</v>
      </c>
      <c r="AS60" s="524">
        <f>Хронология[[#This Row],[Окончание]]-INT(Хронология[[#This Row],[Окончание]])</f>
        <v>0.6666666666205856</v>
      </c>
      <c r="AT60" s="524" t="str">
        <f>Хронология[[#This Row],[Мастер]] &amp; CHAR(10) &amp; Хронология[[#This Row],[Помощник мастера]] &amp; CHAR(10) &amp; Хронология[[#This Row],[Бурильщик]]</f>
        <v>Вдовин И.О.
Жангазиев С.К.</v>
      </c>
      <c r="AU60"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431 ОК– ПР Монтаж УПА </v>
      </c>
      <c r="AV60" s="518" t="str">
        <f>Хронология[[#This Row],[Результат]]&amp;":  "&amp;Хронология[[#This Row],[Событие]]&amp; CHAR(10) &amp;Хронология[[#This Row],[Вид работ]]&amp;"  "&amp;Хронология[[#This Row],[Объект работ]]</f>
        <v>ПВ:  
Монтаж  УПА</v>
      </c>
      <c r="AW60" s="522">
        <f>SUMIF($AU$2:AU60, Хронология[[#This Row],[Ключ]], $AH$2:AH60)</f>
        <v>0.16666666666666666</v>
      </c>
      <c r="AX60" s="516" t="str">
        <f>Хронология[[#This Row],[Вид работ]] &amp; " " &amp; Хронология[[#This Row],[Объект работ]]</f>
        <v>Монтаж УПА</v>
      </c>
      <c r="AY60" s="339"/>
      <c r="AZ60" s="339"/>
      <c r="BA60" s="339"/>
      <c r="BB60" s="339"/>
      <c r="BC60" s="339"/>
      <c r="BD60" s="339"/>
      <c r="BE60" s="339"/>
      <c r="BF60" s="339"/>
      <c r="BG60" s="339"/>
    </row>
    <row r="61" spans="1:59" s="247" customFormat="1" ht="69" customHeight="1">
      <c r="A61" s="540" t="s">
        <v>50</v>
      </c>
      <c r="B61" s="541" t="s">
        <v>51</v>
      </c>
      <c r="C61" s="541" t="s">
        <v>52</v>
      </c>
      <c r="D61" s="542">
        <v>1</v>
      </c>
      <c r="E61" s="542">
        <v>431</v>
      </c>
      <c r="F61" s="515" t="s">
        <v>54</v>
      </c>
      <c r="G61" s="517"/>
      <c r="H61" s="516" t="s">
        <v>55</v>
      </c>
      <c r="I61" s="518"/>
      <c r="J61" s="517"/>
      <c r="K61" s="515"/>
      <c r="L61" s="516" t="s">
        <v>59</v>
      </c>
      <c r="M61" s="516" t="s">
        <v>76</v>
      </c>
      <c r="N61" s="516" t="s">
        <v>77</v>
      </c>
      <c r="O61" s="516" t="s">
        <v>78</v>
      </c>
      <c r="P61" s="516" t="s">
        <v>79</v>
      </c>
      <c r="Q61" s="516" t="s">
        <v>80</v>
      </c>
      <c r="R61" s="516" t="s">
        <v>81</v>
      </c>
      <c r="S61" s="516"/>
      <c r="T61" s="526" t="s">
        <v>180</v>
      </c>
      <c r="U61" s="516">
        <v>4</v>
      </c>
      <c r="V61" s="516"/>
      <c r="W61" s="516" t="s">
        <v>64</v>
      </c>
      <c r="X61" s="516" t="s">
        <v>83</v>
      </c>
      <c r="Y61" s="516"/>
      <c r="Z61" s="516"/>
      <c r="AA61" s="516"/>
      <c r="AB61" s="516"/>
      <c r="AC61" s="516"/>
      <c r="AD61" s="516"/>
      <c r="AE61" s="514">
        <f>IFERROR(IF(Хронология[[#This Row],[Забой, м]]-V60&lt;0, 0, Хронология[[#This Row],[Забой, м]]-V60), 0)</f>
        <v>0</v>
      </c>
      <c r="AF61" s="521">
        <f t="shared" si="0"/>
        <v>46156.666666666621</v>
      </c>
      <c r="AG61" s="521">
        <f>Хронология[[#This Row],[Начало]]+Хронология[[#This Row],[Сутки]]</f>
        <v>46156.833333333285</v>
      </c>
      <c r="AH61" s="522">
        <f>Хронология[[#This Row],[Часы]]/24</f>
        <v>0.16666666666666666</v>
      </c>
      <c r="AI61" s="522">
        <f>IFERROR(Хронология[[#This Row],[Сутки]]+AI60, Хронология[[#This Row],[Сутки]])</f>
        <v>11.999999999999996</v>
      </c>
      <c r="AJ61"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НПВ</v>
      </c>
      <c r="AK61"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v>
      </c>
      <c r="AL61"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v>
      </c>
      <c r="AM61" s="527">
        <f>IF(Хронология[[#This Row],[Результат]]="НПВ", Хронология[[#This Row],[Часы]], 0)</f>
        <v>4</v>
      </c>
      <c r="AN61" s="518">
        <f>SUMIFS(Хронология[НПВ], Хронология[Скважина], Хронология[[#This Row],[Скважина]], Хронология[Начало], "&lt;=" &amp; Хронология[[#This Row],[Начало]])</f>
        <v>29</v>
      </c>
      <c r="AO61" s="518">
        <f>SUMIFS(Хронология[ПНВ], Хронология[Скважина], Хронология[[#This Row],[Скважина]], Хронология[Начало], "&lt;=" &amp; Хронология[[#This Row],[Начало]])</f>
        <v>103.3496</v>
      </c>
      <c r="AP61" s="523">
        <f>INT(ROUND(Хронология[[#This Row],[Начало]], 3))</f>
        <v>46156</v>
      </c>
      <c r="AQ61" s="524">
        <f>Хронология[[#This Row],[Начало]]-INT(Хронология[[#This Row],[Начало]])</f>
        <v>0.6666666666205856</v>
      </c>
      <c r="AR61" s="523">
        <f>INT(ROUND(Хронология[[#This Row],[Окончание]], 3))</f>
        <v>46156</v>
      </c>
      <c r="AS61" s="524">
        <f>Хронология[[#This Row],[Окончание]]-INT(Хронология[[#This Row],[Окончание]])</f>
        <v>0.83333333328482695</v>
      </c>
      <c r="AT61" s="524" t="str">
        <f>Хронология[[#This Row],[Мастер]] &amp; CHAR(10) &amp; Хронология[[#This Row],[Помощник мастера]] &amp; CHAR(10) &amp; Хронология[[#This Row],[Бурильщик]]</f>
        <v>Вдовин И.О.
Жангазиев С.К.</v>
      </c>
      <c r="AU61"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431 ОК– ПР Орг_простой Ожидание разрешения Устранение Предписания </v>
      </c>
      <c r="AV61" s="518" t="str">
        <f>Хронология[[#This Row],[Результат]]&amp;":  "&amp;Хронология[[#This Row],[Событие]]&amp; CHAR(10) &amp;Хронология[[#This Row],[Вид работ]]&amp;"  "&amp;Хронология[[#This Row],[Объект работ]]</f>
        <v>НПВ:  Ожидание разрешения
Устранение  Предписания</v>
      </c>
      <c r="AW61" s="522">
        <f>SUMIF($AU$2:AU61, Хронология[[#This Row],[Ключ]], $AH$2:AH61)</f>
        <v>0.16666666666666666</v>
      </c>
      <c r="AX61" s="516" t="str">
        <f>Хронология[[#This Row],[Вид работ]] &amp; " " &amp; Хронология[[#This Row],[Объект работ]]</f>
        <v>Устранение Предписания</v>
      </c>
      <c r="AY61" s="339"/>
      <c r="AZ61" s="339"/>
      <c r="BA61" s="339"/>
      <c r="BB61" s="339"/>
      <c r="BC61" s="339"/>
      <c r="BD61" s="339"/>
      <c r="BE61" s="339"/>
      <c r="BF61" s="339"/>
      <c r="BG61" s="339"/>
    </row>
    <row r="62" spans="1:59" s="247" customFormat="1" ht="69" customHeight="1">
      <c r="A62" s="540" t="s">
        <v>50</v>
      </c>
      <c r="B62" s="541" t="s">
        <v>51</v>
      </c>
      <c r="C62" s="541" t="s">
        <v>52</v>
      </c>
      <c r="D62" s="542">
        <v>1</v>
      </c>
      <c r="E62" s="542">
        <v>431</v>
      </c>
      <c r="F62" s="515" t="s">
        <v>54</v>
      </c>
      <c r="G62" s="517"/>
      <c r="H62" s="516" t="s">
        <v>55</v>
      </c>
      <c r="I62" s="518"/>
      <c r="J62" s="517"/>
      <c r="K62" s="515"/>
      <c r="L62" s="516" t="s">
        <v>51</v>
      </c>
      <c r="M62" s="516" t="s">
        <v>58</v>
      </c>
      <c r="N62" s="516"/>
      <c r="O62" s="516" t="s">
        <v>95</v>
      </c>
      <c r="P62" s="516" t="s">
        <v>85</v>
      </c>
      <c r="Q62" s="516" t="s">
        <v>86</v>
      </c>
      <c r="R62" s="516" t="s">
        <v>87</v>
      </c>
      <c r="S62" s="516"/>
      <c r="T62" s="526" t="s">
        <v>181</v>
      </c>
      <c r="U62" s="516">
        <v>4</v>
      </c>
      <c r="V62" s="516"/>
      <c r="W62" s="516" t="s">
        <v>64</v>
      </c>
      <c r="X62" s="516" t="s">
        <v>65</v>
      </c>
      <c r="Y62" s="516"/>
      <c r="Z62" s="516"/>
      <c r="AA62" s="516"/>
      <c r="AB62" s="516"/>
      <c r="AC62" s="516"/>
      <c r="AD62" s="516"/>
      <c r="AE62" s="514">
        <f>IFERROR(IF(Хронология[[#This Row],[Забой, м]]-V61&lt;0, 0, Хронология[[#This Row],[Забой, м]]-V61), 0)</f>
        <v>0</v>
      </c>
      <c r="AF62" s="521">
        <f t="shared" si="0"/>
        <v>46156.833333333285</v>
      </c>
      <c r="AG62" s="521">
        <f>Хронология[[#This Row],[Начало]]+Хронология[[#This Row],[Сутки]]</f>
        <v>46156.999999999949</v>
      </c>
      <c r="AH62" s="522">
        <f>Хронология[[#This Row],[Часы]]/24</f>
        <v>0.16666666666666666</v>
      </c>
      <c r="AI62" s="522">
        <f>IFERROR(Хронология[[#This Row],[Сутки]]+AI61, Хронология[[#This Row],[Сутки]])</f>
        <v>12.166666666666663</v>
      </c>
      <c r="AJ62"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ПНВ</v>
      </c>
      <c r="AK62"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0.29999999999999982</v>
      </c>
      <c r="AL62"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3.7</v>
      </c>
      <c r="AM62" s="527">
        <f>IF(Хронология[[#This Row],[Результат]]="НПВ", Хронология[[#This Row],[Часы]], 0)</f>
        <v>0</v>
      </c>
      <c r="AN62" s="518">
        <f>SUMIFS(Хронология[НПВ], Хронология[Скважина], Хронология[[#This Row],[Скважина]], Хронология[Начало], "&lt;=" &amp; Хронология[[#This Row],[Начало]])</f>
        <v>29</v>
      </c>
      <c r="AO62" s="518">
        <f>SUMIFS(Хронология[ПНВ], Хронология[Скважина], Хронология[[#This Row],[Скважина]], Хронология[Начало], "&lt;=" &amp; Хронология[[#This Row],[Начало]])</f>
        <v>107.0496</v>
      </c>
      <c r="AP62" s="523">
        <f>INT(ROUND(Хронология[[#This Row],[Начало]], 3))</f>
        <v>46156</v>
      </c>
      <c r="AQ62" s="524">
        <f>Хронология[[#This Row],[Начало]]-INT(Хронология[[#This Row],[Начало]])</f>
        <v>0.83333333328482695</v>
      </c>
      <c r="AR62" s="523">
        <f>INT(ROUND(Хронология[[#This Row],[Окончание]], 3))</f>
        <v>46157</v>
      </c>
      <c r="AS62" s="524">
        <f>Хронология[[#This Row],[Окончание]]-INT(Хронология[[#This Row],[Окончание]])</f>
        <v>0.9999999999490683</v>
      </c>
      <c r="AT62" s="524" t="str">
        <f>Хронология[[#This Row],[Мастер]] &amp; CHAR(10) &amp; Хронология[[#This Row],[Помощник мастера]] &amp; CHAR(10) &amp; Хронология[[#This Row],[Бурильщик]]</f>
        <v>Вдовин И.О.
Жангазиев С.К.</v>
      </c>
      <c r="AU62"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431 ОК– КРС Срыв Планшайба </v>
      </c>
      <c r="AV62" s="518" t="str">
        <f>Хронология[[#This Row],[Результат]]&amp;":  "&amp;Хронология[[#This Row],[Событие]]&amp; CHAR(10) &amp;Хронология[[#This Row],[Вид работ]]&amp;"  "&amp;Хронология[[#This Row],[Объект работ]]</f>
        <v>ПНВ:  
Срыв  Планшайба</v>
      </c>
      <c r="AW62" s="522">
        <f>SUMIF($AU$2:AU62, Хронология[[#This Row],[Ключ]], $AH$2:AH62)</f>
        <v>0.16666666666666666</v>
      </c>
      <c r="AX62" s="516" t="str">
        <f>Хронология[[#This Row],[Вид работ]] &amp; " " &amp; Хронология[[#This Row],[Объект работ]]</f>
        <v>Срыв Планшайба</v>
      </c>
      <c r="AY62" s="339"/>
      <c r="AZ62" s="339"/>
      <c r="BA62" s="339"/>
      <c r="BB62" s="339"/>
      <c r="BC62" s="339"/>
      <c r="BD62" s="339"/>
      <c r="BE62" s="339"/>
      <c r="BF62" s="339"/>
      <c r="BG62" s="339"/>
    </row>
    <row r="63" spans="1:59" s="247" customFormat="1" ht="69" customHeight="1">
      <c r="A63" s="540" t="s">
        <v>50</v>
      </c>
      <c r="B63" s="541" t="s">
        <v>51</v>
      </c>
      <c r="C63" s="541" t="s">
        <v>52</v>
      </c>
      <c r="D63" s="542">
        <v>1</v>
      </c>
      <c r="E63" s="542">
        <v>431</v>
      </c>
      <c r="F63" s="515" t="s">
        <v>66</v>
      </c>
      <c r="G63" s="517"/>
      <c r="H63" s="516" t="s">
        <v>67</v>
      </c>
      <c r="I63" s="518"/>
      <c r="J63" s="517"/>
      <c r="K63" s="515"/>
      <c r="L63" s="516" t="s">
        <v>51</v>
      </c>
      <c r="M63" s="516" t="s">
        <v>58</v>
      </c>
      <c r="N63" s="516"/>
      <c r="O63" s="516" t="s">
        <v>95</v>
      </c>
      <c r="P63" s="516" t="s">
        <v>85</v>
      </c>
      <c r="Q63" s="516" t="s">
        <v>86</v>
      </c>
      <c r="R63" s="516" t="s">
        <v>87</v>
      </c>
      <c r="S63" s="516"/>
      <c r="T63" s="526" t="s">
        <v>182</v>
      </c>
      <c r="U63" s="516">
        <v>7</v>
      </c>
      <c r="V63" s="516"/>
      <c r="W63" s="516" t="s">
        <v>64</v>
      </c>
      <c r="X63" s="516" t="s">
        <v>65</v>
      </c>
      <c r="Y63" s="516"/>
      <c r="Z63" s="516"/>
      <c r="AA63" s="516"/>
      <c r="AB63" s="516"/>
      <c r="AC63" s="516"/>
      <c r="AD63" s="516"/>
      <c r="AE63" s="514">
        <f>IFERROR(IF(Хронология[[#This Row],[Забой, м]]-V62&lt;0, 0, Хронология[[#This Row],[Забой, м]]-V62), 0)</f>
        <v>0</v>
      </c>
      <c r="AF63" s="521">
        <f t="shared" si="0"/>
        <v>46156.999999999949</v>
      </c>
      <c r="AG63" s="521">
        <f>Хронология[[#This Row],[Начало]]+Хронология[[#This Row],[Сутки]]</f>
        <v>46157.291666666613</v>
      </c>
      <c r="AH63" s="522">
        <f>Хронология[[#This Row],[Часы]]/24</f>
        <v>0.29166666666666669</v>
      </c>
      <c r="AI63" s="522">
        <f>IFERROR(Хронология[[#This Row],[Сутки]]+AI62, Хронология[[#This Row],[Сутки]])</f>
        <v>12.458333333333329</v>
      </c>
      <c r="AJ63"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ПНВ</v>
      </c>
      <c r="AK63"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8.8817841970012523E-16</v>
      </c>
      <c r="AL63"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6.9999999999999991</v>
      </c>
      <c r="AM63" s="527">
        <f>IF(Хронология[[#This Row],[Результат]]="НПВ", Хронология[[#This Row],[Часы]], 0)</f>
        <v>0</v>
      </c>
      <c r="AN63" s="518">
        <f>SUMIFS(Хронология[НПВ], Хронология[Скважина], Хронология[[#This Row],[Скважина]], Хронология[Начало], "&lt;=" &amp; Хронология[[#This Row],[Начало]])</f>
        <v>29</v>
      </c>
      <c r="AO63" s="518">
        <f>SUMIFS(Хронология[ПНВ], Хронология[Скважина], Хронология[[#This Row],[Скважина]], Хронология[Начало], "&lt;=" &amp; Хронология[[#This Row],[Начало]])</f>
        <v>114.0496</v>
      </c>
      <c r="AP63" s="523">
        <f>INT(ROUND(Хронология[[#This Row],[Начало]], 3))</f>
        <v>46157</v>
      </c>
      <c r="AQ63" s="524">
        <f>Хронология[[#This Row],[Начало]]-INT(Хронология[[#This Row],[Начало]])</f>
        <v>0.9999999999490683</v>
      </c>
      <c r="AR63" s="523">
        <f>INT(ROUND(Хронология[[#This Row],[Окончание]], 3))</f>
        <v>46157</v>
      </c>
      <c r="AS63" s="524">
        <f>Хронология[[#This Row],[Окончание]]-INT(Хронология[[#This Row],[Окончание]])</f>
        <v>0.29166666661330964</v>
      </c>
      <c r="AT63" s="524" t="str">
        <f>Хронология[[#This Row],[Мастер]] &amp; CHAR(10) &amp; Хронология[[#This Row],[Помощник мастера]] &amp; CHAR(10) &amp; Хронология[[#This Row],[Бурильщик]]</f>
        <v>Жабин П.П.
Керимов Н.К.</v>
      </c>
      <c r="AU63"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431 ОК– КРС Срыв Планшайба </v>
      </c>
      <c r="AV63" s="518" t="str">
        <f>Хронология[[#This Row],[Результат]]&amp;":  "&amp;Хронология[[#This Row],[Событие]]&amp; CHAR(10) &amp;Хронология[[#This Row],[Вид работ]]&amp;"  "&amp;Хронология[[#This Row],[Объект работ]]</f>
        <v>ПНВ:  
Срыв  Планшайба</v>
      </c>
      <c r="AW63" s="522">
        <f>SUMIF($AU$2:AU63, Хронология[[#This Row],[Ключ]], $AH$2:AH63)</f>
        <v>0.45833333333333337</v>
      </c>
      <c r="AX63" s="516" t="str">
        <f>Хронология[[#This Row],[Вид работ]] &amp; " " &amp; Хронология[[#This Row],[Объект работ]]</f>
        <v>Срыв Планшайба</v>
      </c>
      <c r="AY63" s="339"/>
      <c r="AZ63" s="339"/>
      <c r="BA63" s="339"/>
      <c r="BB63" s="339"/>
      <c r="BC63" s="339"/>
      <c r="BD63" s="339"/>
      <c r="BE63" s="339"/>
      <c r="BF63" s="339"/>
      <c r="BG63" s="339"/>
    </row>
    <row r="64" spans="1:59" s="247" customFormat="1" ht="69" customHeight="1">
      <c r="A64" s="540" t="s">
        <v>50</v>
      </c>
      <c r="B64" s="541" t="s">
        <v>51</v>
      </c>
      <c r="C64" s="541" t="s">
        <v>52</v>
      </c>
      <c r="D64" s="542">
        <v>1</v>
      </c>
      <c r="E64" s="542">
        <v>431</v>
      </c>
      <c r="F64" s="515" t="s">
        <v>183</v>
      </c>
      <c r="G64" s="517"/>
      <c r="H64" s="516" t="s">
        <v>55</v>
      </c>
      <c r="I64" s="518"/>
      <c r="J64" s="517"/>
      <c r="K64" s="515"/>
      <c r="L64" s="516" t="s">
        <v>51</v>
      </c>
      <c r="M64" s="516" t="s">
        <v>58</v>
      </c>
      <c r="N64" s="516"/>
      <c r="O64" s="516" t="s">
        <v>90</v>
      </c>
      <c r="P64" s="516" t="s">
        <v>106</v>
      </c>
      <c r="Q64" s="516" t="s">
        <v>92</v>
      </c>
      <c r="R64" s="516" t="s">
        <v>184</v>
      </c>
      <c r="S64" s="516"/>
      <c r="T64" s="526" t="s">
        <v>185</v>
      </c>
      <c r="U64" s="516">
        <v>5</v>
      </c>
      <c r="V64" s="516"/>
      <c r="W64" s="516" t="s">
        <v>64</v>
      </c>
      <c r="X64" s="516" t="s">
        <v>65</v>
      </c>
      <c r="Y64" s="516"/>
      <c r="Z64" s="516"/>
      <c r="AA64" s="516"/>
      <c r="AB64" s="516"/>
      <c r="AC64" s="516"/>
      <c r="AD64" s="516"/>
      <c r="AE64" s="514">
        <f>IFERROR(IF(Хронология[[#This Row],[Забой, м]]-V63&lt;0, 0, Хронология[[#This Row],[Забой, м]]-V63), 0)</f>
        <v>0</v>
      </c>
      <c r="AF64" s="521">
        <f t="shared" si="0"/>
        <v>46157.291666666613</v>
      </c>
      <c r="AG64" s="521">
        <f>Хронология[[#This Row],[Начало]]+Хронология[[#This Row],[Сутки]]</f>
        <v>46157.499999999949</v>
      </c>
      <c r="AH64" s="522">
        <f>Хронология[[#This Row],[Часы]]/24</f>
        <v>0.20833333333333334</v>
      </c>
      <c r="AI64" s="522">
        <f>IFERROR(Хронология[[#This Row],[Сутки]]+AI63, Хронология[[#This Row],[Сутки]])</f>
        <v>12.666666666666663</v>
      </c>
      <c r="AJ64"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ПНВ</v>
      </c>
      <c r="AK64"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0.97440000000000015</v>
      </c>
      <c r="AL64"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4.0255999999999998</v>
      </c>
      <c r="AM64" s="527">
        <f>IF(Хронология[[#This Row],[Результат]]="НПВ", Хронология[[#This Row],[Часы]], 0)</f>
        <v>0</v>
      </c>
      <c r="AN64" s="518">
        <f>SUMIFS(Хронология[НПВ], Хронология[Скважина], Хронология[[#This Row],[Скважина]], Хронология[Начало], "&lt;=" &amp; Хронология[[#This Row],[Начало]])</f>
        <v>29</v>
      </c>
      <c r="AO64" s="518">
        <f>SUMIFS(Хронология[ПНВ], Хронология[Скважина], Хронология[[#This Row],[Скважина]], Хронология[Начало], "&lt;=" &amp; Хронология[[#This Row],[Начало]])</f>
        <v>118.0752</v>
      </c>
      <c r="AP64" s="523">
        <f>INT(ROUND(Хронология[[#This Row],[Начало]], 3))</f>
        <v>46157</v>
      </c>
      <c r="AQ64" s="524">
        <f>Хронология[[#This Row],[Начало]]-INT(Хронология[[#This Row],[Начало]])</f>
        <v>0.29166666661330964</v>
      </c>
      <c r="AR64" s="523">
        <f>INT(ROUND(Хронология[[#This Row],[Окончание]], 3))</f>
        <v>46157</v>
      </c>
      <c r="AS64" s="524">
        <f>Хронология[[#This Row],[Окончание]]-INT(Хронология[[#This Row],[Окончание]])</f>
        <v>0.4999999999490683</v>
      </c>
      <c r="AT64" s="524" t="str">
        <f>Хронология[[#This Row],[Мастер]] &amp; CHAR(10) &amp; Хронология[[#This Row],[Помощник мастера]] &amp; CHAR(10) &amp; Хронология[[#This Row],[Бурильщик]]</f>
        <v>Тарасов А.С.
Жангазиев С.К.</v>
      </c>
      <c r="AU64"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431 ОК– КРС Спуск Пакер </v>
      </c>
      <c r="AV64" s="518" t="str">
        <f>Хронология[[#This Row],[Результат]]&amp;":  "&amp;Хронология[[#This Row],[Событие]]&amp; CHAR(10) &amp;Хронология[[#This Row],[Вид работ]]&amp;"  "&amp;Хронология[[#This Row],[Объект работ]]</f>
        <v>ПНВ:  
Спуск  Пакер</v>
      </c>
      <c r="AW64" s="522">
        <f>SUMIF($AU$2:AU64, Хронология[[#This Row],[Ключ]], $AH$2:AH64)</f>
        <v>0.20833333333333334</v>
      </c>
      <c r="AX64" s="516" t="str">
        <f>Хронология[[#This Row],[Вид работ]] &amp; " " &amp; Хронология[[#This Row],[Объект работ]]</f>
        <v>Спуск Пакер</v>
      </c>
      <c r="AY64" s="339"/>
      <c r="AZ64" s="339"/>
      <c r="BA64" s="339"/>
      <c r="BB64" s="339"/>
      <c r="BC64" s="339"/>
      <c r="BD64" s="339"/>
      <c r="BE64" s="339"/>
      <c r="BF64" s="339"/>
      <c r="BG64" s="339"/>
    </row>
    <row r="65" spans="1:65" s="247" customFormat="1" ht="69" customHeight="1">
      <c r="A65" s="540" t="s">
        <v>50</v>
      </c>
      <c r="B65" s="541" t="s">
        <v>51</v>
      </c>
      <c r="C65" s="541" t="s">
        <v>52</v>
      </c>
      <c r="D65" s="542">
        <v>1</v>
      </c>
      <c r="E65" s="542">
        <v>431</v>
      </c>
      <c r="F65" s="515" t="s">
        <v>183</v>
      </c>
      <c r="G65" s="517"/>
      <c r="H65" s="516" t="s">
        <v>55</v>
      </c>
      <c r="I65" s="518"/>
      <c r="J65" s="517"/>
      <c r="K65" s="515"/>
      <c r="L65" s="516" t="s">
        <v>51</v>
      </c>
      <c r="M65" s="516" t="s">
        <v>76</v>
      </c>
      <c r="N65" s="516" t="s">
        <v>77</v>
      </c>
      <c r="O65" s="516" t="s">
        <v>78</v>
      </c>
      <c r="P65" s="516" t="s">
        <v>79</v>
      </c>
      <c r="Q65" s="516" t="s">
        <v>80</v>
      </c>
      <c r="R65" s="516" t="s">
        <v>81</v>
      </c>
      <c r="S65" s="516"/>
      <c r="T65" s="526" t="s">
        <v>186</v>
      </c>
      <c r="U65" s="516">
        <v>12</v>
      </c>
      <c r="V65" s="516"/>
      <c r="W65" s="516" t="s">
        <v>64</v>
      </c>
      <c r="X65" s="516" t="s">
        <v>83</v>
      </c>
      <c r="Y65" s="516"/>
      <c r="Z65" s="516"/>
      <c r="AA65" s="516"/>
      <c r="AB65" s="516"/>
      <c r="AC65" s="516"/>
      <c r="AD65" s="516"/>
      <c r="AE65" s="514">
        <f>IFERROR(IF(Хронология[[#This Row],[Забой, м]]-V64&lt;0, 0, Хронология[[#This Row],[Забой, м]]-V64), 0)</f>
        <v>0</v>
      </c>
      <c r="AF65" s="521">
        <f t="shared" si="0"/>
        <v>46157.499999999949</v>
      </c>
      <c r="AG65" s="521">
        <f>Хронология[[#This Row],[Начало]]+Хронология[[#This Row],[Сутки]]</f>
        <v>46157.999999999949</v>
      </c>
      <c r="AH65" s="522">
        <f>Хронология[[#This Row],[Часы]]/24</f>
        <v>0.5</v>
      </c>
      <c r="AI65" s="522">
        <f>IFERROR(Хронология[[#This Row],[Сутки]]+AI64, Хронология[[#This Row],[Сутки]])</f>
        <v>13.166666666666663</v>
      </c>
      <c r="AJ65"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НПВ</v>
      </c>
      <c r="AK65"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v>
      </c>
      <c r="AL65"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v>
      </c>
      <c r="AM65" s="527">
        <f>IF(Хронология[[#This Row],[Результат]]="НПВ", Хронология[[#This Row],[Часы]], 0)</f>
        <v>12</v>
      </c>
      <c r="AN65" s="518">
        <f>SUMIFS(Хронология[НПВ], Хронология[Скважина], Хронология[[#This Row],[Скважина]], Хронология[Начало], "&lt;=" &amp; Хронология[[#This Row],[Начало]])</f>
        <v>41</v>
      </c>
      <c r="AO65" s="518">
        <f>SUMIFS(Хронология[ПНВ], Хронология[Скважина], Хронология[[#This Row],[Скважина]], Хронология[Начало], "&lt;=" &amp; Хронология[[#This Row],[Начало]])</f>
        <v>118.0752</v>
      </c>
      <c r="AP65" s="523">
        <f>INT(ROUND(Хронология[[#This Row],[Начало]], 3))</f>
        <v>46157</v>
      </c>
      <c r="AQ65" s="524">
        <f>Хронология[[#This Row],[Начало]]-INT(Хронология[[#This Row],[Начало]])</f>
        <v>0.4999999999490683</v>
      </c>
      <c r="AR65" s="523">
        <f>INT(ROUND(Хронология[[#This Row],[Окончание]], 3))</f>
        <v>46158</v>
      </c>
      <c r="AS65" s="524">
        <f>Хронология[[#This Row],[Окончание]]-INT(Хронология[[#This Row],[Окончание]])</f>
        <v>0.9999999999490683</v>
      </c>
      <c r="AT65" s="524" t="str">
        <f>Хронология[[#This Row],[Мастер]] &amp; CHAR(10) &amp; Хронология[[#This Row],[Помощник мастера]] &amp; CHAR(10) &amp; Хронология[[#This Row],[Бурильщик]]</f>
        <v>Тарасов А.С.
Жангазиев С.К.</v>
      </c>
      <c r="AU65"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431 ОК– КРС Орг_простой Ожидание разрешения Устранение Предписания </v>
      </c>
      <c r="AV65" s="518" t="str">
        <f>Хронология[[#This Row],[Результат]]&amp;":  "&amp;Хронология[[#This Row],[Событие]]&amp; CHAR(10) &amp;Хронология[[#This Row],[Вид работ]]&amp;"  "&amp;Хронология[[#This Row],[Объект работ]]</f>
        <v>НПВ:  Ожидание разрешения
Устранение  Предписания</v>
      </c>
      <c r="AW65" s="522">
        <f>SUMIF($AU$2:AU65, Хронология[[#This Row],[Ключ]], $AH$2:AH65)</f>
        <v>0.5</v>
      </c>
      <c r="AX65" s="516" t="str">
        <f>Хронология[[#This Row],[Вид работ]] &amp; " " &amp; Хронология[[#This Row],[Объект работ]]</f>
        <v>Устранение Предписания</v>
      </c>
      <c r="AZ65" s="339"/>
      <c r="BA65" s="339"/>
      <c r="BB65" s="339"/>
      <c r="BC65" s="339"/>
      <c r="BD65" s="339"/>
      <c r="BE65" s="339"/>
      <c r="BF65" s="339"/>
      <c r="BG65" s="339"/>
      <c r="BH65" s="339"/>
      <c r="BI65" s="339"/>
      <c r="BJ65" s="339"/>
      <c r="BK65" s="339"/>
      <c r="BL65" s="339"/>
      <c r="BM65" s="339"/>
    </row>
    <row r="66" spans="1:65" s="247" customFormat="1" ht="69" customHeight="1">
      <c r="A66" s="540" t="s">
        <v>50</v>
      </c>
      <c r="B66" s="541" t="s">
        <v>51</v>
      </c>
      <c r="C66" s="541" t="s">
        <v>52</v>
      </c>
      <c r="D66" s="542">
        <v>1</v>
      </c>
      <c r="E66" s="542">
        <v>431</v>
      </c>
      <c r="F66" s="515" t="s">
        <v>66</v>
      </c>
      <c r="G66" s="517"/>
      <c r="H66" s="516" t="s">
        <v>67</v>
      </c>
      <c r="I66" s="518"/>
      <c r="J66" s="517"/>
      <c r="K66" s="515"/>
      <c r="L66" s="516" t="s">
        <v>51</v>
      </c>
      <c r="M66" s="516" t="s">
        <v>76</v>
      </c>
      <c r="N66" s="516" t="s">
        <v>77</v>
      </c>
      <c r="O66" s="516" t="s">
        <v>78</v>
      </c>
      <c r="P66" s="516" t="s">
        <v>79</v>
      </c>
      <c r="Q66" s="516" t="s">
        <v>80</v>
      </c>
      <c r="R66" s="516" t="s">
        <v>81</v>
      </c>
      <c r="S66" s="516"/>
      <c r="T66" s="526" t="s">
        <v>186</v>
      </c>
      <c r="U66" s="516">
        <v>16</v>
      </c>
      <c r="V66" s="516"/>
      <c r="W66" s="516" t="s">
        <v>64</v>
      </c>
      <c r="X66" s="516" t="s">
        <v>83</v>
      </c>
      <c r="Y66" s="516"/>
      <c r="Z66" s="516"/>
      <c r="AA66" s="516"/>
      <c r="AB66" s="516"/>
      <c r="AC66" s="516"/>
      <c r="AD66" s="516"/>
      <c r="AE66" s="514">
        <f>IFERROR(IF(Хронология[[#This Row],[Забой, м]]-V65&lt;0, 0, Хронология[[#This Row],[Забой, м]]-V65), 0)</f>
        <v>0</v>
      </c>
      <c r="AF66" s="521">
        <f t="shared" si="0"/>
        <v>46157.999999999949</v>
      </c>
      <c r="AG66" s="521">
        <f>Хронология[[#This Row],[Начало]]+Хронология[[#This Row],[Сутки]]</f>
        <v>46158.666666666613</v>
      </c>
      <c r="AH66" s="522">
        <f>Хронология[[#This Row],[Часы]]/24</f>
        <v>0.66666666666666663</v>
      </c>
      <c r="AI66" s="522">
        <f>IFERROR(Хронология[[#This Row],[Сутки]]+AI65, Хронология[[#This Row],[Сутки]])</f>
        <v>13.833333333333329</v>
      </c>
      <c r="AJ66"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НПВ</v>
      </c>
      <c r="AK66"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v>
      </c>
      <c r="AL66"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v>
      </c>
      <c r="AM66" s="527">
        <f>IF(Хронология[[#This Row],[Результат]]="НПВ", Хронология[[#This Row],[Часы]], 0)</f>
        <v>16</v>
      </c>
      <c r="AN66" s="518">
        <f>SUMIFS(Хронология[НПВ], Хронология[Скважина], Хронология[[#This Row],[Скважина]], Хронология[Начало], "&lt;=" &amp; Хронология[[#This Row],[Начало]])</f>
        <v>57</v>
      </c>
      <c r="AO66" s="518">
        <f>SUMIFS(Хронология[ПНВ], Хронология[Скважина], Хронология[[#This Row],[Скважина]], Хронология[Начало], "&lt;=" &amp; Хронология[[#This Row],[Начало]])</f>
        <v>118.0752</v>
      </c>
      <c r="AP66" s="523">
        <f>INT(ROUND(Хронология[[#This Row],[Начало]], 3))</f>
        <v>46158</v>
      </c>
      <c r="AQ66" s="524">
        <f>Хронология[[#This Row],[Начало]]-INT(Хронология[[#This Row],[Начало]])</f>
        <v>0.9999999999490683</v>
      </c>
      <c r="AR66" s="523">
        <f>INT(ROUND(Хронология[[#This Row],[Окончание]], 3))</f>
        <v>46158</v>
      </c>
      <c r="AS66" s="524">
        <f>Хронология[[#This Row],[Окончание]]-INT(Хронология[[#This Row],[Окончание]])</f>
        <v>0.66666666661330964</v>
      </c>
      <c r="AT66" s="524" t="str">
        <f>Хронология[[#This Row],[Мастер]] &amp; CHAR(10) &amp; Хронология[[#This Row],[Помощник мастера]] &amp; CHAR(10) &amp; Хронология[[#This Row],[Бурильщик]]</f>
        <v>Жабин П.П.
Керимов Н.К.</v>
      </c>
      <c r="AU66"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431 ОК– КРС Орг_простой Ожидание разрешения Устранение Предписания </v>
      </c>
      <c r="AV66" s="518" t="str">
        <f>Хронология[[#This Row],[Результат]]&amp;":  "&amp;Хронология[[#This Row],[Событие]]&amp; CHAR(10) &amp;Хронология[[#This Row],[Вид работ]]&amp;"  "&amp;Хронология[[#This Row],[Объект работ]]</f>
        <v>НПВ:  Ожидание разрешения
Устранение  Предписания</v>
      </c>
      <c r="AW66" s="522">
        <f>SUMIF($AU$2:AU66, Хронология[[#This Row],[Ключ]], $AH$2:AH66)</f>
        <v>1.1666666666666665</v>
      </c>
      <c r="AX66" s="516" t="str">
        <f>Хронология[[#This Row],[Вид работ]] &amp; " " &amp; Хронология[[#This Row],[Объект работ]]</f>
        <v>Устранение Предписания</v>
      </c>
      <c r="AZ66" s="339"/>
      <c r="BA66" s="339"/>
      <c r="BB66" s="339"/>
      <c r="BC66" s="339"/>
      <c r="BD66" s="339"/>
      <c r="BE66" s="339"/>
      <c r="BF66" s="339"/>
      <c r="BG66" s="339"/>
      <c r="BH66" s="339"/>
      <c r="BI66" s="339"/>
      <c r="BJ66" s="339"/>
      <c r="BK66" s="339"/>
      <c r="BL66" s="339"/>
      <c r="BM66" s="339"/>
    </row>
    <row r="67" spans="1:65" s="247" customFormat="1" ht="69" customHeight="1">
      <c r="A67" s="540" t="s">
        <v>50</v>
      </c>
      <c r="B67" s="541" t="s">
        <v>51</v>
      </c>
      <c r="C67" s="541" t="s">
        <v>52</v>
      </c>
      <c r="D67" s="542">
        <v>1</v>
      </c>
      <c r="E67" s="542">
        <v>431</v>
      </c>
      <c r="F67" s="515" t="s">
        <v>183</v>
      </c>
      <c r="G67" s="517"/>
      <c r="H67" s="516" t="s">
        <v>55</v>
      </c>
      <c r="I67" s="518"/>
      <c r="J67" s="517"/>
      <c r="K67" s="515"/>
      <c r="L67" s="516" t="s">
        <v>51</v>
      </c>
      <c r="M67" s="516" t="s">
        <v>58</v>
      </c>
      <c r="N67" s="516"/>
      <c r="O67" s="516" t="s">
        <v>111</v>
      </c>
      <c r="P67" s="516" t="s">
        <v>150</v>
      </c>
      <c r="Q67" s="516" t="s">
        <v>86</v>
      </c>
      <c r="R67" s="516" t="s">
        <v>144</v>
      </c>
      <c r="S67" s="516"/>
      <c r="T67" s="526" t="s">
        <v>187</v>
      </c>
      <c r="U67" s="516">
        <v>4</v>
      </c>
      <c r="V67" s="516"/>
      <c r="W67" s="516"/>
      <c r="X67" s="516"/>
      <c r="Y67" s="516"/>
      <c r="Z67" s="516"/>
      <c r="AA67" s="516"/>
      <c r="AB67" s="516"/>
      <c r="AC67" s="516"/>
      <c r="AD67" s="516"/>
      <c r="AE67" s="514">
        <f>IFERROR(IF(Хронология[[#This Row],[Забой, м]]-V66&lt;0, 0, Хронология[[#This Row],[Забой, м]]-V66), 0)</f>
        <v>0</v>
      </c>
      <c r="AF67" s="521">
        <f t="shared" ref="AF67:AF130" si="1">AG66</f>
        <v>46158.666666666613</v>
      </c>
      <c r="AG67" s="521">
        <f>Хронология[[#This Row],[Начало]]+Хронология[[#This Row],[Сутки]]</f>
        <v>46158.833333333278</v>
      </c>
      <c r="AH67" s="522">
        <f>Хронология[[#This Row],[Часы]]/24</f>
        <v>0.16666666666666666</v>
      </c>
      <c r="AI67" s="522">
        <f>IFERROR(Хронология[[#This Row],[Сутки]]+AI66, Хронология[[#This Row],[Сутки]])</f>
        <v>13.999999999999995</v>
      </c>
      <c r="AJ67"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ПНВ</v>
      </c>
      <c r="AK67"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0.83999999999999986</v>
      </c>
      <c r="AL67"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3.16</v>
      </c>
      <c r="AM67" s="527">
        <f>IF(Хронология[[#This Row],[Результат]]="НПВ", Хронология[[#This Row],[Часы]], 0)</f>
        <v>0</v>
      </c>
      <c r="AN67" s="518">
        <f>SUMIFS(Хронология[НПВ], Хронология[Скважина], Хронология[[#This Row],[Скважина]], Хронология[Начало], "&lt;=" &amp; Хронология[[#This Row],[Начало]])</f>
        <v>57</v>
      </c>
      <c r="AO67" s="518">
        <f>SUMIFS(Хронология[ПНВ], Хронология[Скважина], Хронология[[#This Row],[Скважина]], Хронология[Начало], "&lt;=" &amp; Хронология[[#This Row],[Начало]])</f>
        <v>121.23519999999999</v>
      </c>
      <c r="AP67" s="523">
        <f>INT(ROUND(Хронология[[#This Row],[Начало]], 3))</f>
        <v>46158</v>
      </c>
      <c r="AQ67" s="524">
        <f>Хронология[[#This Row],[Начало]]-INT(Хронология[[#This Row],[Начало]])</f>
        <v>0.66666666661330964</v>
      </c>
      <c r="AR67" s="523">
        <f>INT(ROUND(Хронология[[#This Row],[Окончание]], 3))</f>
        <v>46158</v>
      </c>
      <c r="AS67" s="524">
        <f>Хронология[[#This Row],[Окончание]]-INT(Хронология[[#This Row],[Окончание]])</f>
        <v>0.83333333327755099</v>
      </c>
      <c r="AT67" s="524" t="str">
        <f>Хронология[[#This Row],[Мастер]] &amp; CHAR(10) &amp; Хронология[[#This Row],[Помощник мастера]] &amp; CHAR(10) &amp; Хронология[[#This Row],[Бурильщик]]</f>
        <v>Тарасов А.С.
Жангазиев С.К.</v>
      </c>
      <c r="AU67"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431 ОК– КРС Опрессовка Запорная арматура </v>
      </c>
      <c r="AV67" s="518" t="str">
        <f>Хронология[[#This Row],[Результат]]&amp;":  "&amp;Хронология[[#This Row],[Событие]]&amp; CHAR(10) &amp;Хронология[[#This Row],[Вид работ]]&amp;"  "&amp;Хронология[[#This Row],[Объект работ]]</f>
        <v>ПНВ:  
Опрессовка  Запорная арматура</v>
      </c>
      <c r="AW67" s="522">
        <f>SUMIF($AU$2:AU67, Хронология[[#This Row],[Ключ]], $AH$2:AH67)</f>
        <v>0.16666666666666666</v>
      </c>
      <c r="AX67" s="516" t="str">
        <f>Хронология[[#This Row],[Вид работ]] &amp; " " &amp; Хронология[[#This Row],[Объект работ]]</f>
        <v>Опрессовка Запорная арматура</v>
      </c>
      <c r="AZ67" s="339"/>
      <c r="BA67" s="339"/>
      <c r="BB67" s="339"/>
      <c r="BC67" s="339"/>
      <c r="BD67" s="339"/>
      <c r="BE67" s="339"/>
      <c r="BF67" s="339"/>
      <c r="BG67" s="339"/>
      <c r="BH67" s="339"/>
      <c r="BI67" s="339"/>
      <c r="BJ67" s="339"/>
      <c r="BK67" s="339"/>
      <c r="BL67" s="339"/>
      <c r="BM67" s="339"/>
    </row>
    <row r="68" spans="1:65" s="247" customFormat="1" ht="69" customHeight="1">
      <c r="A68" s="540" t="s">
        <v>50</v>
      </c>
      <c r="B68" s="541" t="s">
        <v>51</v>
      </c>
      <c r="C68" s="541" t="s">
        <v>52</v>
      </c>
      <c r="D68" s="542">
        <v>1</v>
      </c>
      <c r="E68" s="542">
        <v>431</v>
      </c>
      <c r="F68" s="515" t="s">
        <v>183</v>
      </c>
      <c r="G68" s="517"/>
      <c r="H68" s="516" t="s">
        <v>55</v>
      </c>
      <c r="I68" s="518"/>
      <c r="J68" s="517"/>
      <c r="K68" s="515"/>
      <c r="L68" s="516" t="s">
        <v>174</v>
      </c>
      <c r="M68" s="516" t="s">
        <v>58</v>
      </c>
      <c r="N68" s="516"/>
      <c r="O68" s="516" t="s">
        <v>169</v>
      </c>
      <c r="P68" s="516" t="s">
        <v>188</v>
      </c>
      <c r="Q68" s="516" t="s">
        <v>167</v>
      </c>
      <c r="R68" s="516" t="s">
        <v>4</v>
      </c>
      <c r="S68" s="516"/>
      <c r="T68" s="526" t="s">
        <v>189</v>
      </c>
      <c r="U68" s="516">
        <v>4</v>
      </c>
      <c r="V68" s="516"/>
      <c r="W68" s="516"/>
      <c r="X68" s="516"/>
      <c r="Y68" s="516"/>
      <c r="Z68" s="516"/>
      <c r="AA68" s="516"/>
      <c r="AB68" s="516"/>
      <c r="AC68" s="516"/>
      <c r="AD68" s="516"/>
      <c r="AE68" s="514">
        <f>IFERROR(IF(Хронология[[#This Row],[Забой, м]]-V67&lt;0, 0, Хронология[[#This Row],[Забой, м]]-V67), 0)</f>
        <v>0</v>
      </c>
      <c r="AF68" s="521">
        <f t="shared" si="1"/>
        <v>46158.833333333278</v>
      </c>
      <c r="AG68" s="521">
        <f>Хронология[[#This Row],[Начало]]+Хронология[[#This Row],[Сутки]]</f>
        <v>46158.999999999942</v>
      </c>
      <c r="AH68" s="522">
        <f>Хронология[[#This Row],[Часы]]/24</f>
        <v>0.16666666666666666</v>
      </c>
      <c r="AI68" s="522">
        <f>IFERROR(Хронология[[#This Row],[Сутки]]+AI67, Хронология[[#This Row],[Сутки]])</f>
        <v>14.166666666666661</v>
      </c>
      <c r="AJ68"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ПВ</v>
      </c>
      <c r="AK68"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4</v>
      </c>
      <c r="AL68"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v>
      </c>
      <c r="AM68" s="527">
        <f>IF(Хронология[[#This Row],[Результат]]="НПВ", Хронология[[#This Row],[Часы]], 0)</f>
        <v>0</v>
      </c>
      <c r="AN68" s="518">
        <f>SUMIFS(Хронология[НПВ], Хронология[Скважина], Хронология[[#This Row],[Скважина]], Хронология[Начало], "&lt;=" &amp; Хронология[[#This Row],[Начало]])</f>
        <v>57</v>
      </c>
      <c r="AO68" s="518">
        <f>SUMIFS(Хронология[ПНВ], Хронология[Скважина], Хронология[[#This Row],[Скважина]], Хронология[Начало], "&lt;=" &amp; Хронология[[#This Row],[Начало]])</f>
        <v>121.23519999999999</v>
      </c>
      <c r="AP68" s="523">
        <f>INT(ROUND(Хронология[[#This Row],[Начало]], 3))</f>
        <v>46158</v>
      </c>
      <c r="AQ68" s="524">
        <f>Хронология[[#This Row],[Начало]]-INT(Хронология[[#This Row],[Начало]])</f>
        <v>0.83333333327755099</v>
      </c>
      <c r="AR68" s="523">
        <f>INT(ROUND(Хронология[[#This Row],[Окончание]], 3))</f>
        <v>46159</v>
      </c>
      <c r="AS68" s="524">
        <f>Хронология[[#This Row],[Окончание]]-INT(Хронология[[#This Row],[Окончание]])</f>
        <v>0.99999999994179234</v>
      </c>
      <c r="AT68" s="524" t="str">
        <f>Хронология[[#This Row],[Мастер]] &amp; CHAR(10) &amp; Хронология[[#This Row],[Помощник мастера]] &amp; CHAR(10) &amp; Хронология[[#This Row],[Бурильщик]]</f>
        <v>Тарасов А.С.
Жангазиев С.К.</v>
      </c>
      <c r="AU68"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431 ОК– Доп. работы Промывка Скважина </v>
      </c>
      <c r="AV68" s="518" t="str">
        <f>Хронология[[#This Row],[Результат]]&amp;":  "&amp;Хронология[[#This Row],[Событие]]&amp; CHAR(10) &amp;Хронология[[#This Row],[Вид работ]]&amp;"  "&amp;Хронология[[#This Row],[Объект работ]]</f>
        <v>ПВ:  
Промывка  Скважина</v>
      </c>
      <c r="AW68" s="522">
        <f>SUMIF($AU$2:AU68, Хронология[[#This Row],[Ключ]], $AH$2:AH68)</f>
        <v>0.16666666666666666</v>
      </c>
      <c r="AX68" s="516" t="str">
        <f>Хронология[[#This Row],[Вид работ]] &amp; " " &amp; Хронология[[#This Row],[Объект работ]]</f>
        <v>Промывка Скважина</v>
      </c>
      <c r="AZ68" s="339"/>
      <c r="BA68" s="339"/>
      <c r="BB68" s="339"/>
      <c r="BC68" s="339"/>
      <c r="BD68" s="339"/>
      <c r="BE68" s="339"/>
      <c r="BF68" s="339"/>
      <c r="BG68" s="339"/>
      <c r="BH68" s="339"/>
      <c r="BI68" s="339"/>
      <c r="BJ68" s="339"/>
      <c r="BK68" s="339"/>
      <c r="BL68" s="339"/>
      <c r="BM68" s="339"/>
    </row>
    <row r="69" spans="1:65" s="247" customFormat="1" ht="69" customHeight="1">
      <c r="A69" s="540" t="s">
        <v>50</v>
      </c>
      <c r="B69" s="541" t="s">
        <v>51</v>
      </c>
      <c r="C69" s="541" t="s">
        <v>52</v>
      </c>
      <c r="D69" s="542">
        <v>1</v>
      </c>
      <c r="E69" s="542">
        <v>431</v>
      </c>
      <c r="F69" s="515" t="s">
        <v>66</v>
      </c>
      <c r="G69" s="517"/>
      <c r="H69" s="516" t="s">
        <v>67</v>
      </c>
      <c r="I69" s="518"/>
      <c r="J69" s="517"/>
      <c r="K69" s="515"/>
      <c r="L69" s="516" t="s">
        <v>51</v>
      </c>
      <c r="M69" s="516" t="s">
        <v>76</v>
      </c>
      <c r="N69" s="516" t="s">
        <v>190</v>
      </c>
      <c r="O69" s="516" t="s">
        <v>191</v>
      </c>
      <c r="P69" s="516" t="s">
        <v>192</v>
      </c>
      <c r="Q69" s="516" t="s">
        <v>80</v>
      </c>
      <c r="R69" s="516" t="s">
        <v>193</v>
      </c>
      <c r="S69" s="516"/>
      <c r="T69" s="526" t="s">
        <v>194</v>
      </c>
      <c r="U69" s="516">
        <v>7</v>
      </c>
      <c r="V69" s="516"/>
      <c r="W69" s="516" t="s">
        <v>64</v>
      </c>
      <c r="X69" s="516" t="s">
        <v>83</v>
      </c>
      <c r="Y69" s="516"/>
      <c r="Z69" s="516"/>
      <c r="AA69" s="516"/>
      <c r="AB69" s="516"/>
      <c r="AC69" s="516"/>
      <c r="AD69" s="516"/>
      <c r="AE69" s="514">
        <f>IFERROR(IF(Хронология[[#This Row],[Забой, м]]-V68&lt;0, 0, Хронология[[#This Row],[Забой, м]]-V68), 0)</f>
        <v>0</v>
      </c>
      <c r="AF69" s="521">
        <f t="shared" si="1"/>
        <v>46158.999999999942</v>
      </c>
      <c r="AG69" s="521">
        <f>Хронология[[#This Row],[Начало]]+Хронология[[#This Row],[Сутки]]</f>
        <v>46159.291666666606</v>
      </c>
      <c r="AH69" s="522">
        <f>Хронология[[#This Row],[Часы]]/24</f>
        <v>0.29166666666666669</v>
      </c>
      <c r="AI69" s="522">
        <f>IFERROR(Хронология[[#This Row],[Сутки]]+AI68, Хронология[[#This Row],[Сутки]])</f>
        <v>14.458333333333327</v>
      </c>
      <c r="AJ69"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НПВ</v>
      </c>
      <c r="AK69"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v>
      </c>
      <c r="AL69"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v>
      </c>
      <c r="AM69" s="527">
        <f>IF(Хронология[[#This Row],[Результат]]="НПВ", Хронология[[#This Row],[Часы]], 0)</f>
        <v>7</v>
      </c>
      <c r="AN69" s="518">
        <f>SUMIFS(Хронология[НПВ], Хронология[Скважина], Хронология[[#This Row],[Скважина]], Хронология[Начало], "&lt;=" &amp; Хронология[[#This Row],[Начало]])</f>
        <v>64</v>
      </c>
      <c r="AO69" s="518">
        <f>SUMIFS(Хронология[ПНВ], Хронология[Скважина], Хронология[[#This Row],[Скважина]], Хронология[Начало], "&lt;=" &amp; Хронология[[#This Row],[Начало]])</f>
        <v>121.23519999999999</v>
      </c>
      <c r="AP69" s="523">
        <f>INT(ROUND(Хронология[[#This Row],[Начало]], 3))</f>
        <v>46159</v>
      </c>
      <c r="AQ69" s="524">
        <f>Хронология[[#This Row],[Начало]]-INT(Хронология[[#This Row],[Начало]])</f>
        <v>0.99999999994179234</v>
      </c>
      <c r="AR69" s="523">
        <f>INT(ROUND(Хронология[[#This Row],[Окончание]], 3))</f>
        <v>46159</v>
      </c>
      <c r="AS69" s="524">
        <f>Хронология[[#This Row],[Окончание]]-INT(Хронология[[#This Row],[Окончание]])</f>
        <v>0.29166666660603369</v>
      </c>
      <c r="AT69" s="524" t="str">
        <f>Хронология[[#This Row],[Мастер]] &amp; CHAR(10) &amp; Хронология[[#This Row],[Помощник мастера]] &amp; CHAR(10) &amp; Хронология[[#This Row],[Бурильщик]]</f>
        <v>Жабин П.П.
Керимов Н.К.</v>
      </c>
      <c r="AU69"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431 ОК– КРС Орг_простой Ожидание персонала Ожидание Персонал </v>
      </c>
      <c r="AV69" s="518" t="str">
        <f>Хронология[[#This Row],[Результат]]&amp;":  "&amp;Хронология[[#This Row],[Событие]]&amp; CHAR(10) &amp;Хронология[[#This Row],[Вид работ]]&amp;"  "&amp;Хронология[[#This Row],[Объект работ]]</f>
        <v>НПВ:  Ожидание персонала
Ожидание  Персонал</v>
      </c>
      <c r="AW69" s="522">
        <f>SUMIF($AU$2:AU69, Хронология[[#This Row],[Ключ]], $AH$2:AH69)</f>
        <v>0.29166666666666669</v>
      </c>
      <c r="AX69" s="516" t="str">
        <f>Хронология[[#This Row],[Вид работ]] &amp; " " &amp; Хронология[[#This Row],[Объект работ]]</f>
        <v>Ожидание Персонал</v>
      </c>
      <c r="AZ69" s="339"/>
      <c r="BA69" s="339"/>
      <c r="BB69" s="339"/>
      <c r="BC69" s="339"/>
      <c r="BD69" s="339"/>
      <c r="BE69" s="339"/>
      <c r="BF69" s="339"/>
      <c r="BG69" s="339"/>
      <c r="BH69" s="339"/>
      <c r="BI69" s="339"/>
      <c r="BJ69" s="339"/>
      <c r="BK69" s="339"/>
      <c r="BL69" s="339"/>
      <c r="BM69" s="339"/>
    </row>
    <row r="70" spans="1:65" s="247" customFormat="1" ht="69" customHeight="1">
      <c r="A70" s="540" t="s">
        <v>50</v>
      </c>
      <c r="B70" s="541" t="s">
        <v>51</v>
      </c>
      <c r="C70" s="541" t="s">
        <v>52</v>
      </c>
      <c r="D70" s="542">
        <v>1</v>
      </c>
      <c r="E70" s="542">
        <v>431</v>
      </c>
      <c r="F70" s="515" t="s">
        <v>183</v>
      </c>
      <c r="G70" s="517"/>
      <c r="H70" s="516" t="s">
        <v>55</v>
      </c>
      <c r="I70" s="518"/>
      <c r="J70" s="517"/>
      <c r="K70" s="515"/>
      <c r="L70" s="516" t="s">
        <v>51</v>
      </c>
      <c r="M70" s="516" t="s">
        <v>76</v>
      </c>
      <c r="N70" s="516" t="s">
        <v>190</v>
      </c>
      <c r="O70" s="516" t="s">
        <v>191</v>
      </c>
      <c r="P70" s="516" t="s">
        <v>192</v>
      </c>
      <c r="Q70" s="516" t="s">
        <v>80</v>
      </c>
      <c r="R70" s="516" t="s">
        <v>193</v>
      </c>
      <c r="S70" s="516"/>
      <c r="T70" s="526" t="s">
        <v>195</v>
      </c>
      <c r="U70" s="516">
        <v>17</v>
      </c>
      <c r="V70" s="516"/>
      <c r="W70" s="516" t="s">
        <v>64</v>
      </c>
      <c r="X70" s="516" t="s">
        <v>83</v>
      </c>
      <c r="Y70" s="516"/>
      <c r="Z70" s="516"/>
      <c r="AA70" s="516"/>
      <c r="AB70" s="516"/>
      <c r="AC70" s="516"/>
      <c r="AD70" s="516"/>
      <c r="AE70" s="514">
        <f>IFERROR(IF(Хронология[[#This Row],[Забой, м]]-V69&lt;0, 0, Хронология[[#This Row],[Забой, м]]-V69), 0)</f>
        <v>0</v>
      </c>
      <c r="AF70" s="521">
        <f t="shared" si="1"/>
        <v>46159.291666666606</v>
      </c>
      <c r="AG70" s="521">
        <f>Хронология[[#This Row],[Начало]]+Хронология[[#This Row],[Сутки]]</f>
        <v>46159.999999999942</v>
      </c>
      <c r="AH70" s="522">
        <f>Хронология[[#This Row],[Часы]]/24</f>
        <v>0.70833333333333337</v>
      </c>
      <c r="AI70" s="522">
        <f>IFERROR(Хронология[[#This Row],[Сутки]]+AI69, Хронология[[#This Row],[Сутки]])</f>
        <v>15.166666666666661</v>
      </c>
      <c r="AJ70"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НПВ</v>
      </c>
      <c r="AK70"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v>
      </c>
      <c r="AL70"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v>
      </c>
      <c r="AM70" s="527">
        <f>IF(Хронология[[#This Row],[Результат]]="НПВ", Хронология[[#This Row],[Часы]], 0)</f>
        <v>17</v>
      </c>
      <c r="AN70" s="518">
        <f>SUMIFS(Хронология[НПВ], Хронология[Скважина], Хронология[[#This Row],[Скважина]], Хронология[Начало], "&lt;=" &amp; Хронология[[#This Row],[Начало]])</f>
        <v>81</v>
      </c>
      <c r="AO70" s="518">
        <f>SUMIFS(Хронология[ПНВ], Хронология[Скважина], Хронология[[#This Row],[Скважина]], Хронология[Начало], "&lt;=" &amp; Хронология[[#This Row],[Начало]])</f>
        <v>121.23519999999999</v>
      </c>
      <c r="AP70" s="523">
        <f>INT(ROUND(Хронология[[#This Row],[Начало]], 3))</f>
        <v>46159</v>
      </c>
      <c r="AQ70" s="524">
        <f>Хронология[[#This Row],[Начало]]-INT(Хронология[[#This Row],[Начало]])</f>
        <v>0.29166666660603369</v>
      </c>
      <c r="AR70" s="523">
        <f>INT(ROUND(Хронология[[#This Row],[Окончание]], 3))</f>
        <v>46160</v>
      </c>
      <c r="AS70" s="524">
        <f>Хронология[[#This Row],[Окончание]]-INT(Хронология[[#This Row],[Окончание]])</f>
        <v>0.99999999994179234</v>
      </c>
      <c r="AT70" s="524" t="str">
        <f>Хронология[[#This Row],[Мастер]] &amp; CHAR(10) &amp; Хронология[[#This Row],[Помощник мастера]] &amp; CHAR(10) &amp; Хронология[[#This Row],[Бурильщик]]</f>
        <v>Тарасов А.С.
Жангазиев С.К.</v>
      </c>
      <c r="AU70"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431 ОК– КРС Орг_простой Ожидание персонала Ожидание Персонал </v>
      </c>
      <c r="AV70" s="518" t="str">
        <f>Хронология[[#This Row],[Результат]]&amp;":  "&amp;Хронология[[#This Row],[Событие]]&amp; CHAR(10) &amp;Хронология[[#This Row],[Вид работ]]&amp;"  "&amp;Хронология[[#This Row],[Объект работ]]</f>
        <v>НПВ:  Ожидание персонала
Ожидание  Персонал</v>
      </c>
      <c r="AW70" s="522">
        <f>SUMIF($AU$2:AU70, Хронология[[#This Row],[Ключ]], $AH$2:AH70)</f>
        <v>1</v>
      </c>
      <c r="AX70" s="516" t="str">
        <f>Хронология[[#This Row],[Вид работ]] &amp; " " &amp; Хронология[[#This Row],[Объект работ]]</f>
        <v>Ожидание Персонал</v>
      </c>
      <c r="AZ70" s="339"/>
      <c r="BA70" s="339"/>
      <c r="BB70" s="339"/>
      <c r="BC70" s="339"/>
      <c r="BD70" s="339"/>
      <c r="BE70" s="339"/>
      <c r="BF70" s="339"/>
      <c r="BG70" s="339"/>
      <c r="BH70" s="339"/>
      <c r="BI70" s="339"/>
      <c r="BJ70" s="339"/>
      <c r="BK70" s="339"/>
      <c r="BL70" s="339"/>
      <c r="BM70" s="339"/>
    </row>
    <row r="71" spans="1:65" s="247" customFormat="1" ht="69" customHeight="1">
      <c r="A71" s="540" t="s">
        <v>50</v>
      </c>
      <c r="B71" s="541" t="s">
        <v>51</v>
      </c>
      <c r="C71" s="541" t="s">
        <v>52</v>
      </c>
      <c r="D71" s="542">
        <v>1</v>
      </c>
      <c r="E71" s="542">
        <v>431</v>
      </c>
      <c r="F71" s="515" t="s">
        <v>66</v>
      </c>
      <c r="G71" s="517"/>
      <c r="H71" s="516" t="s">
        <v>67</v>
      </c>
      <c r="I71" s="518"/>
      <c r="J71" s="517"/>
      <c r="K71" s="515"/>
      <c r="L71" s="516" t="s">
        <v>51</v>
      </c>
      <c r="M71" s="516" t="s">
        <v>76</v>
      </c>
      <c r="N71" s="516" t="s">
        <v>190</v>
      </c>
      <c r="O71" s="516" t="s">
        <v>191</v>
      </c>
      <c r="P71" s="516" t="s">
        <v>192</v>
      </c>
      <c r="Q71" s="516" t="s">
        <v>80</v>
      </c>
      <c r="R71" s="516" t="s">
        <v>193</v>
      </c>
      <c r="S71" s="516"/>
      <c r="T71" s="526" t="s">
        <v>196</v>
      </c>
      <c r="U71" s="516">
        <v>12</v>
      </c>
      <c r="V71" s="516"/>
      <c r="W71" s="516" t="s">
        <v>64</v>
      </c>
      <c r="X71" s="516" t="s">
        <v>83</v>
      </c>
      <c r="Y71" s="516"/>
      <c r="Z71" s="516"/>
      <c r="AA71" s="516"/>
      <c r="AB71" s="516"/>
      <c r="AC71" s="516"/>
      <c r="AD71" s="516"/>
      <c r="AE71" s="514">
        <f>IFERROR(IF(Хронология[[#This Row],[Забой, м]]-V70&lt;0, 0, Хронология[[#This Row],[Забой, м]]-V70), 0)</f>
        <v>0</v>
      </c>
      <c r="AF71" s="521">
        <f t="shared" si="1"/>
        <v>46159.999999999942</v>
      </c>
      <c r="AG71" s="521">
        <f>Хронология[[#This Row],[Начало]]+Хронология[[#This Row],[Сутки]]</f>
        <v>46160.499999999942</v>
      </c>
      <c r="AH71" s="522">
        <f>Хронология[[#This Row],[Часы]]/24</f>
        <v>0.5</v>
      </c>
      <c r="AI71" s="522">
        <f>IFERROR(Хронология[[#This Row],[Сутки]]+AI70, Хронология[[#This Row],[Сутки]])</f>
        <v>15.666666666666661</v>
      </c>
      <c r="AJ71"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НПВ</v>
      </c>
      <c r="AK71"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v>
      </c>
      <c r="AL71"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v>
      </c>
      <c r="AM71" s="527">
        <f>IF(Хронология[[#This Row],[Результат]]="НПВ", Хронология[[#This Row],[Часы]], 0)</f>
        <v>12</v>
      </c>
      <c r="AN71" s="518">
        <f>SUMIFS(Хронология[НПВ], Хронология[Скважина], Хронология[[#This Row],[Скважина]], Хронология[Начало], "&lt;=" &amp; Хронология[[#This Row],[Начало]])</f>
        <v>93</v>
      </c>
      <c r="AO71" s="518">
        <f>SUMIFS(Хронология[ПНВ], Хронология[Скважина], Хронология[[#This Row],[Скважина]], Хронология[Начало], "&lt;=" &amp; Хронология[[#This Row],[Начало]])</f>
        <v>121.23519999999999</v>
      </c>
      <c r="AP71" s="523">
        <f>INT(ROUND(Хронология[[#This Row],[Начало]], 3))</f>
        <v>46160</v>
      </c>
      <c r="AQ71" s="524">
        <f>Хронология[[#This Row],[Начало]]-INT(Хронология[[#This Row],[Начало]])</f>
        <v>0.99999999994179234</v>
      </c>
      <c r="AR71" s="523">
        <f>INT(ROUND(Хронология[[#This Row],[Окончание]], 3))</f>
        <v>46160</v>
      </c>
      <c r="AS71" s="524">
        <f>Хронология[[#This Row],[Окончание]]-INT(Хронология[[#This Row],[Окончание]])</f>
        <v>0.49999999994179234</v>
      </c>
      <c r="AT71" s="524" t="str">
        <f>Хронология[[#This Row],[Мастер]] &amp; CHAR(10) &amp; Хронология[[#This Row],[Помощник мастера]] &amp; CHAR(10) &amp; Хронология[[#This Row],[Бурильщик]]</f>
        <v>Жабин П.П.
Керимов Н.К.</v>
      </c>
      <c r="AU71"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431 ОК– КРС Орг_простой Ожидание персонала Ожидание Персонал </v>
      </c>
      <c r="AV71" s="518" t="str">
        <f>Хронология[[#This Row],[Результат]]&amp;":  "&amp;Хронология[[#This Row],[Событие]]&amp; CHAR(10) &amp;Хронология[[#This Row],[Вид работ]]&amp;"  "&amp;Хронология[[#This Row],[Объект работ]]</f>
        <v>НПВ:  Ожидание персонала
Ожидание  Персонал</v>
      </c>
      <c r="AW71" s="522">
        <f>SUMIF($AU$2:AU71, Хронология[[#This Row],[Ключ]], $AH$2:AH71)</f>
        <v>1.5</v>
      </c>
      <c r="AX71" s="516" t="str">
        <f>Хронология[[#This Row],[Вид работ]] &amp; " " &amp; Хронология[[#This Row],[Объект работ]]</f>
        <v>Ожидание Персонал</v>
      </c>
      <c r="AZ71" s="339"/>
      <c r="BA71" s="339"/>
      <c r="BB71" s="339"/>
      <c r="BC71" s="339"/>
      <c r="BD71" s="339"/>
      <c r="BE71" s="339"/>
      <c r="BF71" s="339"/>
      <c r="BG71" s="339"/>
      <c r="BH71" s="339"/>
      <c r="BI71" s="339"/>
      <c r="BJ71" s="339"/>
      <c r="BK71" s="339"/>
      <c r="BL71" s="339"/>
      <c r="BM71" s="339"/>
    </row>
    <row r="72" spans="1:65" s="247" customFormat="1" ht="69" customHeight="1">
      <c r="A72" s="540" t="s">
        <v>50</v>
      </c>
      <c r="B72" s="541" t="s">
        <v>51</v>
      </c>
      <c r="C72" s="541" t="s">
        <v>52</v>
      </c>
      <c r="D72" s="542">
        <v>1</v>
      </c>
      <c r="E72" s="542">
        <v>431</v>
      </c>
      <c r="F72" s="515" t="s">
        <v>183</v>
      </c>
      <c r="G72" s="517"/>
      <c r="H72" s="516" t="s">
        <v>55</v>
      </c>
      <c r="I72" s="518"/>
      <c r="J72" s="517"/>
      <c r="K72" s="515"/>
      <c r="L72" s="516" t="s">
        <v>51</v>
      </c>
      <c r="M72" s="516" t="s">
        <v>58</v>
      </c>
      <c r="N72" s="516"/>
      <c r="O72" s="516" t="s">
        <v>90</v>
      </c>
      <c r="P72" s="516" t="s">
        <v>91</v>
      </c>
      <c r="Q72" s="516" t="s">
        <v>92</v>
      </c>
      <c r="R72" s="516" t="s">
        <v>93</v>
      </c>
      <c r="S72" s="516">
        <v>1</v>
      </c>
      <c r="T72" s="526" t="s">
        <v>197</v>
      </c>
      <c r="U72" s="516">
        <v>4</v>
      </c>
      <c r="V72" s="516"/>
      <c r="W72" s="516"/>
      <c r="X72" s="516"/>
      <c r="Y72" s="516"/>
      <c r="Z72" s="516"/>
      <c r="AA72" s="516"/>
      <c r="AB72" s="516"/>
      <c r="AC72" s="516"/>
      <c r="AD72" s="516"/>
      <c r="AE72" s="514">
        <f>IFERROR(IF(Хронология[[#This Row],[Забой, м]]-V71&lt;0, 0, Хронология[[#This Row],[Забой, м]]-V71), 0)</f>
        <v>0</v>
      </c>
      <c r="AF72" s="521">
        <f t="shared" si="1"/>
        <v>46160.499999999942</v>
      </c>
      <c r="AG72" s="521">
        <f>Хронология[[#This Row],[Начало]]+Хронология[[#This Row],[Сутки]]</f>
        <v>46160.666666666606</v>
      </c>
      <c r="AH72" s="522">
        <f>Хронология[[#This Row],[Часы]]/24</f>
        <v>0.16666666666666666</v>
      </c>
      <c r="AI72" s="522">
        <f>IFERROR(Хронология[[#This Row],[Сутки]]+AI71, Хронология[[#This Row],[Сутки]])</f>
        <v>15.833333333333327</v>
      </c>
      <c r="AJ72"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ПВ</v>
      </c>
      <c r="AK72"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4</v>
      </c>
      <c r="AL72"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v>
      </c>
      <c r="AM72" s="527">
        <f>IF(Хронология[[#This Row],[Результат]]="НПВ", Хронология[[#This Row],[Часы]], 0)</f>
        <v>0</v>
      </c>
      <c r="AN72" s="518">
        <f>SUMIFS(Хронология[НПВ], Хронология[Скважина], Хронология[[#This Row],[Скважина]], Хронология[Начало], "&lt;=" &amp; Хронология[[#This Row],[Начало]])</f>
        <v>93</v>
      </c>
      <c r="AO72" s="518">
        <f>SUMIFS(Хронология[ПНВ], Хронология[Скважина], Хронология[[#This Row],[Скважина]], Хронология[Начало], "&lt;=" &amp; Хронология[[#This Row],[Начало]])</f>
        <v>121.23519999999999</v>
      </c>
      <c r="AP72" s="523">
        <f>INT(ROUND(Хронология[[#This Row],[Начало]], 3))</f>
        <v>46160</v>
      </c>
      <c r="AQ72" s="524">
        <f>Хронология[[#This Row],[Начало]]-INT(Хронология[[#This Row],[Начало]])</f>
        <v>0.49999999994179234</v>
      </c>
      <c r="AR72" s="523">
        <f>INT(ROUND(Хронология[[#This Row],[Окончание]], 3))</f>
        <v>46160</v>
      </c>
      <c r="AS72" s="524">
        <f>Хронология[[#This Row],[Окончание]]-INT(Хронология[[#This Row],[Окончание]])</f>
        <v>0.66666666660603369</v>
      </c>
      <c r="AT72" s="524" t="str">
        <f>Хронология[[#This Row],[Мастер]] &amp; CHAR(10) &amp; Хронология[[#This Row],[Помощник мастера]] &amp; CHAR(10) &amp; Хронология[[#This Row],[Бурильщик]]</f>
        <v>Тарасов А.С.
Жангазиев С.К.</v>
      </c>
      <c r="AU72"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431 ОК– КРС Подъем УЭЦН 1</v>
      </c>
      <c r="AV72" s="518" t="str">
        <f>Хронология[[#This Row],[Результат]]&amp;":  "&amp;Хронология[[#This Row],[Событие]]&amp; CHAR(10) &amp;Хронология[[#This Row],[Вид работ]]&amp;"  "&amp;Хронология[[#This Row],[Объект работ]]</f>
        <v>ПВ:  
Подъем  УЭЦН</v>
      </c>
      <c r="AW72" s="522">
        <f>SUMIF($AU$2:AU72, Хронология[[#This Row],[Ключ]], $AH$2:AH72)</f>
        <v>0.16666666666666666</v>
      </c>
      <c r="AX72" s="516" t="str">
        <f>Хронология[[#This Row],[Вид работ]] &amp; " " &amp; Хронология[[#This Row],[Объект работ]]</f>
        <v>Подъем УЭЦН</v>
      </c>
      <c r="AZ72" s="339"/>
      <c r="BA72" s="339"/>
      <c r="BB72" s="339"/>
      <c r="BC72" s="339"/>
      <c r="BD72" s="339"/>
      <c r="BE72" s="339"/>
      <c r="BF72" s="339"/>
      <c r="BG72" s="339"/>
      <c r="BH72" s="339"/>
      <c r="BI72" s="339"/>
      <c r="BJ72" s="339"/>
      <c r="BK72" s="339"/>
      <c r="BL72" s="339"/>
      <c r="BM72" s="339"/>
    </row>
    <row r="73" spans="1:65" s="247" customFormat="1" ht="69" customHeight="1">
      <c r="A73" s="540" t="s">
        <v>50</v>
      </c>
      <c r="B73" s="541" t="s">
        <v>51</v>
      </c>
      <c r="C73" s="541" t="s">
        <v>52</v>
      </c>
      <c r="D73" s="542">
        <v>1</v>
      </c>
      <c r="E73" s="542">
        <v>431</v>
      </c>
      <c r="F73" s="515" t="s">
        <v>183</v>
      </c>
      <c r="G73" s="517"/>
      <c r="H73" s="516" t="s">
        <v>55</v>
      </c>
      <c r="I73" s="518"/>
      <c r="J73" s="517"/>
      <c r="K73" s="515"/>
      <c r="L73" s="516" t="s">
        <v>51</v>
      </c>
      <c r="M73" s="516" t="s">
        <v>58</v>
      </c>
      <c r="N73" s="516"/>
      <c r="O73" s="516" t="s">
        <v>90</v>
      </c>
      <c r="P73" s="516" t="s">
        <v>91</v>
      </c>
      <c r="Q73" s="516" t="s">
        <v>92</v>
      </c>
      <c r="R73" s="516" t="s">
        <v>93</v>
      </c>
      <c r="S73" s="516">
        <v>1</v>
      </c>
      <c r="T73" s="526" t="s">
        <v>198</v>
      </c>
      <c r="U73" s="516">
        <v>4</v>
      </c>
      <c r="V73" s="516"/>
      <c r="W73" s="516"/>
      <c r="X73" s="516"/>
      <c r="Y73" s="516"/>
      <c r="Z73" s="516"/>
      <c r="AA73" s="516"/>
      <c r="AB73" s="516"/>
      <c r="AC73" s="516"/>
      <c r="AD73" s="516"/>
      <c r="AE73" s="514">
        <f>IFERROR(IF(Хронология[[#This Row],[Забой, м]]-V72&lt;0, 0, Хронология[[#This Row],[Забой, м]]-V72), 0)</f>
        <v>0</v>
      </c>
      <c r="AF73" s="521">
        <f t="shared" si="1"/>
        <v>46160.666666666606</v>
      </c>
      <c r="AG73" s="521">
        <f>Хронология[[#This Row],[Начало]]+Хронология[[#This Row],[Сутки]]</f>
        <v>46160.83333333327</v>
      </c>
      <c r="AH73" s="522">
        <f>Хронология[[#This Row],[Часы]]/24</f>
        <v>0.16666666666666666</v>
      </c>
      <c r="AI73" s="522">
        <f>IFERROR(Хронология[[#This Row],[Сутки]]+AI72, Хронология[[#This Row],[Сутки]])</f>
        <v>15.999999999999993</v>
      </c>
      <c r="AJ73"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ПВ</v>
      </c>
      <c r="AK73"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4</v>
      </c>
      <c r="AL73"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v>
      </c>
      <c r="AM73" s="527">
        <f>IF(Хронология[[#This Row],[Результат]]="НПВ", Хронология[[#This Row],[Часы]], 0)</f>
        <v>0</v>
      </c>
      <c r="AN73" s="518">
        <f>SUMIFS(Хронология[НПВ], Хронология[Скважина], Хронология[[#This Row],[Скважина]], Хронология[Начало], "&lt;=" &amp; Хронология[[#This Row],[Начало]])</f>
        <v>93</v>
      </c>
      <c r="AO73" s="518">
        <f>SUMIFS(Хронология[ПНВ], Хронология[Скважина], Хронология[[#This Row],[Скважина]], Хронология[Начало], "&lt;=" &amp; Хронология[[#This Row],[Начало]])</f>
        <v>121.23519999999999</v>
      </c>
      <c r="AP73" s="523">
        <f>INT(ROUND(Хронология[[#This Row],[Начало]], 3))</f>
        <v>46160</v>
      </c>
      <c r="AQ73" s="524">
        <f>Хронология[[#This Row],[Начало]]-INT(Хронология[[#This Row],[Начало]])</f>
        <v>0.66666666660603369</v>
      </c>
      <c r="AR73" s="523">
        <f>INT(ROUND(Хронология[[#This Row],[Окончание]], 3))</f>
        <v>46160</v>
      </c>
      <c r="AS73" s="524">
        <f>Хронология[[#This Row],[Окончание]]-INT(Хронология[[#This Row],[Окончание]])</f>
        <v>0.83333333327027503</v>
      </c>
      <c r="AT73" s="524" t="str">
        <f>Хронология[[#This Row],[Мастер]] &amp; CHAR(10) &amp; Хронология[[#This Row],[Помощник мастера]] &amp; CHAR(10) &amp; Хронология[[#This Row],[Бурильщик]]</f>
        <v>Тарасов А.С.
Жангазиев С.К.</v>
      </c>
      <c r="AU73"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431 ОК– КРС Подъем УЭЦН 1</v>
      </c>
      <c r="AV73" s="518" t="str">
        <f>Хронология[[#This Row],[Результат]]&amp;":  "&amp;Хронология[[#This Row],[Событие]]&amp; CHAR(10) &amp;Хронология[[#This Row],[Вид работ]]&amp;"  "&amp;Хронология[[#This Row],[Объект работ]]</f>
        <v>ПВ:  
Подъем  УЭЦН</v>
      </c>
      <c r="AW73" s="522">
        <f>SUMIF($AU$2:AU73, Хронология[[#This Row],[Ключ]], $AH$2:AH73)</f>
        <v>0.33333333333333331</v>
      </c>
      <c r="AX73" s="516" t="str">
        <f>Хронология[[#This Row],[Вид работ]] &amp; " " &amp; Хронология[[#This Row],[Объект работ]]</f>
        <v>Подъем УЭЦН</v>
      </c>
      <c r="AZ73" s="339"/>
      <c r="BA73" s="339"/>
      <c r="BB73" s="339"/>
      <c r="BC73" s="339"/>
      <c r="BD73" s="339"/>
      <c r="BE73" s="339"/>
      <c r="BF73" s="339"/>
      <c r="BG73" s="339"/>
      <c r="BH73" s="339"/>
      <c r="BI73" s="339"/>
      <c r="BJ73" s="339"/>
      <c r="BK73" s="339"/>
      <c r="BL73" s="339"/>
      <c r="BM73" s="339"/>
    </row>
    <row r="74" spans="1:65" s="247" customFormat="1" ht="69" customHeight="1">
      <c r="A74" s="540" t="s">
        <v>50</v>
      </c>
      <c r="B74" s="541" t="s">
        <v>51</v>
      </c>
      <c r="C74" s="541" t="s">
        <v>52</v>
      </c>
      <c r="D74" s="542">
        <v>1</v>
      </c>
      <c r="E74" s="542">
        <v>431</v>
      </c>
      <c r="F74" s="515" t="s">
        <v>183</v>
      </c>
      <c r="G74" s="517"/>
      <c r="H74" s="516" t="s">
        <v>55</v>
      </c>
      <c r="I74" s="518"/>
      <c r="J74" s="517"/>
      <c r="K74" s="515"/>
      <c r="L74" s="516" t="s">
        <v>51</v>
      </c>
      <c r="M74" s="516" t="s">
        <v>76</v>
      </c>
      <c r="N74" s="516" t="s">
        <v>190</v>
      </c>
      <c r="O74" s="516" t="s">
        <v>191</v>
      </c>
      <c r="P74" s="516" t="s">
        <v>192</v>
      </c>
      <c r="Q74" s="516" t="s">
        <v>80</v>
      </c>
      <c r="R74" s="516" t="s">
        <v>193</v>
      </c>
      <c r="S74" s="516"/>
      <c r="T74" s="526" t="s">
        <v>199</v>
      </c>
      <c r="U74" s="516">
        <v>2</v>
      </c>
      <c r="V74" s="516"/>
      <c r="W74" s="516" t="s">
        <v>64</v>
      </c>
      <c r="X74" s="516" t="s">
        <v>83</v>
      </c>
      <c r="Y74" s="516"/>
      <c r="Z74" s="516"/>
      <c r="AA74" s="516"/>
      <c r="AB74" s="516"/>
      <c r="AC74" s="516"/>
      <c r="AD74" s="516"/>
      <c r="AE74" s="514">
        <f>IFERROR(IF(Хронология[[#This Row],[Забой, м]]-V73&lt;0, 0, Хронология[[#This Row],[Забой, м]]-V73), 0)</f>
        <v>0</v>
      </c>
      <c r="AF74" s="521">
        <f t="shared" si="1"/>
        <v>46160.83333333327</v>
      </c>
      <c r="AG74" s="521">
        <f>Хронология[[#This Row],[Начало]]+Хронология[[#This Row],[Сутки]]</f>
        <v>46160.916666666606</v>
      </c>
      <c r="AH74" s="522">
        <f>Хронология[[#This Row],[Часы]]/24</f>
        <v>8.3333333333333329E-2</v>
      </c>
      <c r="AI74" s="522">
        <f>IFERROR(Хронология[[#This Row],[Сутки]]+AI73, Хронология[[#This Row],[Сутки]])</f>
        <v>16.083333333333325</v>
      </c>
      <c r="AJ74"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НПВ</v>
      </c>
      <c r="AK74"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v>
      </c>
      <c r="AL74"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v>
      </c>
      <c r="AM74" s="527">
        <f>IF(Хронология[[#This Row],[Результат]]="НПВ", Хронология[[#This Row],[Часы]], 0)</f>
        <v>2</v>
      </c>
      <c r="AN74" s="518">
        <f>SUMIFS(Хронология[НПВ], Хронология[Скважина], Хронология[[#This Row],[Скважина]], Хронология[Начало], "&lt;=" &amp; Хронология[[#This Row],[Начало]])</f>
        <v>95</v>
      </c>
      <c r="AO74" s="518">
        <f>SUMIFS(Хронология[ПНВ], Хронология[Скважина], Хронология[[#This Row],[Скважина]], Хронология[Начало], "&lt;=" &amp; Хронология[[#This Row],[Начало]])</f>
        <v>121.23519999999999</v>
      </c>
      <c r="AP74" s="523">
        <f>INT(ROUND(Хронология[[#This Row],[Начало]], 3))</f>
        <v>46160</v>
      </c>
      <c r="AQ74" s="524">
        <f>Хронология[[#This Row],[Начало]]-INT(Хронология[[#This Row],[Начало]])</f>
        <v>0.83333333327027503</v>
      </c>
      <c r="AR74" s="523">
        <f>INT(ROUND(Хронология[[#This Row],[Окончание]], 3))</f>
        <v>46160</v>
      </c>
      <c r="AS74" s="524">
        <f>Хронология[[#This Row],[Окончание]]-INT(Хронология[[#This Row],[Окончание]])</f>
        <v>0.91666666660603369</v>
      </c>
      <c r="AT74" s="524" t="str">
        <f>Хронология[[#This Row],[Мастер]] &amp; CHAR(10) &amp; Хронология[[#This Row],[Помощник мастера]] &amp; CHAR(10) &amp; Хронология[[#This Row],[Бурильщик]]</f>
        <v>Тарасов А.С.
Жангазиев С.К.</v>
      </c>
      <c r="AU74"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431 ОК– КРС Орг_простой Ожидание персонала Ожидание Персонал </v>
      </c>
      <c r="AV74" s="518" t="str">
        <f>Хронология[[#This Row],[Результат]]&amp;":  "&amp;Хронология[[#This Row],[Событие]]&amp; CHAR(10) &amp;Хронология[[#This Row],[Вид работ]]&amp;"  "&amp;Хронология[[#This Row],[Объект работ]]</f>
        <v>НПВ:  Ожидание персонала
Ожидание  Персонал</v>
      </c>
      <c r="AW74" s="522">
        <f>SUMIF($AU$2:AU74, Хронология[[#This Row],[Ключ]], $AH$2:AH74)</f>
        <v>1.5833333333333333</v>
      </c>
      <c r="AX74" s="516" t="str">
        <f>Хронология[[#This Row],[Вид работ]] &amp; " " &amp; Хронология[[#This Row],[Объект работ]]</f>
        <v>Ожидание Персонал</v>
      </c>
      <c r="AZ74" s="339"/>
      <c r="BA74" s="339"/>
      <c r="BB74" s="339"/>
      <c r="BC74" s="339"/>
      <c r="BD74" s="339"/>
      <c r="BE74" s="339"/>
      <c r="BF74" s="339"/>
      <c r="BG74" s="339"/>
      <c r="BH74" s="339"/>
      <c r="BI74" s="339"/>
      <c r="BJ74" s="339"/>
      <c r="BK74" s="339"/>
      <c r="BL74" s="339"/>
      <c r="BM74" s="339"/>
    </row>
    <row r="75" spans="1:65" s="247" customFormat="1" ht="69" customHeight="1">
      <c r="A75" s="540" t="s">
        <v>50</v>
      </c>
      <c r="B75" s="541" t="s">
        <v>51</v>
      </c>
      <c r="C75" s="541" t="s">
        <v>52</v>
      </c>
      <c r="D75" s="542">
        <v>1</v>
      </c>
      <c r="E75" s="542">
        <v>431</v>
      </c>
      <c r="F75" s="515" t="s">
        <v>66</v>
      </c>
      <c r="G75" s="517"/>
      <c r="H75" s="516"/>
      <c r="I75" s="518"/>
      <c r="J75" s="517"/>
      <c r="K75" s="515"/>
      <c r="L75" s="516" t="s">
        <v>51</v>
      </c>
      <c r="M75" s="516" t="s">
        <v>76</v>
      </c>
      <c r="N75" s="516" t="s">
        <v>190</v>
      </c>
      <c r="O75" s="516" t="s">
        <v>191</v>
      </c>
      <c r="P75" s="516" t="s">
        <v>192</v>
      </c>
      <c r="Q75" s="516" t="s">
        <v>80</v>
      </c>
      <c r="R75" s="516" t="s">
        <v>193</v>
      </c>
      <c r="S75" s="516"/>
      <c r="T75" s="526" t="s">
        <v>200</v>
      </c>
      <c r="U75" s="516">
        <v>2</v>
      </c>
      <c r="V75" s="516"/>
      <c r="W75" s="516" t="s">
        <v>64</v>
      </c>
      <c r="X75" s="516" t="s">
        <v>83</v>
      </c>
      <c r="Y75" s="516"/>
      <c r="Z75" s="516"/>
      <c r="AA75" s="516"/>
      <c r="AB75" s="516"/>
      <c r="AC75" s="516"/>
      <c r="AD75" s="516"/>
      <c r="AE75" s="514">
        <f>IFERROR(IF(Хронология[[#This Row],[Забой, м]]-V74&lt;0, 0, Хронология[[#This Row],[Забой, м]]-V74), 0)</f>
        <v>0</v>
      </c>
      <c r="AF75" s="521">
        <f t="shared" si="1"/>
        <v>46160.916666666606</v>
      </c>
      <c r="AG75" s="521">
        <f>Хронология[[#This Row],[Начало]]+Хронология[[#This Row],[Сутки]]</f>
        <v>46160.999999999942</v>
      </c>
      <c r="AH75" s="522">
        <f>Хронология[[#This Row],[Часы]]/24</f>
        <v>8.3333333333333329E-2</v>
      </c>
      <c r="AI75" s="522">
        <f>IFERROR(Хронология[[#This Row],[Сутки]]+AI74, Хронология[[#This Row],[Сутки]])</f>
        <v>16.166666666666657</v>
      </c>
      <c r="AJ75"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НПВ</v>
      </c>
      <c r="AK75"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v>
      </c>
      <c r="AL75"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v>
      </c>
      <c r="AM75" s="527">
        <f>IF(Хронология[[#This Row],[Результат]]="НПВ", Хронология[[#This Row],[Часы]], 0)</f>
        <v>2</v>
      </c>
      <c r="AN75" s="518">
        <f>SUMIFS(Хронология[НПВ], Хронология[Скважина], Хронология[[#This Row],[Скважина]], Хронология[Начало], "&lt;=" &amp; Хронология[[#This Row],[Начало]])</f>
        <v>97</v>
      </c>
      <c r="AO75" s="518">
        <f>SUMIFS(Хронология[ПНВ], Хронология[Скважина], Хронология[[#This Row],[Скважина]], Хронология[Начало], "&lt;=" &amp; Хронология[[#This Row],[Начало]])</f>
        <v>121.23519999999999</v>
      </c>
      <c r="AP75" s="523">
        <f>INT(ROUND(Хронология[[#This Row],[Начало]], 3))</f>
        <v>46160</v>
      </c>
      <c r="AQ75" s="524">
        <f>Хронология[[#This Row],[Начало]]-INT(Хронология[[#This Row],[Начало]])</f>
        <v>0.91666666660603369</v>
      </c>
      <c r="AR75" s="523">
        <f>INT(ROUND(Хронология[[#This Row],[Окончание]], 3))</f>
        <v>46161</v>
      </c>
      <c r="AS75" s="524">
        <f>Хронология[[#This Row],[Окончание]]-INT(Хронология[[#This Row],[Окончание]])</f>
        <v>0.99999999994179234</v>
      </c>
      <c r="AT75" s="524" t="str">
        <f>Хронология[[#This Row],[Мастер]] &amp; CHAR(10) &amp; Хронология[[#This Row],[Помощник мастера]] &amp; CHAR(10) &amp; Хронология[[#This Row],[Бурильщик]]</f>
        <v xml:space="preserve">Жабин П.П.
</v>
      </c>
      <c r="AU75"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431 ОК– КРС Орг_простой Ожидание персонала Ожидание Персонал </v>
      </c>
      <c r="AV75" s="518" t="str">
        <f>Хронология[[#This Row],[Результат]]&amp;":  "&amp;Хронология[[#This Row],[Событие]]&amp; CHAR(10) &amp;Хронология[[#This Row],[Вид работ]]&amp;"  "&amp;Хронология[[#This Row],[Объект работ]]</f>
        <v>НПВ:  Ожидание персонала
Ожидание  Персонал</v>
      </c>
      <c r="AW75" s="522">
        <f>SUMIF($AU$2:AU75, Хронология[[#This Row],[Ключ]], $AH$2:AH75)</f>
        <v>1.6666666666666665</v>
      </c>
      <c r="AX75" s="516" t="str">
        <f>Хронология[[#This Row],[Вид работ]] &amp; " " &amp; Хронология[[#This Row],[Объект работ]]</f>
        <v>Ожидание Персонал</v>
      </c>
      <c r="AZ75" s="339"/>
      <c r="BA75" s="339"/>
      <c r="BB75" s="339"/>
      <c r="BC75" s="339"/>
      <c r="BD75" s="339"/>
      <c r="BE75" s="339"/>
      <c r="BF75" s="339"/>
      <c r="BG75" s="339"/>
      <c r="BH75" s="339"/>
      <c r="BI75" s="339"/>
      <c r="BJ75" s="339"/>
      <c r="BK75" s="339"/>
      <c r="BL75" s="339"/>
      <c r="BM75" s="339"/>
    </row>
    <row r="76" spans="1:65" s="247" customFormat="1" ht="69" customHeight="1">
      <c r="A76" s="540" t="s">
        <v>50</v>
      </c>
      <c r="B76" s="541" t="s">
        <v>51</v>
      </c>
      <c r="C76" s="541" t="s">
        <v>52</v>
      </c>
      <c r="D76" s="542">
        <v>1</v>
      </c>
      <c r="E76" s="542">
        <v>431</v>
      </c>
      <c r="F76" s="515" t="s">
        <v>66</v>
      </c>
      <c r="G76" s="517"/>
      <c r="H76" s="516"/>
      <c r="I76" s="518"/>
      <c r="J76" s="517"/>
      <c r="K76" s="515"/>
      <c r="L76" s="516" t="s">
        <v>51</v>
      </c>
      <c r="M76" s="516" t="s">
        <v>76</v>
      </c>
      <c r="N76" s="516" t="s">
        <v>190</v>
      </c>
      <c r="O76" s="516" t="s">
        <v>191</v>
      </c>
      <c r="P76" s="516" t="s">
        <v>192</v>
      </c>
      <c r="Q76" s="516" t="s">
        <v>80</v>
      </c>
      <c r="R76" s="516" t="s">
        <v>193</v>
      </c>
      <c r="S76" s="516"/>
      <c r="T76" s="526" t="s">
        <v>200</v>
      </c>
      <c r="U76" s="516">
        <v>22</v>
      </c>
      <c r="V76" s="516"/>
      <c r="W76" s="516" t="s">
        <v>64</v>
      </c>
      <c r="X76" s="516" t="s">
        <v>83</v>
      </c>
      <c r="Y76" s="516"/>
      <c r="Z76" s="516"/>
      <c r="AA76" s="516"/>
      <c r="AB76" s="516"/>
      <c r="AC76" s="516"/>
      <c r="AD76" s="516"/>
      <c r="AE76" s="514">
        <f>IFERROR(IF(Хронология[[#This Row],[Забой, м]]-V75&lt;0, 0, Хронология[[#This Row],[Забой, м]]-V75), 0)</f>
        <v>0</v>
      </c>
      <c r="AF76" s="521">
        <f t="shared" si="1"/>
        <v>46160.999999999942</v>
      </c>
      <c r="AG76" s="521">
        <f>Хронология[[#This Row],[Начало]]+Хронология[[#This Row],[Сутки]]</f>
        <v>46161.916666666606</v>
      </c>
      <c r="AH76" s="522">
        <f>Хронология[[#This Row],[Часы]]/24</f>
        <v>0.91666666666666663</v>
      </c>
      <c r="AI76" s="522">
        <f>IFERROR(Хронология[[#This Row],[Сутки]]+AI75, Хронология[[#This Row],[Сутки]])</f>
        <v>17.083333333333325</v>
      </c>
      <c r="AJ76"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НПВ</v>
      </c>
      <c r="AK76"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v>
      </c>
      <c r="AL76"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v>
      </c>
      <c r="AM76" s="527">
        <f>IF(Хронология[[#This Row],[Результат]]="НПВ", Хронология[[#This Row],[Часы]], 0)</f>
        <v>22</v>
      </c>
      <c r="AN76" s="518">
        <f>SUMIFS(Хронология[НПВ], Хронология[Скважина], Хронология[[#This Row],[Скважина]], Хронология[Начало], "&lt;=" &amp; Хронология[[#This Row],[Начало]])</f>
        <v>119</v>
      </c>
      <c r="AO76" s="518">
        <f>SUMIFS(Хронология[ПНВ], Хронология[Скважина], Хронология[[#This Row],[Скважина]], Хронология[Начало], "&lt;=" &amp; Хронология[[#This Row],[Начало]])</f>
        <v>121.23519999999999</v>
      </c>
      <c r="AP76" s="523">
        <f>INT(ROUND(Хронология[[#This Row],[Начало]], 3))</f>
        <v>46161</v>
      </c>
      <c r="AQ76" s="524">
        <f>Хронология[[#This Row],[Начало]]-INT(Хронология[[#This Row],[Начало]])</f>
        <v>0.99999999994179234</v>
      </c>
      <c r="AR76" s="523">
        <f>INT(ROUND(Хронология[[#This Row],[Окончание]], 3))</f>
        <v>46161</v>
      </c>
      <c r="AS76" s="524">
        <f>Хронология[[#This Row],[Окончание]]-INT(Хронология[[#This Row],[Окончание]])</f>
        <v>0.91666666660603369</v>
      </c>
      <c r="AT76" s="524" t="str">
        <f>Хронология[[#This Row],[Мастер]] &amp; CHAR(10) &amp; Хронология[[#This Row],[Помощник мастера]] &amp; CHAR(10) &amp; Хронология[[#This Row],[Бурильщик]]</f>
        <v xml:space="preserve">Жабин П.П.
</v>
      </c>
      <c r="AU76"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431 ОК– КРС Орг_простой Ожидание персонала Ожидание Персонал </v>
      </c>
      <c r="AV76" s="518" t="str">
        <f>Хронология[[#This Row],[Результат]]&amp;":  "&amp;Хронология[[#This Row],[Событие]]&amp; CHAR(10) &amp;Хронология[[#This Row],[Вид работ]]&amp;"  "&amp;Хронология[[#This Row],[Объект работ]]</f>
        <v>НПВ:  Ожидание персонала
Ожидание  Персонал</v>
      </c>
      <c r="AW76" s="522">
        <f>SUMIF($AU$2:AU76, Хронология[[#This Row],[Ключ]], $AH$2:AH76)</f>
        <v>2.583333333333333</v>
      </c>
      <c r="AX76" s="516" t="str">
        <f>Хронология[[#This Row],[Вид работ]] &amp; " " &amp; Хронология[[#This Row],[Объект работ]]</f>
        <v>Ожидание Персонал</v>
      </c>
      <c r="AZ76" s="339"/>
      <c r="BA76" s="339"/>
      <c r="BB76" s="339"/>
      <c r="BC76" s="339"/>
      <c r="BD76" s="339"/>
      <c r="BE76" s="339"/>
      <c r="BF76" s="339"/>
      <c r="BG76" s="339"/>
      <c r="BH76" s="339"/>
      <c r="BI76" s="339"/>
      <c r="BJ76" s="339"/>
      <c r="BK76" s="339"/>
      <c r="BL76" s="339"/>
      <c r="BM76" s="339"/>
    </row>
    <row r="77" spans="1:65" s="247" customFormat="1" ht="69" customHeight="1">
      <c r="A77" s="540" t="s">
        <v>50</v>
      </c>
      <c r="B77" s="541" t="s">
        <v>51</v>
      </c>
      <c r="C77" s="541" t="s">
        <v>52</v>
      </c>
      <c r="D77" s="542">
        <v>1</v>
      </c>
      <c r="E77" s="542">
        <v>431</v>
      </c>
      <c r="F77" s="515" t="s">
        <v>66</v>
      </c>
      <c r="G77" s="517"/>
      <c r="H77" s="516" t="s">
        <v>55</v>
      </c>
      <c r="I77" s="518"/>
      <c r="J77" s="517"/>
      <c r="K77" s="515"/>
      <c r="L77" s="516" t="s">
        <v>51</v>
      </c>
      <c r="M77" s="516" t="s">
        <v>76</v>
      </c>
      <c r="N77" s="516" t="s">
        <v>190</v>
      </c>
      <c r="O77" s="516" t="s">
        <v>191</v>
      </c>
      <c r="P77" s="516" t="s">
        <v>192</v>
      </c>
      <c r="Q77" s="516" t="s">
        <v>80</v>
      </c>
      <c r="R77" s="516" t="s">
        <v>193</v>
      </c>
      <c r="S77" s="516"/>
      <c r="T77" s="526" t="s">
        <v>201</v>
      </c>
      <c r="U77" s="516">
        <v>2</v>
      </c>
      <c r="V77" s="516"/>
      <c r="W77" s="516" t="s">
        <v>64</v>
      </c>
      <c r="X77" s="516" t="s">
        <v>83</v>
      </c>
      <c r="Y77" s="516"/>
      <c r="Z77" s="516"/>
      <c r="AA77" s="516"/>
      <c r="AB77" s="516"/>
      <c r="AC77" s="516"/>
      <c r="AD77" s="516"/>
      <c r="AE77" s="514">
        <f>IFERROR(IF(Хронология[[#This Row],[Забой, м]]-V76&lt;0, 0, Хронология[[#This Row],[Забой, м]]-V76), 0)</f>
        <v>0</v>
      </c>
      <c r="AF77" s="521">
        <f t="shared" si="1"/>
        <v>46161.916666666606</v>
      </c>
      <c r="AG77" s="521">
        <f>Хронология[[#This Row],[Начало]]+Хронология[[#This Row],[Сутки]]</f>
        <v>46161.999999999942</v>
      </c>
      <c r="AH77" s="522">
        <f>Хронология[[#This Row],[Часы]]/24</f>
        <v>8.3333333333333329E-2</v>
      </c>
      <c r="AI77" s="522">
        <f>IFERROR(Хронология[[#This Row],[Сутки]]+AI76, Хронология[[#This Row],[Сутки]])</f>
        <v>17.166666666666657</v>
      </c>
      <c r="AJ77"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НПВ</v>
      </c>
      <c r="AK77"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v>
      </c>
      <c r="AL77"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v>
      </c>
      <c r="AM77" s="527">
        <f>IF(Хронология[[#This Row],[Результат]]="НПВ", Хронология[[#This Row],[Часы]], 0)</f>
        <v>2</v>
      </c>
      <c r="AN77" s="518">
        <f>SUMIFS(Хронология[НПВ], Хронология[Скважина], Хронология[[#This Row],[Скважина]], Хронология[Начало], "&lt;=" &amp; Хронология[[#This Row],[Начало]])</f>
        <v>121</v>
      </c>
      <c r="AO77" s="518">
        <f>SUMIFS(Хронология[ПНВ], Хронология[Скважина], Хронология[[#This Row],[Скважина]], Хронология[Начало], "&lt;=" &amp; Хронология[[#This Row],[Начало]])</f>
        <v>121.23519999999999</v>
      </c>
      <c r="AP77" s="523">
        <f>INT(ROUND(Хронология[[#This Row],[Начало]], 3))</f>
        <v>46161</v>
      </c>
      <c r="AQ77" s="524">
        <f>Хронология[[#This Row],[Начало]]-INT(Хронология[[#This Row],[Начало]])</f>
        <v>0.91666666660603369</v>
      </c>
      <c r="AR77" s="523">
        <f>INT(ROUND(Хронология[[#This Row],[Окончание]], 3))</f>
        <v>46162</v>
      </c>
      <c r="AS77" s="524">
        <f>Хронология[[#This Row],[Окончание]]-INT(Хронология[[#This Row],[Окончание]])</f>
        <v>0.99999999994179234</v>
      </c>
      <c r="AT77" s="524" t="str">
        <f>Хронология[[#This Row],[Мастер]] &amp; CHAR(10) &amp; Хронология[[#This Row],[Помощник мастера]] &amp; CHAR(10) &amp; Хронология[[#This Row],[Бурильщик]]</f>
        <v>Жабин П.П.
Жангазиев С.К.</v>
      </c>
      <c r="AU77"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431 ОК– КРС Орг_простой Ожидание персонала Ожидание Персонал </v>
      </c>
      <c r="AV77" s="518" t="str">
        <f>Хронология[[#This Row],[Результат]]&amp;":  "&amp;Хронология[[#This Row],[Событие]]&amp; CHAR(10) &amp;Хронология[[#This Row],[Вид работ]]&amp;"  "&amp;Хронология[[#This Row],[Объект работ]]</f>
        <v>НПВ:  Ожидание персонала
Ожидание  Персонал</v>
      </c>
      <c r="AW77" s="522">
        <f>SUMIF($AU$2:AU77, Хронология[[#This Row],[Ключ]], $AH$2:AH77)</f>
        <v>2.6666666666666665</v>
      </c>
      <c r="AX77" s="516" t="str">
        <f>Хронология[[#This Row],[Вид работ]] &amp; " " &amp; Хронология[[#This Row],[Объект работ]]</f>
        <v>Ожидание Персонал</v>
      </c>
      <c r="AZ77" s="339"/>
      <c r="BA77" s="339"/>
      <c r="BB77" s="339"/>
      <c r="BC77" s="339"/>
      <c r="BD77" s="339"/>
      <c r="BE77" s="339"/>
      <c r="BF77" s="339"/>
      <c r="BG77" s="339"/>
      <c r="BH77" s="339"/>
      <c r="BI77" s="339"/>
      <c r="BJ77" s="339"/>
      <c r="BK77" s="339"/>
      <c r="BL77" s="339"/>
      <c r="BM77" s="339"/>
    </row>
    <row r="78" spans="1:65" s="247" customFormat="1" ht="69" customHeight="1">
      <c r="A78" s="540" t="s">
        <v>50</v>
      </c>
      <c r="B78" s="541" t="s">
        <v>51</v>
      </c>
      <c r="C78" s="541" t="s">
        <v>52</v>
      </c>
      <c r="D78" s="542">
        <v>1</v>
      </c>
      <c r="E78" s="542">
        <v>431</v>
      </c>
      <c r="F78" s="515" t="s">
        <v>66</v>
      </c>
      <c r="G78" s="517"/>
      <c r="H78" s="516" t="s">
        <v>55</v>
      </c>
      <c r="I78" s="518"/>
      <c r="J78" s="517"/>
      <c r="K78" s="515"/>
      <c r="L78" s="516" t="s">
        <v>51</v>
      </c>
      <c r="M78" s="516" t="s">
        <v>76</v>
      </c>
      <c r="N78" s="516" t="s">
        <v>190</v>
      </c>
      <c r="O78" s="516" t="s">
        <v>191</v>
      </c>
      <c r="P78" s="516" t="s">
        <v>192</v>
      </c>
      <c r="Q78" s="516" t="s">
        <v>80</v>
      </c>
      <c r="R78" s="516" t="s">
        <v>193</v>
      </c>
      <c r="S78" s="516"/>
      <c r="T78" s="526" t="s">
        <v>201</v>
      </c>
      <c r="U78" s="516">
        <v>5</v>
      </c>
      <c r="V78" s="516"/>
      <c r="W78" s="516" t="s">
        <v>64</v>
      </c>
      <c r="X78" s="516" t="s">
        <v>83</v>
      </c>
      <c r="Y78" s="516"/>
      <c r="Z78" s="516"/>
      <c r="AA78" s="516"/>
      <c r="AB78" s="516"/>
      <c r="AC78" s="516"/>
      <c r="AD78" s="516"/>
      <c r="AE78" s="514">
        <f>IFERROR(IF(Хронология[[#This Row],[Забой, м]]-V77&lt;0, 0, Хронология[[#This Row],[Забой, м]]-V77), 0)</f>
        <v>0</v>
      </c>
      <c r="AF78" s="521">
        <f t="shared" si="1"/>
        <v>46161.999999999942</v>
      </c>
      <c r="AG78" s="521">
        <f>Хронология[[#This Row],[Начало]]+Хронология[[#This Row],[Сутки]]</f>
        <v>46162.208333333278</v>
      </c>
      <c r="AH78" s="522">
        <f>Хронология[[#This Row],[Часы]]/24</f>
        <v>0.20833333333333334</v>
      </c>
      <c r="AI78" s="522">
        <f>IFERROR(Хронология[[#This Row],[Сутки]]+AI77, Хронология[[#This Row],[Сутки]])</f>
        <v>17.374999999999989</v>
      </c>
      <c r="AJ78"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НПВ</v>
      </c>
      <c r="AK78"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v>
      </c>
      <c r="AL78"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v>
      </c>
      <c r="AM78" s="527">
        <f>IF(Хронология[[#This Row],[Результат]]="НПВ", Хронология[[#This Row],[Часы]], 0)</f>
        <v>5</v>
      </c>
      <c r="AN78" s="518">
        <f>SUMIFS(Хронология[НПВ], Хронология[Скважина], Хронология[[#This Row],[Скважина]], Хронология[Начало], "&lt;=" &amp; Хронология[[#This Row],[Начало]])</f>
        <v>126</v>
      </c>
      <c r="AO78" s="518">
        <f>SUMIFS(Хронология[ПНВ], Хронология[Скважина], Хронология[[#This Row],[Скважина]], Хронология[Начало], "&lt;=" &amp; Хронология[[#This Row],[Начало]])</f>
        <v>121.23519999999999</v>
      </c>
      <c r="AP78" s="523">
        <f>INT(ROUND(Хронология[[#This Row],[Начало]], 3))</f>
        <v>46162</v>
      </c>
      <c r="AQ78" s="524">
        <f>Хронология[[#This Row],[Начало]]-INT(Хронология[[#This Row],[Начало]])</f>
        <v>0.99999999994179234</v>
      </c>
      <c r="AR78" s="523">
        <f>INT(ROUND(Хронология[[#This Row],[Окончание]], 3))</f>
        <v>46162</v>
      </c>
      <c r="AS78" s="524">
        <f>Хронология[[#This Row],[Окончание]]-INT(Хронология[[#This Row],[Окончание]])</f>
        <v>0.20833333327755099</v>
      </c>
      <c r="AT78" s="524" t="str">
        <f>Хронология[[#This Row],[Мастер]] &amp; CHAR(10) &amp; Хронология[[#This Row],[Помощник мастера]] &amp; CHAR(10) &amp; Хронология[[#This Row],[Бурильщик]]</f>
        <v>Жабин П.П.
Жангазиев С.К.</v>
      </c>
      <c r="AU78"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431 ОК– КРС Орг_простой Ожидание персонала Ожидание Персонал </v>
      </c>
      <c r="AV78" s="518" t="str">
        <f>Хронология[[#This Row],[Результат]]&amp;":  "&amp;Хронология[[#This Row],[Событие]]&amp; CHAR(10) &amp;Хронология[[#This Row],[Вид работ]]&amp;"  "&amp;Хронология[[#This Row],[Объект работ]]</f>
        <v>НПВ:  Ожидание персонала
Ожидание  Персонал</v>
      </c>
      <c r="AW78" s="522">
        <f>SUMIF($AU$2:AU78, Хронология[[#This Row],[Ключ]], $AH$2:AH78)</f>
        <v>2.875</v>
      </c>
      <c r="AX78" s="516" t="str">
        <f>Хронология[[#This Row],[Вид работ]] &amp; " " &amp; Хронология[[#This Row],[Объект работ]]</f>
        <v>Ожидание Персонал</v>
      </c>
      <c r="AZ78" s="339"/>
      <c r="BA78" s="339"/>
      <c r="BB78" s="339"/>
      <c r="BC78" s="339"/>
      <c r="BD78" s="339"/>
      <c r="BE78" s="339"/>
      <c r="BF78" s="339"/>
      <c r="BG78" s="339"/>
      <c r="BH78" s="339"/>
      <c r="BI78" s="339"/>
      <c r="BJ78" s="339"/>
      <c r="BK78" s="339"/>
      <c r="BL78" s="339"/>
      <c r="BM78" s="339"/>
    </row>
    <row r="79" spans="1:65" s="247" customFormat="1" ht="69" customHeight="1">
      <c r="A79" s="540" t="s">
        <v>50</v>
      </c>
      <c r="B79" s="541" t="s">
        <v>51</v>
      </c>
      <c r="C79" s="541" t="s">
        <v>52</v>
      </c>
      <c r="D79" s="542">
        <v>1</v>
      </c>
      <c r="E79" s="542">
        <v>431</v>
      </c>
      <c r="F79" s="515" t="s">
        <v>66</v>
      </c>
      <c r="G79" s="517"/>
      <c r="H79" s="516" t="s">
        <v>55</v>
      </c>
      <c r="I79" s="518"/>
      <c r="J79" s="517"/>
      <c r="K79" s="515"/>
      <c r="L79" s="516" t="s">
        <v>51</v>
      </c>
      <c r="M79" s="516" t="s">
        <v>58</v>
      </c>
      <c r="N79" s="516"/>
      <c r="O79" s="516" t="s">
        <v>90</v>
      </c>
      <c r="P79" s="516" t="s">
        <v>91</v>
      </c>
      <c r="Q79" s="516" t="s">
        <v>92</v>
      </c>
      <c r="R79" s="516" t="s">
        <v>93</v>
      </c>
      <c r="S79" s="516">
        <v>1</v>
      </c>
      <c r="T79" s="526" t="s">
        <v>202</v>
      </c>
      <c r="U79" s="516">
        <v>5</v>
      </c>
      <c r="V79" s="516"/>
      <c r="W79" s="516"/>
      <c r="X79" s="516"/>
      <c r="Y79" s="516"/>
      <c r="Z79" s="516"/>
      <c r="AA79" s="516"/>
      <c r="AB79" s="516"/>
      <c r="AC79" s="516"/>
      <c r="AD79" s="516"/>
      <c r="AE79" s="514">
        <f>IFERROR(IF(Хронология[[#This Row],[Забой, м]]-V78&lt;0, 0, Хронология[[#This Row],[Забой, м]]-V78), 0)</f>
        <v>0</v>
      </c>
      <c r="AF79" s="521">
        <f t="shared" si="1"/>
        <v>46162.208333333278</v>
      </c>
      <c r="AG79" s="521">
        <f>Хронология[[#This Row],[Начало]]+Хронология[[#This Row],[Сутки]]</f>
        <v>46162.416666666613</v>
      </c>
      <c r="AH79" s="522">
        <f>Хронология[[#This Row],[Часы]]/24</f>
        <v>0.20833333333333334</v>
      </c>
      <c r="AI79" s="522">
        <f>IFERROR(Хронология[[#This Row],[Сутки]]+AI78, Хронология[[#This Row],[Сутки]])</f>
        <v>17.583333333333321</v>
      </c>
      <c r="AJ79"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ПВ</v>
      </c>
      <c r="AK79"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5</v>
      </c>
      <c r="AL79"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v>
      </c>
      <c r="AM79" s="527">
        <f>IF(Хронология[[#This Row],[Результат]]="НПВ", Хронология[[#This Row],[Часы]], 0)</f>
        <v>0</v>
      </c>
      <c r="AN79" s="518">
        <f>SUMIFS(Хронология[НПВ], Хронология[Скважина], Хронология[[#This Row],[Скважина]], Хронология[Начало], "&lt;=" &amp; Хронология[[#This Row],[Начало]])</f>
        <v>126</v>
      </c>
      <c r="AO79" s="518">
        <f>SUMIFS(Хронология[ПНВ], Хронология[Скважина], Хронология[[#This Row],[Скважина]], Хронология[Начало], "&lt;=" &amp; Хронология[[#This Row],[Начало]])</f>
        <v>121.23519999999999</v>
      </c>
      <c r="AP79" s="523">
        <f>INT(ROUND(Хронология[[#This Row],[Начало]], 3))</f>
        <v>46162</v>
      </c>
      <c r="AQ79" s="524">
        <f>Хронология[[#This Row],[Начало]]-INT(Хронология[[#This Row],[Начало]])</f>
        <v>0.20833333327755099</v>
      </c>
      <c r="AR79" s="523">
        <f>INT(ROUND(Хронология[[#This Row],[Окончание]], 3))</f>
        <v>46162</v>
      </c>
      <c r="AS79" s="524">
        <f>Хронология[[#This Row],[Окончание]]-INT(Хронология[[#This Row],[Окончание]])</f>
        <v>0.41666666661330964</v>
      </c>
      <c r="AT79" s="524" t="str">
        <f>Хронология[[#This Row],[Мастер]] &amp; CHAR(10) &amp; Хронология[[#This Row],[Помощник мастера]] &amp; CHAR(10) &amp; Хронология[[#This Row],[Бурильщик]]</f>
        <v>Жабин П.П.
Жангазиев С.К.</v>
      </c>
      <c r="AU79"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431 ОК– КРС Подъем УЭЦН 1</v>
      </c>
      <c r="AV79" s="518" t="str">
        <f>Хронология[[#This Row],[Результат]]&amp;":  "&amp;Хронология[[#This Row],[Событие]]&amp; CHAR(10) &amp;Хронология[[#This Row],[Вид работ]]&amp;"  "&amp;Хронология[[#This Row],[Объект работ]]</f>
        <v>ПВ:  
Подъем  УЭЦН</v>
      </c>
      <c r="AW79" s="522">
        <f>SUMIF($AU$2:AU79, Хронология[[#This Row],[Ключ]], $AH$2:AH79)</f>
        <v>0.54166666666666663</v>
      </c>
      <c r="AX79" s="516" t="str">
        <f>Хронология[[#This Row],[Вид работ]] &amp; " " &amp; Хронология[[#This Row],[Объект работ]]</f>
        <v>Подъем УЭЦН</v>
      </c>
      <c r="AZ79" s="339"/>
      <c r="BA79" s="339"/>
      <c r="BB79" s="339"/>
      <c r="BC79" s="339"/>
      <c r="BD79" s="339"/>
      <c r="BE79" s="339"/>
      <c r="BF79" s="339"/>
      <c r="BG79" s="339"/>
      <c r="BH79" s="339"/>
      <c r="BI79" s="339"/>
      <c r="BJ79" s="339"/>
      <c r="BK79" s="339"/>
      <c r="BL79" s="339"/>
      <c r="BM79" s="339"/>
    </row>
    <row r="80" spans="1:65" s="247" customFormat="1" ht="69" customHeight="1">
      <c r="A80" s="540" t="s">
        <v>50</v>
      </c>
      <c r="B80" s="541" t="s">
        <v>51</v>
      </c>
      <c r="C80" s="541" t="s">
        <v>52</v>
      </c>
      <c r="D80" s="542">
        <v>1</v>
      </c>
      <c r="E80" s="542">
        <v>431</v>
      </c>
      <c r="F80" s="515" t="s">
        <v>183</v>
      </c>
      <c r="G80" s="517"/>
      <c r="H80" s="516" t="s">
        <v>203</v>
      </c>
      <c r="I80" s="518"/>
      <c r="J80" s="517"/>
      <c r="K80" s="515"/>
      <c r="L80" s="516" t="s">
        <v>51</v>
      </c>
      <c r="M80" s="516" t="s">
        <v>58</v>
      </c>
      <c r="N80" s="516"/>
      <c r="O80" s="516" t="s">
        <v>90</v>
      </c>
      <c r="P80" s="516" t="s">
        <v>91</v>
      </c>
      <c r="Q80" s="516" t="s">
        <v>92</v>
      </c>
      <c r="R80" s="516" t="s">
        <v>93</v>
      </c>
      <c r="S80" s="516">
        <v>1</v>
      </c>
      <c r="T80" s="526" t="s">
        <v>204</v>
      </c>
      <c r="U80" s="516">
        <v>4</v>
      </c>
      <c r="V80" s="516"/>
      <c r="W80" s="516" t="s">
        <v>64</v>
      </c>
      <c r="X80" s="516" t="s">
        <v>65</v>
      </c>
      <c r="Y80" s="516"/>
      <c r="Z80" s="516"/>
      <c r="AA80" s="516"/>
      <c r="AB80" s="516"/>
      <c r="AC80" s="516"/>
      <c r="AD80" s="516"/>
      <c r="AE80" s="514">
        <f>IFERROR(IF(Хронология[[#This Row],[Забой, м]]-V79&lt;0, 0, Хронология[[#This Row],[Забой, м]]-V79), 0)</f>
        <v>0</v>
      </c>
      <c r="AF80" s="521">
        <f t="shared" si="1"/>
        <v>46162.416666666613</v>
      </c>
      <c r="AG80" s="521">
        <f>Хронология[[#This Row],[Начало]]+Хронология[[#This Row],[Сутки]]</f>
        <v>46162.583333333278</v>
      </c>
      <c r="AH80" s="522">
        <f>Хронология[[#This Row],[Часы]]/24</f>
        <v>0.16666666666666666</v>
      </c>
      <c r="AI80" s="522">
        <f>IFERROR(Хронология[[#This Row],[Сутки]]+AI79, Хронология[[#This Row],[Сутки]])</f>
        <v>17.749999999999989</v>
      </c>
      <c r="AJ80"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ПНВ</v>
      </c>
      <c r="AK80"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3.0199999999999996</v>
      </c>
      <c r="AL80"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0.98000000000000043</v>
      </c>
      <c r="AM80" s="527">
        <f>IF(Хронология[[#This Row],[Результат]]="НПВ", Хронология[[#This Row],[Часы]], 0)</f>
        <v>0</v>
      </c>
      <c r="AN80" s="518">
        <f>SUMIFS(Хронология[НПВ], Хронология[Скважина], Хронология[[#This Row],[Скважина]], Хронология[Начало], "&lt;=" &amp; Хронология[[#This Row],[Начало]])</f>
        <v>126</v>
      </c>
      <c r="AO80" s="518">
        <f>SUMIFS(Хронология[ПНВ], Хронология[Скважина], Хронология[[#This Row],[Скважина]], Хронология[Начало], "&lt;=" &amp; Хронология[[#This Row],[Начало]])</f>
        <v>122.2152</v>
      </c>
      <c r="AP80" s="523">
        <f>INT(ROUND(Хронология[[#This Row],[Начало]], 3))</f>
        <v>46162</v>
      </c>
      <c r="AQ80" s="524">
        <f>Хронология[[#This Row],[Начало]]-INT(Хронология[[#This Row],[Начало]])</f>
        <v>0.41666666661330964</v>
      </c>
      <c r="AR80" s="523">
        <f>INT(ROUND(Хронология[[#This Row],[Окончание]], 3))</f>
        <v>46162</v>
      </c>
      <c r="AS80" s="524">
        <f>Хронология[[#This Row],[Окончание]]-INT(Хронология[[#This Row],[Окончание]])</f>
        <v>0.58333333327755099</v>
      </c>
      <c r="AT80" s="524" t="str">
        <f>Хронология[[#This Row],[Мастер]] &amp; CHAR(10) &amp; Хронология[[#This Row],[Помощник мастера]] &amp; CHAR(10) &amp; Хронология[[#This Row],[Бурильщик]]</f>
        <v>Тарасов А.С.
Штыкин А.А.</v>
      </c>
      <c r="AU80"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431 ОК– КРС Подъем УЭЦН 1</v>
      </c>
      <c r="AV80" s="518" t="str">
        <f>Хронология[[#This Row],[Результат]]&amp;":  "&amp;Хронология[[#This Row],[Событие]]&amp; CHAR(10) &amp;Хронология[[#This Row],[Вид работ]]&amp;"  "&amp;Хронология[[#This Row],[Объект работ]]</f>
        <v>ПНВ:  
Подъем  УЭЦН</v>
      </c>
      <c r="AW80" s="522">
        <f>SUMIF($AU$2:AU80, Хронология[[#This Row],[Ключ]], $AH$2:AH80)</f>
        <v>0.70833333333333326</v>
      </c>
      <c r="AX80" s="516" t="str">
        <f>Хронология[[#This Row],[Вид работ]] &amp; " " &amp; Хронология[[#This Row],[Объект работ]]</f>
        <v>Подъем УЭЦН</v>
      </c>
      <c r="AZ80" s="339"/>
      <c r="BA80" s="339"/>
      <c r="BB80" s="339"/>
      <c r="BC80" s="339"/>
      <c r="BD80" s="339"/>
      <c r="BE80" s="339"/>
      <c r="BF80" s="339"/>
      <c r="BG80" s="339"/>
      <c r="BH80" s="339"/>
      <c r="BI80" s="339"/>
      <c r="BJ80" s="339"/>
      <c r="BK80" s="339"/>
      <c r="BL80" s="339"/>
      <c r="BM80" s="339"/>
    </row>
    <row r="81" spans="1:69" ht="69" customHeight="1">
      <c r="A81" s="540" t="s">
        <v>50</v>
      </c>
      <c r="B81" s="541" t="s">
        <v>51</v>
      </c>
      <c r="C81" s="541" t="s">
        <v>52</v>
      </c>
      <c r="D81" s="542">
        <v>1</v>
      </c>
      <c r="E81" s="542">
        <v>431</v>
      </c>
      <c r="F81" s="515" t="s">
        <v>183</v>
      </c>
      <c r="G81" s="517"/>
      <c r="H81" s="516" t="s">
        <v>203</v>
      </c>
      <c r="I81" s="518"/>
      <c r="J81" s="517"/>
      <c r="K81" s="515"/>
      <c r="L81" s="516" t="s">
        <v>51</v>
      </c>
      <c r="M81" s="516" t="s">
        <v>58</v>
      </c>
      <c r="N81" s="516"/>
      <c r="O81" s="516" t="s">
        <v>90</v>
      </c>
      <c r="P81" s="516" t="s">
        <v>91</v>
      </c>
      <c r="Q81" s="516" t="s">
        <v>92</v>
      </c>
      <c r="R81" s="516" t="s">
        <v>93</v>
      </c>
      <c r="S81" s="516">
        <v>1</v>
      </c>
      <c r="T81" s="526" t="s">
        <v>205</v>
      </c>
      <c r="U81" s="516">
        <v>4</v>
      </c>
      <c r="V81" s="516"/>
      <c r="W81" s="516" t="s">
        <v>64</v>
      </c>
      <c r="X81" s="516" t="s">
        <v>65</v>
      </c>
      <c r="Y81" s="516"/>
      <c r="Z81" s="516"/>
      <c r="AA81" s="516"/>
      <c r="AB81" s="516"/>
      <c r="AC81" s="516"/>
      <c r="AD81" s="516"/>
      <c r="AE81" s="514">
        <f>IFERROR(IF(Хронология[[#This Row],[Забой, м]]-V80&lt;0, 0, Хронология[[#This Row],[Забой, м]]-V80), 0)</f>
        <v>0</v>
      </c>
      <c r="AF81" s="521">
        <f t="shared" si="1"/>
        <v>46162.583333333278</v>
      </c>
      <c r="AG81" s="521">
        <f>Хронология[[#This Row],[Начало]]+Хронология[[#This Row],[Сутки]]</f>
        <v>46162.749999999942</v>
      </c>
      <c r="AH81" s="522">
        <f>Хронология[[#This Row],[Часы]]/24</f>
        <v>0.16666666666666666</v>
      </c>
      <c r="AI81" s="522">
        <f>IFERROR(Хронология[[#This Row],[Сутки]]+AI80, Хронология[[#This Row],[Сутки]])</f>
        <v>17.916666666666657</v>
      </c>
      <c r="AJ81"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ПНВ</v>
      </c>
      <c r="AK81"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v>
      </c>
      <c r="AL81"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4</v>
      </c>
      <c r="AM81" s="527">
        <f>IF(Хронология[[#This Row],[Результат]]="НПВ", Хронология[[#This Row],[Часы]], 0)</f>
        <v>0</v>
      </c>
      <c r="AN81" s="518">
        <f>SUMIFS(Хронология[НПВ], Хронология[Скважина], Хронология[[#This Row],[Скважина]], Хронология[Начало], "&lt;=" &amp; Хронология[[#This Row],[Начало]])</f>
        <v>126</v>
      </c>
      <c r="AO81" s="518">
        <f>SUMIFS(Хронология[ПНВ], Хронология[Скважина], Хронология[[#This Row],[Скважина]], Хронология[Начало], "&lt;=" &amp; Хронология[[#This Row],[Начало]])</f>
        <v>126.2152</v>
      </c>
      <c r="AP81" s="523">
        <f>INT(ROUND(Хронология[[#This Row],[Начало]], 3))</f>
        <v>46162</v>
      </c>
      <c r="AQ81" s="524">
        <f>Хронология[[#This Row],[Начало]]-INT(Хронология[[#This Row],[Начало]])</f>
        <v>0.58333333327755099</v>
      </c>
      <c r="AR81" s="523">
        <f>INT(ROUND(Хронология[[#This Row],[Окончание]], 3))</f>
        <v>46162</v>
      </c>
      <c r="AS81" s="524">
        <f>Хронология[[#This Row],[Окончание]]-INT(Хронология[[#This Row],[Окончание]])</f>
        <v>0.74999999994179234</v>
      </c>
      <c r="AT81" s="524" t="str">
        <f>Хронология[[#This Row],[Мастер]] &amp; CHAR(10) &amp; Хронология[[#This Row],[Помощник мастера]] &amp; CHAR(10) &amp; Хронология[[#This Row],[Бурильщик]]</f>
        <v>Тарасов А.С.
Штыкин А.А.</v>
      </c>
      <c r="AU81"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431 ОК– КРС Подъем УЭЦН 1</v>
      </c>
      <c r="AV81" s="518" t="str">
        <f>Хронология[[#This Row],[Результат]]&amp;":  "&amp;Хронология[[#This Row],[Событие]]&amp; CHAR(10) &amp;Хронология[[#This Row],[Вид работ]]&amp;"  "&amp;Хронология[[#This Row],[Объект работ]]</f>
        <v>ПНВ:  
Подъем  УЭЦН</v>
      </c>
      <c r="AW81" s="522">
        <f>SUMIF($AU$2:AU81, Хронология[[#This Row],[Ключ]], $AH$2:AH81)</f>
        <v>0.87499999999999989</v>
      </c>
      <c r="AX81" s="516" t="str">
        <f>Хронология[[#This Row],[Вид работ]] &amp; " " &amp; Хронология[[#This Row],[Объект работ]]</f>
        <v>Подъем УЭЦН</v>
      </c>
      <c r="AY81" s="247"/>
      <c r="AZ81" s="339"/>
      <c r="BB81" s="339"/>
      <c r="BC81" s="339"/>
      <c r="BH81" s="339"/>
      <c r="BI81" s="339"/>
      <c r="BN81" s="247"/>
      <c r="BO81" s="247"/>
      <c r="BP81" s="247"/>
      <c r="BQ81" s="247"/>
    </row>
    <row r="82" spans="1:69" ht="69" customHeight="1">
      <c r="A82" s="540" t="s">
        <v>50</v>
      </c>
      <c r="B82" s="541" t="s">
        <v>51</v>
      </c>
      <c r="C82" s="541" t="s">
        <v>52</v>
      </c>
      <c r="D82" s="542">
        <v>1</v>
      </c>
      <c r="E82" s="542">
        <v>431</v>
      </c>
      <c r="F82" s="515" t="s">
        <v>183</v>
      </c>
      <c r="G82" s="517"/>
      <c r="H82" s="516" t="s">
        <v>203</v>
      </c>
      <c r="I82" s="518"/>
      <c r="J82" s="517"/>
      <c r="K82" s="515"/>
      <c r="L82" s="516" t="s">
        <v>51</v>
      </c>
      <c r="M82" s="516" t="s">
        <v>58</v>
      </c>
      <c r="N82" s="516"/>
      <c r="O82" s="516" t="s">
        <v>90</v>
      </c>
      <c r="P82" s="516" t="s">
        <v>91</v>
      </c>
      <c r="Q82" s="516" t="s">
        <v>92</v>
      </c>
      <c r="R82" s="516" t="s">
        <v>93</v>
      </c>
      <c r="S82" s="516">
        <v>1</v>
      </c>
      <c r="T82" s="526" t="s">
        <v>206</v>
      </c>
      <c r="U82" s="516">
        <v>4</v>
      </c>
      <c r="V82" s="516"/>
      <c r="W82" s="516" t="s">
        <v>64</v>
      </c>
      <c r="X82" s="516" t="s">
        <v>65</v>
      </c>
      <c r="Y82" s="516"/>
      <c r="Z82" s="516"/>
      <c r="AA82" s="516"/>
      <c r="AB82" s="516"/>
      <c r="AC82" s="516"/>
      <c r="AD82" s="516"/>
      <c r="AE82" s="514">
        <f>IFERROR(IF(Хронология[[#This Row],[Забой, м]]-V81&lt;0, 0, Хронология[[#This Row],[Забой, м]]-V81), 0)</f>
        <v>0</v>
      </c>
      <c r="AF82" s="521">
        <f t="shared" si="1"/>
        <v>46162.749999999942</v>
      </c>
      <c r="AG82" s="521">
        <f>Хронология[[#This Row],[Начало]]+Хронология[[#This Row],[Сутки]]</f>
        <v>46162.916666666606</v>
      </c>
      <c r="AH82" s="522">
        <f>Хронология[[#This Row],[Часы]]/24</f>
        <v>0.16666666666666666</v>
      </c>
      <c r="AI82" s="522">
        <f>IFERROR(Хронология[[#This Row],[Сутки]]+AI81, Хронология[[#This Row],[Сутки]])</f>
        <v>18.083333333333325</v>
      </c>
      <c r="AJ82"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ПНВ</v>
      </c>
      <c r="AK82"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v>
      </c>
      <c r="AL82"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4</v>
      </c>
      <c r="AM82" s="527">
        <f>IF(Хронология[[#This Row],[Результат]]="НПВ", Хронология[[#This Row],[Часы]], 0)</f>
        <v>0</v>
      </c>
      <c r="AN82" s="518">
        <f>SUMIFS(Хронология[НПВ], Хронология[Скважина], Хронология[[#This Row],[Скважина]], Хронология[Начало], "&lt;=" &amp; Хронология[[#This Row],[Начало]])</f>
        <v>126</v>
      </c>
      <c r="AO82" s="518">
        <f>SUMIFS(Хронология[ПНВ], Хронология[Скважина], Хронология[[#This Row],[Скважина]], Хронология[Начало], "&lt;=" &amp; Хронология[[#This Row],[Начало]])</f>
        <v>130.21519999999998</v>
      </c>
      <c r="AP82" s="523">
        <f>INT(ROUND(Хронология[[#This Row],[Начало]], 3))</f>
        <v>46162</v>
      </c>
      <c r="AQ82" s="524">
        <f>Хронология[[#This Row],[Начало]]-INT(Хронология[[#This Row],[Начало]])</f>
        <v>0.74999999994179234</v>
      </c>
      <c r="AR82" s="523">
        <f>INT(ROUND(Хронология[[#This Row],[Окончание]], 3))</f>
        <v>46162</v>
      </c>
      <c r="AS82" s="524">
        <f>Хронология[[#This Row],[Окончание]]-INT(Хронология[[#This Row],[Окончание]])</f>
        <v>0.91666666660603369</v>
      </c>
      <c r="AT82" s="524" t="str">
        <f>Хронология[[#This Row],[Мастер]] &amp; CHAR(10) &amp; Хронология[[#This Row],[Помощник мастера]] &amp; CHAR(10) &amp; Хронология[[#This Row],[Бурильщик]]</f>
        <v>Тарасов А.С.
Штыкин А.А.</v>
      </c>
      <c r="AU82"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431 ОК– КРС Подъем УЭЦН 1</v>
      </c>
      <c r="AV82" s="518" t="str">
        <f>Хронология[[#This Row],[Результат]]&amp;":  "&amp;Хронология[[#This Row],[Событие]]&amp; CHAR(10) &amp;Хронология[[#This Row],[Вид работ]]&amp;"  "&amp;Хронология[[#This Row],[Объект работ]]</f>
        <v>ПНВ:  
Подъем  УЭЦН</v>
      </c>
      <c r="AW82" s="522">
        <f>SUMIF($AU$2:AU82, Хронология[[#This Row],[Ключ]], $AH$2:AH82)</f>
        <v>1.0416666666666665</v>
      </c>
      <c r="AX82" s="516" t="str">
        <f>Хронология[[#This Row],[Вид работ]] &amp; " " &amp; Хронология[[#This Row],[Объект работ]]</f>
        <v>Подъем УЭЦН</v>
      </c>
      <c r="AY82" s="247"/>
      <c r="AZ82" s="339"/>
      <c r="BB82" s="339"/>
      <c r="BC82" s="339"/>
      <c r="BH82" s="339"/>
      <c r="BI82" s="339"/>
      <c r="BN82" s="247"/>
      <c r="BO82" s="247"/>
      <c r="BP82" s="247"/>
      <c r="BQ82" s="247"/>
    </row>
    <row r="83" spans="1:69" ht="69" customHeight="1">
      <c r="A83" s="540" t="s">
        <v>50</v>
      </c>
      <c r="B83" s="541" t="s">
        <v>51</v>
      </c>
      <c r="C83" s="541" t="s">
        <v>52</v>
      </c>
      <c r="D83" s="542">
        <v>1</v>
      </c>
      <c r="E83" s="542">
        <v>431</v>
      </c>
      <c r="F83" s="515" t="s">
        <v>207</v>
      </c>
      <c r="G83" s="517"/>
      <c r="H83" s="516" t="s">
        <v>55</v>
      </c>
      <c r="I83" s="518"/>
      <c r="J83" s="517"/>
      <c r="K83" s="515"/>
      <c r="L83" s="516" t="s">
        <v>51</v>
      </c>
      <c r="M83" s="516" t="s">
        <v>58</v>
      </c>
      <c r="N83" s="516"/>
      <c r="O83" s="516" t="s">
        <v>90</v>
      </c>
      <c r="P83" s="516" t="s">
        <v>91</v>
      </c>
      <c r="Q83" s="516" t="s">
        <v>92</v>
      </c>
      <c r="R83" s="516" t="s">
        <v>93</v>
      </c>
      <c r="S83" s="516">
        <v>1</v>
      </c>
      <c r="T83" s="526" t="s">
        <v>208</v>
      </c>
      <c r="U83" s="516">
        <v>2</v>
      </c>
      <c r="V83" s="516"/>
      <c r="W83" s="516" t="s">
        <v>64</v>
      </c>
      <c r="X83" s="516" t="s">
        <v>65</v>
      </c>
      <c r="Y83" s="516"/>
      <c r="Z83" s="516"/>
      <c r="AA83" s="516"/>
      <c r="AB83" s="516"/>
      <c r="AC83" s="516"/>
      <c r="AD83" s="516"/>
      <c r="AE83" s="514">
        <f>IFERROR(IF(Хронология[[#This Row],[Забой, м]]-V82&lt;0, 0, Хронология[[#This Row],[Забой, м]]-V82), 0)</f>
        <v>0</v>
      </c>
      <c r="AF83" s="521">
        <f t="shared" si="1"/>
        <v>46162.916666666606</v>
      </c>
      <c r="AG83" s="521">
        <f>Хронология[[#This Row],[Начало]]+Хронология[[#This Row],[Сутки]]</f>
        <v>46162.999999999942</v>
      </c>
      <c r="AH83" s="522">
        <f>Хронология[[#This Row],[Часы]]/24</f>
        <v>8.3333333333333329E-2</v>
      </c>
      <c r="AI83" s="522">
        <f>IFERROR(Хронология[[#This Row],[Сутки]]+AI82, Хронология[[#This Row],[Сутки]])</f>
        <v>18.166666666666657</v>
      </c>
      <c r="AJ83"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ПНВ</v>
      </c>
      <c r="AK83"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v>
      </c>
      <c r="AL83"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2</v>
      </c>
      <c r="AM83" s="527">
        <f>IF(Хронология[[#This Row],[Результат]]="НПВ", Хронология[[#This Row],[Часы]], 0)</f>
        <v>0</v>
      </c>
      <c r="AN83" s="518">
        <f>SUMIFS(Хронология[НПВ], Хронология[Скважина], Хронология[[#This Row],[Скважина]], Хронология[Начало], "&lt;=" &amp; Хронология[[#This Row],[Начало]])</f>
        <v>126</v>
      </c>
      <c r="AO83" s="518">
        <f>SUMIFS(Хронология[ПНВ], Хронология[Скважина], Хронология[[#This Row],[Скважина]], Хронология[Начало], "&lt;=" &amp; Хронология[[#This Row],[Начало]])</f>
        <v>132.21519999999998</v>
      </c>
      <c r="AP83" s="523">
        <f>INT(ROUND(Хронология[[#This Row],[Начало]], 3))</f>
        <v>46162</v>
      </c>
      <c r="AQ83" s="524">
        <f>Хронология[[#This Row],[Начало]]-INT(Хронология[[#This Row],[Начало]])</f>
        <v>0.91666666660603369</v>
      </c>
      <c r="AR83" s="523">
        <f>INT(ROUND(Хронология[[#This Row],[Окончание]], 3))</f>
        <v>46163</v>
      </c>
      <c r="AS83" s="524">
        <f>Хронология[[#This Row],[Окончание]]-INT(Хронология[[#This Row],[Окончание]])</f>
        <v>0.99999999994179234</v>
      </c>
      <c r="AT83" s="524" t="str">
        <f>Хронология[[#This Row],[Мастер]] &amp; CHAR(10) &amp; Хронология[[#This Row],[Помощник мастера]] &amp; CHAR(10) &amp; Хронология[[#This Row],[Бурильщик]]</f>
        <v>Епифанов Д.Б.
Жангазиев С.К.</v>
      </c>
      <c r="AU83"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431 ОК– КРС Подъем УЭЦН 1</v>
      </c>
      <c r="AV83" s="518" t="str">
        <f>Хронология[[#This Row],[Результат]]&amp;":  "&amp;Хронология[[#This Row],[Событие]]&amp; CHAR(10) &amp;Хронология[[#This Row],[Вид работ]]&amp;"  "&amp;Хронология[[#This Row],[Объект работ]]</f>
        <v>ПНВ:  
Подъем  УЭЦН</v>
      </c>
      <c r="AW83" s="522">
        <f>SUMIF($AU$2:AU83, Хронология[[#This Row],[Ключ]], $AH$2:AH83)</f>
        <v>1.1249999999999998</v>
      </c>
      <c r="AX83" s="516" t="str">
        <f>Хронология[[#This Row],[Вид работ]] &amp; " " &amp; Хронология[[#This Row],[Объект работ]]</f>
        <v>Подъем УЭЦН</v>
      </c>
      <c r="AY83" s="247"/>
      <c r="AZ83" s="339"/>
      <c r="BB83" s="339"/>
      <c r="BC83" s="339"/>
      <c r="BH83" s="339"/>
      <c r="BI83" s="339"/>
      <c r="BN83" s="247"/>
      <c r="BO83" s="247"/>
      <c r="BP83" s="247"/>
      <c r="BQ83" s="247"/>
    </row>
    <row r="84" spans="1:69" ht="69" customHeight="1">
      <c r="A84" s="540" t="s">
        <v>50</v>
      </c>
      <c r="B84" s="541" t="s">
        <v>51</v>
      </c>
      <c r="C84" s="541" t="s">
        <v>52</v>
      </c>
      <c r="D84" s="542">
        <v>1</v>
      </c>
      <c r="E84" s="542">
        <v>431</v>
      </c>
      <c r="F84" s="515" t="s">
        <v>207</v>
      </c>
      <c r="G84" s="517"/>
      <c r="H84" s="516" t="s">
        <v>55</v>
      </c>
      <c r="I84" s="518"/>
      <c r="J84" s="517"/>
      <c r="K84" s="515"/>
      <c r="L84" s="516" t="s">
        <v>51</v>
      </c>
      <c r="M84" s="516" t="s">
        <v>58</v>
      </c>
      <c r="N84" s="516"/>
      <c r="O84" s="516" t="s">
        <v>90</v>
      </c>
      <c r="P84" s="516" t="s">
        <v>91</v>
      </c>
      <c r="Q84" s="516" t="s">
        <v>92</v>
      </c>
      <c r="R84" s="516" t="s">
        <v>93</v>
      </c>
      <c r="S84" s="516">
        <v>1</v>
      </c>
      <c r="T84" s="526"/>
      <c r="U84" s="516">
        <v>5</v>
      </c>
      <c r="V84" s="516"/>
      <c r="W84" s="516" t="s">
        <v>64</v>
      </c>
      <c r="X84" s="516" t="s">
        <v>65</v>
      </c>
      <c r="Y84" s="516"/>
      <c r="Z84" s="516"/>
      <c r="AA84" s="516"/>
      <c r="AB84" s="516"/>
      <c r="AC84" s="516"/>
      <c r="AD84" s="516"/>
      <c r="AE84" s="514">
        <f>IFERROR(IF(Хронология[[#This Row],[Забой, м]]-V83&lt;0, 0, Хронология[[#This Row],[Забой, м]]-V83), 0)</f>
        <v>0</v>
      </c>
      <c r="AF84" s="521">
        <f t="shared" si="1"/>
        <v>46162.999999999942</v>
      </c>
      <c r="AG84" s="521">
        <f>Хронология[[#This Row],[Начало]]+Хронология[[#This Row],[Сутки]]</f>
        <v>46163.208333333278</v>
      </c>
      <c r="AH84" s="522">
        <f>Хронология[[#This Row],[Часы]]/24</f>
        <v>0.20833333333333334</v>
      </c>
      <c r="AI84" s="522">
        <f>IFERROR(Хронология[[#This Row],[Сутки]]+AI83, Хронология[[#This Row],[Сутки]])</f>
        <v>18.374999999999989</v>
      </c>
      <c r="AJ84"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ПНВ</v>
      </c>
      <c r="AK84"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v>
      </c>
      <c r="AL84"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5</v>
      </c>
      <c r="AM84" s="527">
        <f>IF(Хронология[[#This Row],[Результат]]="НПВ", Хронология[[#This Row],[Часы]], 0)</f>
        <v>0</v>
      </c>
      <c r="AN84" s="518">
        <f>SUMIFS(Хронология[НПВ], Хронология[Скважина], Хронология[[#This Row],[Скважина]], Хронология[Начало], "&lt;=" &amp; Хронология[[#This Row],[Начало]])</f>
        <v>126</v>
      </c>
      <c r="AO84" s="518">
        <f>SUMIFS(Хронология[ПНВ], Хронология[Скважина], Хронология[[#This Row],[Скважина]], Хронология[Начало], "&lt;=" &amp; Хронология[[#This Row],[Начало]])</f>
        <v>137.21519999999998</v>
      </c>
      <c r="AP84" s="523">
        <f>INT(ROUND(Хронология[[#This Row],[Начало]], 3))</f>
        <v>46163</v>
      </c>
      <c r="AQ84" s="524">
        <f>Хронология[[#This Row],[Начало]]-INT(Хронология[[#This Row],[Начало]])</f>
        <v>0.99999999994179234</v>
      </c>
      <c r="AR84" s="523">
        <f>INT(ROUND(Хронология[[#This Row],[Окончание]], 3))</f>
        <v>46163</v>
      </c>
      <c r="AS84" s="524">
        <f>Хронология[[#This Row],[Окончание]]-INT(Хронология[[#This Row],[Окончание]])</f>
        <v>0.20833333327755099</v>
      </c>
      <c r="AT84" s="524" t="str">
        <f>Хронология[[#This Row],[Мастер]] &amp; CHAR(10) &amp; Хронология[[#This Row],[Помощник мастера]] &amp; CHAR(10) &amp; Хронология[[#This Row],[Бурильщик]]</f>
        <v>Епифанов Д.Б.
Жангазиев С.К.</v>
      </c>
      <c r="AU84"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431 ОК– КРС Подъем УЭЦН 1</v>
      </c>
      <c r="AV84" s="518" t="str">
        <f>Хронология[[#This Row],[Результат]]&amp;":  "&amp;Хронология[[#This Row],[Событие]]&amp; CHAR(10) &amp;Хронология[[#This Row],[Вид работ]]&amp;"  "&amp;Хронология[[#This Row],[Объект работ]]</f>
        <v>ПНВ:  
Подъем  УЭЦН</v>
      </c>
      <c r="AW84" s="522">
        <f>SUMIF($AU$2:AU84, Хронология[[#This Row],[Ключ]], $AH$2:AH84)</f>
        <v>1.333333333333333</v>
      </c>
      <c r="AX84" s="516" t="str">
        <f>Хронология[[#This Row],[Вид работ]] &amp; " " &amp; Хронология[[#This Row],[Объект работ]]</f>
        <v>Подъем УЭЦН</v>
      </c>
      <c r="AY84" s="247"/>
      <c r="AZ84" s="339"/>
      <c r="BB84" s="339"/>
      <c r="BC84" s="339"/>
      <c r="BH84" s="339"/>
      <c r="BI84" s="339"/>
      <c r="BN84" s="247"/>
      <c r="BO84" s="247"/>
      <c r="BP84" s="247"/>
      <c r="BQ84" s="247"/>
    </row>
    <row r="85" spans="1:69" ht="69" customHeight="1">
      <c r="A85" s="540" t="s">
        <v>50</v>
      </c>
      <c r="B85" s="541" t="s">
        <v>51</v>
      </c>
      <c r="C85" s="541" t="s">
        <v>52</v>
      </c>
      <c r="D85" s="542">
        <v>1</v>
      </c>
      <c r="E85" s="542">
        <v>431</v>
      </c>
      <c r="F85" s="515" t="s">
        <v>207</v>
      </c>
      <c r="G85" s="517"/>
      <c r="H85" s="516" t="s">
        <v>55</v>
      </c>
      <c r="I85" s="518"/>
      <c r="J85" s="517"/>
      <c r="K85" s="515"/>
      <c r="L85" s="516" t="s">
        <v>51</v>
      </c>
      <c r="M85" s="516" t="s">
        <v>58</v>
      </c>
      <c r="N85" s="516"/>
      <c r="O85" s="516" t="s">
        <v>90</v>
      </c>
      <c r="P85" s="516" t="s">
        <v>91</v>
      </c>
      <c r="Q85" s="516" t="s">
        <v>92</v>
      </c>
      <c r="R85" s="516" t="s">
        <v>93</v>
      </c>
      <c r="S85" s="516">
        <v>1</v>
      </c>
      <c r="T85" s="526" t="s">
        <v>209</v>
      </c>
      <c r="U85" s="516">
        <v>5</v>
      </c>
      <c r="V85" s="516"/>
      <c r="W85" s="516" t="s">
        <v>64</v>
      </c>
      <c r="X85" s="516" t="s">
        <v>65</v>
      </c>
      <c r="Y85" s="516"/>
      <c r="Z85" s="516"/>
      <c r="AA85" s="516"/>
      <c r="AB85" s="516"/>
      <c r="AC85" s="516"/>
      <c r="AD85" s="516"/>
      <c r="AE85" s="514">
        <f>IFERROR(IF(Хронология[[#This Row],[Забой, м]]-V84&lt;0, 0, Хронология[[#This Row],[Забой, м]]-V84), 0)</f>
        <v>0</v>
      </c>
      <c r="AF85" s="521">
        <f t="shared" si="1"/>
        <v>46163.208333333278</v>
      </c>
      <c r="AG85" s="521">
        <f>Хронология[[#This Row],[Начало]]+Хронология[[#This Row],[Сутки]]</f>
        <v>46163.416666666613</v>
      </c>
      <c r="AH85" s="522">
        <f>Хронология[[#This Row],[Часы]]/24</f>
        <v>0.20833333333333334</v>
      </c>
      <c r="AI85" s="522">
        <f>IFERROR(Хронология[[#This Row],[Сутки]]+AI84, Хронология[[#This Row],[Сутки]])</f>
        <v>18.583333333333321</v>
      </c>
      <c r="AJ85"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ПНВ</v>
      </c>
      <c r="AK85"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v>
      </c>
      <c r="AL85"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5</v>
      </c>
      <c r="AM85" s="527">
        <f>IF(Хронология[[#This Row],[Результат]]="НПВ", Хронология[[#This Row],[Часы]], 0)</f>
        <v>0</v>
      </c>
      <c r="AN85" s="518">
        <f>SUMIFS(Хронология[НПВ], Хронология[Скважина], Хронология[[#This Row],[Скважина]], Хронология[Начало], "&lt;=" &amp; Хронология[[#This Row],[Начало]])</f>
        <v>126</v>
      </c>
      <c r="AO85" s="518">
        <f>SUMIFS(Хронология[ПНВ], Хронология[Скважина], Хронология[[#This Row],[Скважина]], Хронология[Начало], "&lt;=" &amp; Хронология[[#This Row],[Начало]])</f>
        <v>142.21519999999998</v>
      </c>
      <c r="AP85" s="523">
        <f>INT(ROUND(Хронология[[#This Row],[Начало]], 3))</f>
        <v>46163</v>
      </c>
      <c r="AQ85" s="524">
        <f>Хронология[[#This Row],[Начало]]-INT(Хронология[[#This Row],[Начало]])</f>
        <v>0.20833333327755099</v>
      </c>
      <c r="AR85" s="523">
        <f>INT(ROUND(Хронология[[#This Row],[Окончание]], 3))</f>
        <v>46163</v>
      </c>
      <c r="AS85" s="524">
        <f>Хронология[[#This Row],[Окончание]]-INT(Хронология[[#This Row],[Окончание]])</f>
        <v>0.41666666661330964</v>
      </c>
      <c r="AT85" s="524" t="str">
        <f>Хронология[[#This Row],[Мастер]] &amp; CHAR(10) &amp; Хронология[[#This Row],[Помощник мастера]] &amp; CHAR(10) &amp; Хронология[[#This Row],[Бурильщик]]</f>
        <v>Епифанов Д.Б.
Жангазиев С.К.</v>
      </c>
      <c r="AU85"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431 ОК– КРС Подъем УЭЦН 1</v>
      </c>
      <c r="AV85" s="518" t="str">
        <f>Хронология[[#This Row],[Результат]]&amp;":  "&amp;Хронология[[#This Row],[Событие]]&amp; CHAR(10) &amp;Хронология[[#This Row],[Вид работ]]&amp;"  "&amp;Хронология[[#This Row],[Объект работ]]</f>
        <v>ПНВ:  
Подъем  УЭЦН</v>
      </c>
      <c r="AW85" s="522">
        <f>SUMIF($AU$2:AU85, Хронология[[#This Row],[Ключ]], $AH$2:AH85)</f>
        <v>1.5416666666666663</v>
      </c>
      <c r="AX85" s="516" t="str">
        <f>Хронология[[#This Row],[Вид работ]] &amp; " " &amp; Хронология[[#This Row],[Объект работ]]</f>
        <v>Подъем УЭЦН</v>
      </c>
      <c r="AY85" s="247"/>
      <c r="AZ85" s="339"/>
      <c r="BB85" s="339"/>
      <c r="BC85" s="339"/>
      <c r="BH85" s="339"/>
      <c r="BI85" s="339"/>
      <c r="BN85" s="247"/>
      <c r="BO85" s="247"/>
      <c r="BP85" s="247"/>
      <c r="BQ85" s="247"/>
    </row>
    <row r="86" spans="1:69" ht="69" customHeight="1">
      <c r="A86" s="540" t="s">
        <v>50</v>
      </c>
      <c r="B86" s="541" t="s">
        <v>51</v>
      </c>
      <c r="C86" s="541" t="s">
        <v>52</v>
      </c>
      <c r="D86" s="542">
        <v>1</v>
      </c>
      <c r="E86" s="542">
        <v>431</v>
      </c>
      <c r="F86" s="515" t="s">
        <v>183</v>
      </c>
      <c r="G86" s="517"/>
      <c r="H86" s="516" t="s">
        <v>203</v>
      </c>
      <c r="I86" s="518"/>
      <c r="J86" s="517"/>
      <c r="K86" s="515"/>
      <c r="L86" s="516" t="s">
        <v>51</v>
      </c>
      <c r="M86" s="516" t="s">
        <v>58</v>
      </c>
      <c r="N86" s="516"/>
      <c r="O86" s="516" t="s">
        <v>78</v>
      </c>
      <c r="P86" s="516" t="s">
        <v>102</v>
      </c>
      <c r="Q86" s="516" t="s">
        <v>92</v>
      </c>
      <c r="R86" s="516" t="s">
        <v>93</v>
      </c>
      <c r="S86" s="516"/>
      <c r="T86" s="526" t="s">
        <v>210</v>
      </c>
      <c r="U86" s="516">
        <v>4</v>
      </c>
      <c r="V86" s="516"/>
      <c r="W86" s="516" t="s">
        <v>64</v>
      </c>
      <c r="X86" s="516" t="s">
        <v>65</v>
      </c>
      <c r="Y86" s="516"/>
      <c r="Z86" s="516"/>
      <c r="AA86" s="516"/>
      <c r="AB86" s="516"/>
      <c r="AC86" s="516"/>
      <c r="AD86" s="516"/>
      <c r="AE86" s="514">
        <f>IFERROR(IF(Хронология[[#This Row],[Забой, м]]-V85&lt;0, 0, Хронология[[#This Row],[Забой, м]]-V85), 0)</f>
        <v>0</v>
      </c>
      <c r="AF86" s="521">
        <f t="shared" si="1"/>
        <v>46163.416666666613</v>
      </c>
      <c r="AG86" s="521">
        <f>Хронология[[#This Row],[Начало]]+Хронология[[#This Row],[Сутки]]</f>
        <v>46163.583333333278</v>
      </c>
      <c r="AH86" s="522">
        <f>Хронология[[#This Row],[Часы]]/24</f>
        <v>0.16666666666666666</v>
      </c>
      <c r="AI86" s="522">
        <f>IFERROR(Хронология[[#This Row],[Сутки]]+AI85, Хронология[[#This Row],[Сутки]])</f>
        <v>18.749999999999989</v>
      </c>
      <c r="AJ86"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ПНВ</v>
      </c>
      <c r="AK86"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0.99800000000000022</v>
      </c>
      <c r="AL86"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3.0019999999999998</v>
      </c>
      <c r="AM86" s="527">
        <f>IF(Хронология[[#This Row],[Результат]]="НПВ", Хронология[[#This Row],[Часы]], 0)</f>
        <v>0</v>
      </c>
      <c r="AN86" s="518">
        <f>SUMIFS(Хронология[НПВ], Хронология[Скважина], Хронология[[#This Row],[Скважина]], Хронология[Начало], "&lt;=" &amp; Хронология[[#This Row],[Начало]])</f>
        <v>126</v>
      </c>
      <c r="AO86" s="518">
        <f>SUMIFS(Хронология[ПНВ], Хронология[Скважина], Хронология[[#This Row],[Скважина]], Хронология[Начало], "&lt;=" &amp; Хронология[[#This Row],[Начало]])</f>
        <v>145.21719999999999</v>
      </c>
      <c r="AP86" s="523">
        <f>INT(ROUND(Хронология[[#This Row],[Начало]], 3))</f>
        <v>46163</v>
      </c>
      <c r="AQ86" s="524">
        <f>Хронология[[#This Row],[Начало]]-INT(Хронология[[#This Row],[Начало]])</f>
        <v>0.41666666661330964</v>
      </c>
      <c r="AR86" s="523">
        <f>INT(ROUND(Хронология[[#This Row],[Окончание]], 3))</f>
        <v>46163</v>
      </c>
      <c r="AS86" s="524">
        <f>Хронология[[#This Row],[Окончание]]-INT(Хронология[[#This Row],[Окончание]])</f>
        <v>0.58333333327755099</v>
      </c>
      <c r="AT86" s="524" t="str">
        <f>Хронология[[#This Row],[Мастер]] &amp; CHAR(10) &amp; Хронология[[#This Row],[Помощник мастера]] &amp; CHAR(10) &amp; Хронология[[#This Row],[Бурильщик]]</f>
        <v>Тарасов А.С.
Штыкин А.А.</v>
      </c>
      <c r="AU86"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431 ОК– КРС Подготовка УЭЦН </v>
      </c>
      <c r="AV86" s="518" t="str">
        <f>Хронология[[#This Row],[Результат]]&amp;":  "&amp;Хронология[[#This Row],[Событие]]&amp; CHAR(10) &amp;Хронология[[#This Row],[Вид работ]]&amp;"  "&amp;Хронология[[#This Row],[Объект работ]]</f>
        <v>ПНВ:  
Подготовка  УЭЦН</v>
      </c>
      <c r="AW86" s="522">
        <f>SUMIF($AU$2:AU86, Хронология[[#This Row],[Ключ]], $AH$2:AH86)</f>
        <v>0.16666666666666666</v>
      </c>
      <c r="AX86" s="516" t="str">
        <f>Хронология[[#This Row],[Вид работ]] &amp; " " &amp; Хронология[[#This Row],[Объект работ]]</f>
        <v>Подготовка УЭЦН</v>
      </c>
      <c r="AY86" s="247"/>
      <c r="AZ86" s="339"/>
      <c r="BB86" s="339"/>
      <c r="BC86" s="339"/>
      <c r="BH86" s="339"/>
      <c r="BI86" s="339"/>
      <c r="BN86" s="247"/>
      <c r="BO86" s="247"/>
      <c r="BP86" s="247"/>
      <c r="BQ86" s="247"/>
    </row>
    <row r="87" spans="1:69" ht="69" customHeight="1">
      <c r="A87" s="540" t="s">
        <v>50</v>
      </c>
      <c r="B87" s="541" t="s">
        <v>51</v>
      </c>
      <c r="C87" s="541" t="s">
        <v>52</v>
      </c>
      <c r="D87" s="542">
        <v>1</v>
      </c>
      <c r="E87" s="542">
        <v>431</v>
      </c>
      <c r="F87" s="515" t="s">
        <v>183</v>
      </c>
      <c r="G87" s="517"/>
      <c r="H87" s="516" t="s">
        <v>203</v>
      </c>
      <c r="I87" s="518"/>
      <c r="J87" s="517"/>
      <c r="K87" s="515"/>
      <c r="L87" s="516" t="s">
        <v>51</v>
      </c>
      <c r="M87" s="516" t="s">
        <v>58</v>
      </c>
      <c r="N87" s="516"/>
      <c r="O87" s="516" t="s">
        <v>95</v>
      </c>
      <c r="P87" s="516" t="s">
        <v>104</v>
      </c>
      <c r="Q87" s="516" t="s">
        <v>92</v>
      </c>
      <c r="R87" s="516" t="s">
        <v>93</v>
      </c>
      <c r="S87" s="516"/>
      <c r="T87" s="526" t="s">
        <v>211</v>
      </c>
      <c r="U87" s="516">
        <v>4</v>
      </c>
      <c r="V87" s="516"/>
      <c r="W87" s="516"/>
      <c r="X87" s="516"/>
      <c r="Y87" s="516"/>
      <c r="Z87" s="516"/>
      <c r="AA87" s="516"/>
      <c r="AB87" s="516"/>
      <c r="AC87" s="516"/>
      <c r="AD87" s="516"/>
      <c r="AE87" s="514">
        <f>IFERROR(IF(Хронология[[#This Row],[Забой, м]]-V86&lt;0, 0, Хронология[[#This Row],[Забой, м]]-V86), 0)</f>
        <v>0</v>
      </c>
      <c r="AF87" s="521">
        <f t="shared" si="1"/>
        <v>46163.583333333278</v>
      </c>
      <c r="AG87" s="521">
        <f>Хронология[[#This Row],[Начало]]+Хронология[[#This Row],[Сутки]]</f>
        <v>46163.749999999942</v>
      </c>
      <c r="AH87" s="522">
        <f>Хронология[[#This Row],[Часы]]/24</f>
        <v>0.16666666666666666</v>
      </c>
      <c r="AI87" s="522">
        <f>IFERROR(Хронология[[#This Row],[Сутки]]+AI86, Хронология[[#This Row],[Сутки]])</f>
        <v>18.916666666666657</v>
      </c>
      <c r="AJ87"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ПВ</v>
      </c>
      <c r="AK87"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4</v>
      </c>
      <c r="AL87"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v>
      </c>
      <c r="AM87" s="527">
        <f>IF(Хронология[[#This Row],[Результат]]="НПВ", Хронология[[#This Row],[Часы]], 0)</f>
        <v>0</v>
      </c>
      <c r="AN87" s="518">
        <f>SUMIFS(Хронология[НПВ], Хронология[Скважина], Хронология[[#This Row],[Скважина]], Хронология[Начало], "&lt;=" &amp; Хронология[[#This Row],[Начало]])</f>
        <v>126</v>
      </c>
      <c r="AO87" s="518">
        <f>SUMIFS(Хронология[ПНВ], Хронология[Скважина], Хронология[[#This Row],[Скважина]], Хронология[Начало], "&lt;=" &amp; Хронология[[#This Row],[Начало]])</f>
        <v>145.21719999999999</v>
      </c>
      <c r="AP87" s="523">
        <f>INT(ROUND(Хронология[[#This Row],[Начало]], 3))</f>
        <v>46163</v>
      </c>
      <c r="AQ87" s="524">
        <f>Хронология[[#This Row],[Начало]]-INT(Хронология[[#This Row],[Начало]])</f>
        <v>0.58333333327755099</v>
      </c>
      <c r="AR87" s="523">
        <f>INT(ROUND(Хронология[[#This Row],[Окончание]], 3))</f>
        <v>46163</v>
      </c>
      <c r="AS87" s="524">
        <f>Хронология[[#This Row],[Окончание]]-INT(Хронология[[#This Row],[Окончание]])</f>
        <v>0.74999999994179234</v>
      </c>
      <c r="AT87" s="524" t="str">
        <f>Хронология[[#This Row],[Мастер]] &amp; CHAR(10) &amp; Хронология[[#This Row],[Помощник мастера]] &amp; CHAR(10) &amp; Хронология[[#This Row],[Бурильщик]]</f>
        <v>Тарасов А.С.
Штыкин А.А.</v>
      </c>
      <c r="AU87"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431 ОК– КРС Сборка УЭЦН </v>
      </c>
      <c r="AV87" s="518" t="str">
        <f>Хронология[[#This Row],[Результат]]&amp;":  "&amp;Хронология[[#This Row],[Событие]]&amp; CHAR(10) &amp;Хронология[[#This Row],[Вид работ]]&amp;"  "&amp;Хронология[[#This Row],[Объект работ]]</f>
        <v>ПВ:  
Сборка  УЭЦН</v>
      </c>
      <c r="AW87" s="522">
        <f>SUMIF($AU$2:AU87, Хронология[[#This Row],[Ключ]], $AH$2:AH87)</f>
        <v>0.16666666666666666</v>
      </c>
      <c r="AX87" s="516" t="str">
        <f>Хронология[[#This Row],[Вид работ]] &amp; " " &amp; Хронология[[#This Row],[Объект работ]]</f>
        <v>Сборка УЭЦН</v>
      </c>
      <c r="AY87" s="247"/>
      <c r="AZ87" s="339"/>
      <c r="BB87" s="339"/>
      <c r="BC87" s="339"/>
      <c r="BH87" s="339"/>
      <c r="BI87" s="339"/>
      <c r="BN87" s="247"/>
      <c r="BO87" s="247"/>
      <c r="BP87" s="247"/>
      <c r="BQ87" s="247"/>
    </row>
    <row r="88" spans="1:69" ht="69" customHeight="1">
      <c r="A88" s="540" t="s">
        <v>50</v>
      </c>
      <c r="B88" s="541" t="s">
        <v>51</v>
      </c>
      <c r="C88" s="541" t="s">
        <v>52</v>
      </c>
      <c r="D88" s="542">
        <v>1</v>
      </c>
      <c r="E88" s="542">
        <v>431</v>
      </c>
      <c r="F88" s="515" t="s">
        <v>183</v>
      </c>
      <c r="G88" s="517"/>
      <c r="H88" s="516" t="s">
        <v>203</v>
      </c>
      <c r="I88" s="518"/>
      <c r="J88" s="517"/>
      <c r="K88" s="515"/>
      <c r="L88" s="516" t="s">
        <v>51</v>
      </c>
      <c r="M88" s="516" t="s">
        <v>58</v>
      </c>
      <c r="N88" s="516"/>
      <c r="O88" s="516" t="s">
        <v>90</v>
      </c>
      <c r="P88" s="516" t="s">
        <v>106</v>
      </c>
      <c r="Q88" s="516" t="s">
        <v>92</v>
      </c>
      <c r="R88" s="516" t="s">
        <v>93</v>
      </c>
      <c r="S88" s="516">
        <v>1</v>
      </c>
      <c r="T88" s="526" t="s">
        <v>212</v>
      </c>
      <c r="U88" s="516">
        <v>4</v>
      </c>
      <c r="V88" s="516"/>
      <c r="W88" s="516"/>
      <c r="X88" s="516"/>
      <c r="Y88" s="516"/>
      <c r="Z88" s="516"/>
      <c r="AA88" s="516"/>
      <c r="AB88" s="516"/>
      <c r="AC88" s="516"/>
      <c r="AD88" s="516"/>
      <c r="AE88" s="514">
        <f>IFERROR(IF(Хронология[[#This Row],[Забой, м]]-V87&lt;0, 0, Хронология[[#This Row],[Забой, м]]-V87), 0)</f>
        <v>0</v>
      </c>
      <c r="AF88" s="521">
        <f t="shared" si="1"/>
        <v>46163.749999999942</v>
      </c>
      <c r="AG88" s="521">
        <f>Хронология[[#This Row],[Начало]]+Хронология[[#This Row],[Сутки]]</f>
        <v>46163.916666666606</v>
      </c>
      <c r="AH88" s="522">
        <f>Хронология[[#This Row],[Часы]]/24</f>
        <v>0.16666666666666666</v>
      </c>
      <c r="AI88" s="522">
        <f>IFERROR(Хронология[[#This Row],[Сутки]]+AI87, Хронология[[#This Row],[Сутки]])</f>
        <v>19.083333333333325</v>
      </c>
      <c r="AJ88"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ПВ</v>
      </c>
      <c r="AK88"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4</v>
      </c>
      <c r="AL88"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v>
      </c>
      <c r="AM88" s="527">
        <f>IF(Хронология[[#This Row],[Результат]]="НПВ", Хронология[[#This Row],[Часы]], 0)</f>
        <v>0</v>
      </c>
      <c r="AN88" s="518">
        <f>SUMIFS(Хронология[НПВ], Хронология[Скважина], Хронология[[#This Row],[Скважина]], Хронология[Начало], "&lt;=" &amp; Хронология[[#This Row],[Начало]])</f>
        <v>126</v>
      </c>
      <c r="AO88" s="518">
        <f>SUMIFS(Хронология[ПНВ], Хронология[Скважина], Хронология[[#This Row],[Скважина]], Хронология[Начало], "&lt;=" &amp; Хронология[[#This Row],[Начало]])</f>
        <v>145.21719999999999</v>
      </c>
      <c r="AP88" s="523">
        <f>INT(ROUND(Хронология[[#This Row],[Начало]], 3))</f>
        <v>46163</v>
      </c>
      <c r="AQ88" s="524">
        <f>Хронология[[#This Row],[Начало]]-INT(Хронология[[#This Row],[Начало]])</f>
        <v>0.74999999994179234</v>
      </c>
      <c r="AR88" s="523">
        <f>INT(ROUND(Хронология[[#This Row],[Окончание]], 3))</f>
        <v>46163</v>
      </c>
      <c r="AS88" s="524">
        <f>Хронология[[#This Row],[Окончание]]-INT(Хронология[[#This Row],[Окончание]])</f>
        <v>0.91666666660603369</v>
      </c>
      <c r="AT88" s="524" t="str">
        <f>Хронология[[#This Row],[Мастер]] &amp; CHAR(10) &amp; Хронология[[#This Row],[Помощник мастера]] &amp; CHAR(10) &amp; Хронология[[#This Row],[Бурильщик]]</f>
        <v>Тарасов А.С.
Штыкин А.А.</v>
      </c>
      <c r="AU88"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431 ОК– КРС Спуск УЭЦН 1</v>
      </c>
      <c r="AV88" s="518" t="str">
        <f>Хронология[[#This Row],[Результат]]&amp;":  "&amp;Хронология[[#This Row],[Событие]]&amp; CHAR(10) &amp;Хронология[[#This Row],[Вид работ]]&amp;"  "&amp;Хронология[[#This Row],[Объект работ]]</f>
        <v>ПВ:  
Спуск  УЭЦН</v>
      </c>
      <c r="AW88" s="522">
        <f>SUMIF($AU$2:AU88, Хронология[[#This Row],[Ключ]], $AH$2:AH88)</f>
        <v>0.16666666666666666</v>
      </c>
      <c r="AX88" s="516" t="str">
        <f>Хронология[[#This Row],[Вид работ]] &amp; " " &amp; Хронология[[#This Row],[Объект работ]]</f>
        <v>Спуск УЭЦН</v>
      </c>
      <c r="AY88" s="247"/>
      <c r="AZ88" s="339"/>
      <c r="BB88" s="339"/>
      <c r="BC88" s="339"/>
      <c r="BH88" s="339"/>
      <c r="BI88" s="339"/>
      <c r="BN88" s="247"/>
      <c r="BO88" s="247"/>
      <c r="BP88" s="247"/>
      <c r="BQ88" s="247"/>
    </row>
    <row r="89" spans="1:69" ht="69" customHeight="1">
      <c r="A89" s="540" t="s">
        <v>50</v>
      </c>
      <c r="B89" s="541" t="s">
        <v>51</v>
      </c>
      <c r="C89" s="541" t="s">
        <v>52</v>
      </c>
      <c r="D89" s="542">
        <v>1</v>
      </c>
      <c r="E89" s="542">
        <v>431</v>
      </c>
      <c r="F89" s="515" t="s">
        <v>207</v>
      </c>
      <c r="G89" s="517"/>
      <c r="H89" s="516" t="s">
        <v>55</v>
      </c>
      <c r="I89" s="518"/>
      <c r="J89" s="517"/>
      <c r="K89" s="515"/>
      <c r="L89" s="516" t="s">
        <v>51</v>
      </c>
      <c r="M89" s="516" t="s">
        <v>58</v>
      </c>
      <c r="N89" s="516"/>
      <c r="O89" s="516" t="s">
        <v>90</v>
      </c>
      <c r="P89" s="516" t="s">
        <v>106</v>
      </c>
      <c r="Q89" s="516" t="s">
        <v>92</v>
      </c>
      <c r="R89" s="516" t="s">
        <v>93</v>
      </c>
      <c r="S89" s="516">
        <v>1</v>
      </c>
      <c r="T89" s="526" t="s">
        <v>213</v>
      </c>
      <c r="U89" s="516">
        <v>2</v>
      </c>
      <c r="V89" s="516"/>
      <c r="W89" s="516"/>
      <c r="X89" s="516"/>
      <c r="Y89" s="516"/>
      <c r="Z89" s="516"/>
      <c r="AA89" s="516"/>
      <c r="AB89" s="516"/>
      <c r="AC89" s="516"/>
      <c r="AD89" s="516"/>
      <c r="AE89" s="514">
        <f>IFERROR(IF(Хронология[[#This Row],[Забой, м]]-V88&lt;0, 0, Хронология[[#This Row],[Забой, м]]-V88), 0)</f>
        <v>0</v>
      </c>
      <c r="AF89" s="521">
        <f t="shared" si="1"/>
        <v>46163.916666666606</v>
      </c>
      <c r="AG89" s="521">
        <f>Хронология[[#This Row],[Начало]]+Хронология[[#This Row],[Сутки]]</f>
        <v>46163.999999999942</v>
      </c>
      <c r="AH89" s="522">
        <f>Хронология[[#This Row],[Часы]]/24</f>
        <v>8.3333333333333329E-2</v>
      </c>
      <c r="AI89" s="522">
        <f>IFERROR(Хронология[[#This Row],[Сутки]]+AI88, Хронология[[#This Row],[Сутки]])</f>
        <v>19.166666666666657</v>
      </c>
      <c r="AJ89"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ПВ</v>
      </c>
      <c r="AK89"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2</v>
      </c>
      <c r="AL89"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v>
      </c>
      <c r="AM89" s="527">
        <f>IF(Хронология[[#This Row],[Результат]]="НПВ", Хронология[[#This Row],[Часы]], 0)</f>
        <v>0</v>
      </c>
      <c r="AN89" s="518">
        <f>SUMIFS(Хронология[НПВ], Хронология[Скважина], Хронология[[#This Row],[Скважина]], Хронология[Начало], "&lt;=" &amp; Хронология[[#This Row],[Начало]])</f>
        <v>126</v>
      </c>
      <c r="AO89" s="518">
        <f>SUMIFS(Хронология[ПНВ], Хронология[Скважина], Хронология[[#This Row],[Скважина]], Хронология[Начало], "&lt;=" &amp; Хронология[[#This Row],[Начало]])</f>
        <v>145.21719999999999</v>
      </c>
      <c r="AP89" s="523">
        <f>INT(ROUND(Хронология[[#This Row],[Начало]], 3))</f>
        <v>46163</v>
      </c>
      <c r="AQ89" s="524">
        <f>Хронология[[#This Row],[Начало]]-INT(Хронология[[#This Row],[Начало]])</f>
        <v>0.91666666660603369</v>
      </c>
      <c r="AR89" s="523">
        <f>INT(ROUND(Хронология[[#This Row],[Окончание]], 3))</f>
        <v>46164</v>
      </c>
      <c r="AS89" s="524">
        <f>Хронология[[#This Row],[Окончание]]-INT(Хронология[[#This Row],[Окончание]])</f>
        <v>0.99999999994179234</v>
      </c>
      <c r="AT89" s="524" t="str">
        <f>Хронология[[#This Row],[Мастер]] &amp; CHAR(10) &amp; Хронология[[#This Row],[Помощник мастера]] &amp; CHAR(10) &amp; Хронология[[#This Row],[Бурильщик]]</f>
        <v>Епифанов Д.Б.
Жангазиев С.К.</v>
      </c>
      <c r="AU89"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431 ОК– КРС Спуск УЭЦН 1</v>
      </c>
      <c r="AV89" s="518" t="str">
        <f>Хронология[[#This Row],[Результат]]&amp;":  "&amp;Хронология[[#This Row],[Событие]]&amp; CHAR(10) &amp;Хронология[[#This Row],[Вид работ]]&amp;"  "&amp;Хронология[[#This Row],[Объект работ]]</f>
        <v>ПВ:  
Спуск  УЭЦН</v>
      </c>
      <c r="AW89" s="522">
        <f>SUMIF($AU$2:AU89, Хронология[[#This Row],[Ключ]], $AH$2:AH89)</f>
        <v>0.25</v>
      </c>
      <c r="AX89" s="516" t="str">
        <f>Хронология[[#This Row],[Вид работ]] &amp; " " &amp; Хронология[[#This Row],[Объект работ]]</f>
        <v>Спуск УЭЦН</v>
      </c>
      <c r="AY89" s="247"/>
      <c r="AZ89" s="339"/>
      <c r="BB89" s="339"/>
      <c r="BC89" s="339"/>
      <c r="BH89" s="339"/>
      <c r="BI89" s="339"/>
      <c r="BN89" s="247"/>
      <c r="BO89" s="247"/>
      <c r="BP89" s="247"/>
      <c r="BQ89" s="247"/>
    </row>
    <row r="90" spans="1:69" ht="69" customHeight="1">
      <c r="A90" s="540" t="s">
        <v>50</v>
      </c>
      <c r="B90" s="541" t="s">
        <v>51</v>
      </c>
      <c r="C90" s="541" t="s">
        <v>52</v>
      </c>
      <c r="D90" s="542">
        <v>1</v>
      </c>
      <c r="E90" s="542">
        <v>431</v>
      </c>
      <c r="F90" s="515" t="s">
        <v>207</v>
      </c>
      <c r="G90" s="517"/>
      <c r="H90" s="516" t="s">
        <v>55</v>
      </c>
      <c r="I90" s="518"/>
      <c r="J90" s="517"/>
      <c r="K90" s="515"/>
      <c r="L90" s="516" t="s">
        <v>51</v>
      </c>
      <c r="M90" s="516" t="s">
        <v>58</v>
      </c>
      <c r="N90" s="516"/>
      <c r="O90" s="516" t="s">
        <v>90</v>
      </c>
      <c r="P90" s="516" t="s">
        <v>106</v>
      </c>
      <c r="Q90" s="516" t="s">
        <v>92</v>
      </c>
      <c r="R90" s="516" t="s">
        <v>93</v>
      </c>
      <c r="S90" s="516">
        <v>1</v>
      </c>
      <c r="T90" s="526"/>
      <c r="U90" s="516">
        <v>5</v>
      </c>
      <c r="V90" s="516"/>
      <c r="W90" s="516"/>
      <c r="X90" s="516"/>
      <c r="Y90" s="516"/>
      <c r="Z90" s="516"/>
      <c r="AA90" s="516"/>
      <c r="AB90" s="516"/>
      <c r="AC90" s="516"/>
      <c r="AD90" s="516"/>
      <c r="AE90" s="514">
        <f>IFERROR(IF(Хронология[[#This Row],[Забой, м]]-V89&lt;0, 0, Хронология[[#This Row],[Забой, м]]-V89), 0)</f>
        <v>0</v>
      </c>
      <c r="AF90" s="521">
        <f t="shared" si="1"/>
        <v>46163.999999999942</v>
      </c>
      <c r="AG90" s="521">
        <f>Хронология[[#This Row],[Начало]]+Хронология[[#This Row],[Сутки]]</f>
        <v>46164.208333333278</v>
      </c>
      <c r="AH90" s="522">
        <f>Хронология[[#This Row],[Часы]]/24</f>
        <v>0.20833333333333334</v>
      </c>
      <c r="AI90" s="522">
        <f>IFERROR(Хронология[[#This Row],[Сутки]]+AI89, Хронология[[#This Row],[Сутки]])</f>
        <v>19.374999999999989</v>
      </c>
      <c r="AJ90"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ПВ</v>
      </c>
      <c r="AK90"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5</v>
      </c>
      <c r="AL90"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v>
      </c>
      <c r="AM90" s="527">
        <f>IF(Хронология[[#This Row],[Результат]]="НПВ", Хронология[[#This Row],[Часы]], 0)</f>
        <v>0</v>
      </c>
      <c r="AN90" s="518">
        <f>SUMIFS(Хронология[НПВ], Хронология[Скважина], Хронология[[#This Row],[Скважина]], Хронология[Начало], "&lt;=" &amp; Хронология[[#This Row],[Начало]])</f>
        <v>126</v>
      </c>
      <c r="AO90" s="518">
        <f>SUMIFS(Хронология[ПНВ], Хронология[Скважина], Хронология[[#This Row],[Скважина]], Хронология[Начало], "&lt;=" &amp; Хронология[[#This Row],[Начало]])</f>
        <v>145.21719999999999</v>
      </c>
      <c r="AP90" s="523">
        <f>INT(ROUND(Хронология[[#This Row],[Начало]], 3))</f>
        <v>46164</v>
      </c>
      <c r="AQ90" s="524">
        <f>Хронология[[#This Row],[Начало]]-INT(Хронология[[#This Row],[Начало]])</f>
        <v>0.99999999994179234</v>
      </c>
      <c r="AR90" s="523">
        <f>INT(ROUND(Хронология[[#This Row],[Окончание]], 3))</f>
        <v>46164</v>
      </c>
      <c r="AS90" s="524">
        <f>Хронология[[#This Row],[Окончание]]-INT(Хронология[[#This Row],[Окончание]])</f>
        <v>0.20833333327755099</v>
      </c>
      <c r="AT90" s="524" t="str">
        <f>Хронология[[#This Row],[Мастер]] &amp; CHAR(10) &amp; Хронология[[#This Row],[Помощник мастера]] &amp; CHAR(10) &amp; Хронология[[#This Row],[Бурильщик]]</f>
        <v>Епифанов Д.Б.
Жангазиев С.К.</v>
      </c>
      <c r="AU90"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431 ОК– КРС Спуск УЭЦН 1</v>
      </c>
      <c r="AV90" s="518" t="str">
        <f>Хронология[[#This Row],[Результат]]&amp;":  "&amp;Хронология[[#This Row],[Событие]]&amp; CHAR(10) &amp;Хронология[[#This Row],[Вид работ]]&amp;"  "&amp;Хронология[[#This Row],[Объект работ]]</f>
        <v>ПВ:  
Спуск  УЭЦН</v>
      </c>
      <c r="AW90" s="522">
        <f>SUMIF($AU$2:AU90, Хронология[[#This Row],[Ключ]], $AH$2:AH90)</f>
        <v>0.45833333333333337</v>
      </c>
      <c r="AX90" s="516" t="str">
        <f>Хронология[[#This Row],[Вид работ]] &amp; " " &amp; Хронология[[#This Row],[Объект работ]]</f>
        <v>Спуск УЭЦН</v>
      </c>
      <c r="AY90" s="247"/>
      <c r="AZ90" s="339"/>
      <c r="BB90" s="339"/>
      <c r="BC90" s="339"/>
      <c r="BH90" s="339"/>
      <c r="BI90" s="339"/>
      <c r="BN90" s="247"/>
      <c r="BO90" s="247"/>
      <c r="BP90" s="247"/>
      <c r="BQ90" s="247"/>
    </row>
    <row r="91" spans="1:69" ht="69" customHeight="1">
      <c r="A91" s="540" t="s">
        <v>50</v>
      </c>
      <c r="B91" s="541" t="s">
        <v>51</v>
      </c>
      <c r="C91" s="541" t="s">
        <v>52</v>
      </c>
      <c r="D91" s="542">
        <v>1</v>
      </c>
      <c r="E91" s="542">
        <v>431</v>
      </c>
      <c r="F91" s="515" t="s">
        <v>207</v>
      </c>
      <c r="G91" s="517"/>
      <c r="H91" s="516" t="s">
        <v>55</v>
      </c>
      <c r="I91" s="518"/>
      <c r="J91" s="517"/>
      <c r="K91" s="515"/>
      <c r="L91" s="516" t="s">
        <v>51</v>
      </c>
      <c r="M91" s="516" t="s">
        <v>58</v>
      </c>
      <c r="N91" s="516"/>
      <c r="O91" s="516" t="s">
        <v>90</v>
      </c>
      <c r="P91" s="516" t="s">
        <v>106</v>
      </c>
      <c r="Q91" s="516" t="s">
        <v>92</v>
      </c>
      <c r="R91" s="516" t="s">
        <v>93</v>
      </c>
      <c r="S91" s="516">
        <v>1</v>
      </c>
      <c r="T91" s="525" t="s">
        <v>214</v>
      </c>
      <c r="U91" s="516">
        <v>5</v>
      </c>
      <c r="V91" s="516"/>
      <c r="W91" s="516"/>
      <c r="X91" s="516"/>
      <c r="Y91" s="516"/>
      <c r="Z91" s="516"/>
      <c r="AA91" s="516"/>
      <c r="AB91" s="516"/>
      <c r="AC91" s="516"/>
      <c r="AD91" s="516"/>
      <c r="AE91" s="514">
        <f>IFERROR(IF(Хронология[[#This Row],[Забой, м]]-V90&lt;0, 0, Хронология[[#This Row],[Забой, м]]-V90), 0)</f>
        <v>0</v>
      </c>
      <c r="AF91" s="521">
        <f t="shared" si="1"/>
        <v>46164.208333333278</v>
      </c>
      <c r="AG91" s="521">
        <f>Хронология[[#This Row],[Начало]]+Хронология[[#This Row],[Сутки]]</f>
        <v>46164.416666666613</v>
      </c>
      <c r="AH91" s="522">
        <f>Хронология[[#This Row],[Часы]]/24</f>
        <v>0.20833333333333334</v>
      </c>
      <c r="AI91" s="522">
        <f>IFERROR(Хронология[[#This Row],[Сутки]]+AI90, Хронология[[#This Row],[Сутки]])</f>
        <v>19.583333333333321</v>
      </c>
      <c r="AJ91"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ПВ</v>
      </c>
      <c r="AK91"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5</v>
      </c>
      <c r="AL91"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v>
      </c>
      <c r="AM91" s="527">
        <f>IF(Хронология[[#This Row],[Результат]]="НПВ", Хронология[[#This Row],[Часы]], 0)</f>
        <v>0</v>
      </c>
      <c r="AN91" s="518">
        <f>SUMIFS(Хронология[НПВ], Хронология[Скважина], Хронология[[#This Row],[Скважина]], Хронология[Начало], "&lt;=" &amp; Хронология[[#This Row],[Начало]])</f>
        <v>126</v>
      </c>
      <c r="AO91" s="518">
        <f>SUMIFS(Хронология[ПНВ], Хронология[Скважина], Хронология[[#This Row],[Скважина]], Хронология[Начало], "&lt;=" &amp; Хронология[[#This Row],[Начало]])</f>
        <v>145.21719999999999</v>
      </c>
      <c r="AP91" s="523">
        <f>INT(ROUND(Хронология[[#This Row],[Начало]], 3))</f>
        <v>46164</v>
      </c>
      <c r="AQ91" s="524">
        <f>Хронология[[#This Row],[Начало]]-INT(Хронология[[#This Row],[Начало]])</f>
        <v>0.20833333327755099</v>
      </c>
      <c r="AR91" s="523">
        <f>INT(ROUND(Хронология[[#This Row],[Окончание]], 3))</f>
        <v>46164</v>
      </c>
      <c r="AS91" s="524">
        <f>Хронология[[#This Row],[Окончание]]-INT(Хронология[[#This Row],[Окончание]])</f>
        <v>0.41666666661330964</v>
      </c>
      <c r="AT91" s="524" t="str">
        <f>Хронология[[#This Row],[Мастер]] &amp; CHAR(10) &amp; Хронология[[#This Row],[Помощник мастера]] &amp; CHAR(10) &amp; Хронология[[#This Row],[Бурильщик]]</f>
        <v>Епифанов Д.Б.
Жангазиев С.К.</v>
      </c>
      <c r="AU91"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431 ОК– КРС Спуск УЭЦН 1</v>
      </c>
      <c r="AV91" s="518" t="str">
        <f>Хронология[[#This Row],[Результат]]&amp;":  "&amp;Хронология[[#This Row],[Событие]]&amp; CHAR(10) &amp;Хронология[[#This Row],[Вид работ]]&amp;"  "&amp;Хронология[[#This Row],[Объект работ]]</f>
        <v>ПВ:  
Спуск  УЭЦН</v>
      </c>
      <c r="AW91" s="522">
        <f>SUMIF($AU$2:AU91, Хронология[[#This Row],[Ключ]], $AH$2:AH91)</f>
        <v>0.66666666666666674</v>
      </c>
      <c r="AX91" s="516" t="str">
        <f>Хронология[[#This Row],[Вид работ]] &amp; " " &amp; Хронология[[#This Row],[Объект работ]]</f>
        <v>Спуск УЭЦН</v>
      </c>
      <c r="AY91" s="247"/>
      <c r="AZ91" s="339"/>
      <c r="BB91" s="339"/>
      <c r="BC91" s="339"/>
      <c r="BH91" s="339"/>
      <c r="BI91" s="339"/>
      <c r="BN91" s="247"/>
      <c r="BO91" s="247"/>
      <c r="BP91" s="247"/>
      <c r="BQ91" s="247"/>
    </row>
    <row r="92" spans="1:69" ht="69" customHeight="1">
      <c r="A92" s="540" t="s">
        <v>50</v>
      </c>
      <c r="B92" s="541" t="s">
        <v>51</v>
      </c>
      <c r="C92" s="541" t="s">
        <v>52</v>
      </c>
      <c r="D92" s="542">
        <v>1</v>
      </c>
      <c r="E92" s="542">
        <v>431</v>
      </c>
      <c r="F92" s="515" t="s">
        <v>183</v>
      </c>
      <c r="G92" s="517"/>
      <c r="H92" s="516" t="s">
        <v>203</v>
      </c>
      <c r="I92" s="518"/>
      <c r="J92" s="517"/>
      <c r="K92" s="515"/>
      <c r="L92" s="516" t="s">
        <v>51</v>
      </c>
      <c r="M92" s="516" t="s">
        <v>58</v>
      </c>
      <c r="N92" s="516"/>
      <c r="O92" s="516" t="s">
        <v>90</v>
      </c>
      <c r="P92" s="516" t="s">
        <v>106</v>
      </c>
      <c r="Q92" s="516" t="s">
        <v>92</v>
      </c>
      <c r="R92" s="516" t="s">
        <v>93</v>
      </c>
      <c r="S92" s="516">
        <v>1</v>
      </c>
      <c r="T92" s="526" t="s">
        <v>215</v>
      </c>
      <c r="U92" s="516">
        <v>4</v>
      </c>
      <c r="V92" s="516"/>
      <c r="W92" s="516"/>
      <c r="X92" s="516"/>
      <c r="Y92" s="516"/>
      <c r="Z92" s="516"/>
      <c r="AA92" s="516"/>
      <c r="AB92" s="516"/>
      <c r="AC92" s="516"/>
      <c r="AD92" s="516"/>
      <c r="AE92" s="514">
        <f>IFERROR(IF(Хронология[[#This Row],[Забой, м]]-V91&lt;0, 0, Хронология[[#This Row],[Забой, м]]-V91), 0)</f>
        <v>0</v>
      </c>
      <c r="AF92" s="521">
        <f t="shared" si="1"/>
        <v>46164.416666666613</v>
      </c>
      <c r="AG92" s="521">
        <f>Хронология[[#This Row],[Начало]]+Хронология[[#This Row],[Сутки]]</f>
        <v>46164.583333333278</v>
      </c>
      <c r="AH92" s="522">
        <f>Хронология[[#This Row],[Часы]]/24</f>
        <v>0.16666666666666666</v>
      </c>
      <c r="AI92" s="522">
        <f>IFERROR(Хронология[[#This Row],[Сутки]]+AI91, Хронология[[#This Row],[Сутки]])</f>
        <v>19.749999999999989</v>
      </c>
      <c r="AJ92"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ПВ</v>
      </c>
      <c r="AK92"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4</v>
      </c>
      <c r="AL92"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v>
      </c>
      <c r="AM92" s="527">
        <f>IF(Хронология[[#This Row],[Результат]]="НПВ", Хронология[[#This Row],[Часы]], 0)</f>
        <v>0</v>
      </c>
      <c r="AN92" s="518">
        <f>SUMIFS(Хронология[НПВ], Хронология[Скважина], Хронология[[#This Row],[Скважина]], Хронология[Начало], "&lt;=" &amp; Хронология[[#This Row],[Начало]])</f>
        <v>126</v>
      </c>
      <c r="AO92" s="518">
        <f>SUMIFS(Хронология[ПНВ], Хронология[Скважина], Хронология[[#This Row],[Скважина]], Хронология[Начало], "&lt;=" &amp; Хронология[[#This Row],[Начало]])</f>
        <v>145.21719999999999</v>
      </c>
      <c r="AP92" s="523">
        <f>INT(ROUND(Хронология[[#This Row],[Начало]], 3))</f>
        <v>46164</v>
      </c>
      <c r="AQ92" s="524">
        <f>Хронология[[#This Row],[Начало]]-INT(Хронология[[#This Row],[Начало]])</f>
        <v>0.41666666661330964</v>
      </c>
      <c r="AR92" s="523">
        <f>INT(ROUND(Хронология[[#This Row],[Окончание]], 3))</f>
        <v>46164</v>
      </c>
      <c r="AS92" s="524">
        <f>Хронология[[#This Row],[Окончание]]-INT(Хронология[[#This Row],[Окончание]])</f>
        <v>0.58333333327755099</v>
      </c>
      <c r="AT92" s="524" t="str">
        <f>Хронология[[#This Row],[Мастер]] &amp; CHAR(10) &amp; Хронология[[#This Row],[Помощник мастера]] &amp; CHAR(10) &amp; Хронология[[#This Row],[Бурильщик]]</f>
        <v>Тарасов А.С.
Штыкин А.А.</v>
      </c>
      <c r="AU92"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431 ОК– КРС Спуск УЭЦН 1</v>
      </c>
      <c r="AV92" s="518" t="str">
        <f>Хронология[[#This Row],[Результат]]&amp;":  "&amp;Хронология[[#This Row],[Событие]]&amp; CHAR(10) &amp;Хронология[[#This Row],[Вид работ]]&amp;"  "&amp;Хронология[[#This Row],[Объект работ]]</f>
        <v>ПВ:  
Спуск  УЭЦН</v>
      </c>
      <c r="AW92" s="522">
        <f>SUMIF($AU$2:AU92, Хронология[[#This Row],[Ключ]], $AH$2:AH92)</f>
        <v>0.83333333333333337</v>
      </c>
      <c r="AX92" s="516" t="str">
        <f>Хронология[[#This Row],[Вид работ]] &amp; " " &amp; Хронология[[#This Row],[Объект работ]]</f>
        <v>Спуск УЭЦН</v>
      </c>
      <c r="AY92" s="247"/>
      <c r="AZ92" s="339"/>
      <c r="BB92" s="339"/>
      <c r="BC92" s="339"/>
      <c r="BH92" s="339"/>
      <c r="BI92" s="339"/>
      <c r="BN92" s="247"/>
      <c r="BO92" s="247"/>
      <c r="BP92" s="247"/>
      <c r="BQ92" s="247"/>
    </row>
    <row r="93" spans="1:69" ht="69" customHeight="1">
      <c r="A93" s="540" t="s">
        <v>50</v>
      </c>
      <c r="B93" s="541" t="s">
        <v>51</v>
      </c>
      <c r="C93" s="541" t="s">
        <v>52</v>
      </c>
      <c r="D93" s="542">
        <v>1</v>
      </c>
      <c r="E93" s="542">
        <v>431</v>
      </c>
      <c r="F93" s="515" t="s">
        <v>183</v>
      </c>
      <c r="G93" s="517"/>
      <c r="H93" s="516" t="s">
        <v>203</v>
      </c>
      <c r="I93" s="518"/>
      <c r="J93" s="517"/>
      <c r="K93" s="515"/>
      <c r="L93" s="516" t="s">
        <v>51</v>
      </c>
      <c r="M93" s="516" t="s">
        <v>58</v>
      </c>
      <c r="N93" s="516"/>
      <c r="O93" s="516" t="s">
        <v>90</v>
      </c>
      <c r="P93" s="516" t="s">
        <v>106</v>
      </c>
      <c r="Q93" s="516" t="s">
        <v>92</v>
      </c>
      <c r="R93" s="516" t="s">
        <v>93</v>
      </c>
      <c r="S93" s="516">
        <v>1</v>
      </c>
      <c r="T93" s="525" t="s">
        <v>216</v>
      </c>
      <c r="U93" s="516">
        <v>4</v>
      </c>
      <c r="V93" s="516"/>
      <c r="W93" s="516"/>
      <c r="X93" s="516" t="s">
        <v>65</v>
      </c>
      <c r="Y93" s="516"/>
      <c r="Z93" s="516"/>
      <c r="AA93" s="516"/>
      <c r="AB93" s="516"/>
      <c r="AC93" s="516"/>
      <c r="AD93" s="516"/>
      <c r="AE93" s="514">
        <f>IFERROR(IF(Хронология[[#This Row],[Забой, м]]-V92&lt;0, 0, Хронология[[#This Row],[Забой, м]]-V92), 0)</f>
        <v>0</v>
      </c>
      <c r="AF93" s="521">
        <f t="shared" si="1"/>
        <v>46164.583333333278</v>
      </c>
      <c r="AG93" s="521">
        <f>Хронология[[#This Row],[Начало]]+Хронология[[#This Row],[Сутки]]</f>
        <v>46164.749999999942</v>
      </c>
      <c r="AH93" s="522">
        <f>Хронология[[#This Row],[Часы]]/24</f>
        <v>0.16666666666666666</v>
      </c>
      <c r="AI93" s="522">
        <f>IFERROR(Хронология[[#This Row],[Сутки]]+AI92, Хронология[[#This Row],[Сутки]])</f>
        <v>19.916666666666657</v>
      </c>
      <c r="AJ93"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ПНВ</v>
      </c>
      <c r="AK93"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1.5935999999999986</v>
      </c>
      <c r="AL93"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2.4064000000000014</v>
      </c>
      <c r="AM93" s="527">
        <f>IF(Хронология[[#This Row],[Результат]]="НПВ", Хронология[[#This Row],[Часы]], 0)</f>
        <v>0</v>
      </c>
      <c r="AN93" s="518">
        <f>SUMIFS(Хронология[НПВ], Хронология[Скважина], Хронология[[#This Row],[Скважина]], Хронология[Начало], "&lt;=" &amp; Хронология[[#This Row],[Начало]])</f>
        <v>126</v>
      </c>
      <c r="AO93" s="518">
        <f>SUMIFS(Хронология[ПНВ], Хронология[Скважина], Хронология[[#This Row],[Скважина]], Хронология[Начало], "&lt;=" &amp; Хронология[[#This Row],[Начало]])</f>
        <v>147.62359999999998</v>
      </c>
      <c r="AP93" s="523">
        <f>INT(ROUND(Хронология[[#This Row],[Начало]], 3))</f>
        <v>46164</v>
      </c>
      <c r="AQ93" s="524">
        <f>Хронология[[#This Row],[Начало]]-INT(Хронология[[#This Row],[Начало]])</f>
        <v>0.58333333327755099</v>
      </c>
      <c r="AR93" s="523">
        <f>INT(ROUND(Хронология[[#This Row],[Окончание]], 3))</f>
        <v>46164</v>
      </c>
      <c r="AS93" s="524">
        <f>Хронология[[#This Row],[Окончание]]-INT(Хронология[[#This Row],[Окончание]])</f>
        <v>0.74999999994179234</v>
      </c>
      <c r="AT93" s="524" t="str">
        <f>Хронология[[#This Row],[Мастер]] &amp; CHAR(10) &amp; Хронология[[#This Row],[Помощник мастера]] &amp; CHAR(10) &amp; Хронология[[#This Row],[Бурильщик]]</f>
        <v>Тарасов А.С.
Штыкин А.А.</v>
      </c>
      <c r="AU93"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431 ОК– КРС Спуск УЭЦН 1</v>
      </c>
      <c r="AV93" s="518" t="str">
        <f>Хронология[[#This Row],[Результат]]&amp;":  "&amp;Хронология[[#This Row],[Событие]]&amp; CHAR(10) &amp;Хронология[[#This Row],[Вид работ]]&amp;"  "&amp;Хронология[[#This Row],[Объект работ]]</f>
        <v>ПНВ:  
Спуск  УЭЦН</v>
      </c>
      <c r="AW93" s="598">
        <f>SUMIF($AU$2:AU136, Хронология[[#This Row],[Ключ]], $AH$2:AH136)</f>
        <v>1</v>
      </c>
      <c r="AX93" s="516" t="str">
        <f>Хронология[[#This Row],[Вид работ]] &amp; " " &amp; Хронология[[#This Row],[Объект работ]]</f>
        <v>Спуск УЭЦН</v>
      </c>
      <c r="AY93" s="247"/>
      <c r="AZ93" s="339"/>
      <c r="BB93" s="339"/>
      <c r="BC93" s="339"/>
      <c r="BH93" s="339"/>
      <c r="BI93" s="339"/>
      <c r="BN93" s="247"/>
      <c r="BO93" s="247"/>
      <c r="BP93" s="247"/>
      <c r="BQ93" s="247"/>
    </row>
    <row r="94" spans="1:69" ht="69" customHeight="1">
      <c r="A94" s="540" t="s">
        <v>50</v>
      </c>
      <c r="B94" s="541" t="s">
        <v>51</v>
      </c>
      <c r="C94" s="541" t="s">
        <v>52</v>
      </c>
      <c r="D94" s="542">
        <v>1</v>
      </c>
      <c r="E94" s="542">
        <v>431</v>
      </c>
      <c r="F94" s="515" t="s">
        <v>183</v>
      </c>
      <c r="G94" s="517"/>
      <c r="H94" s="517" t="s">
        <v>203</v>
      </c>
      <c r="I94" s="518"/>
      <c r="J94" s="517"/>
      <c r="K94" s="515"/>
      <c r="L94" s="516" t="s">
        <v>57</v>
      </c>
      <c r="M94" s="516" t="s">
        <v>58</v>
      </c>
      <c r="N94" s="516"/>
      <c r="O94" s="516" t="s">
        <v>69</v>
      </c>
      <c r="P94" s="516" t="s">
        <v>108</v>
      </c>
      <c r="Q94" s="516" t="s">
        <v>61</v>
      </c>
      <c r="R94" s="516" t="s">
        <v>62</v>
      </c>
      <c r="S94" s="516"/>
      <c r="T94" s="526" t="s">
        <v>217</v>
      </c>
      <c r="U94" s="516">
        <v>6</v>
      </c>
      <c r="V94" s="516"/>
      <c r="W94" s="516"/>
      <c r="X94" s="516"/>
      <c r="Y94" s="516"/>
      <c r="Z94" s="516"/>
      <c r="AA94" s="516"/>
      <c r="AB94" s="516"/>
      <c r="AC94" s="516"/>
      <c r="AD94" s="516"/>
      <c r="AE94" s="514">
        <f>IFERROR(IF(Хронология[[#This Row],[Забой, м]]-V93&lt;0, 0, Хронология[[#This Row],[Забой, м]]-V93), 0)</f>
        <v>0</v>
      </c>
      <c r="AF94" s="521">
        <f t="shared" si="1"/>
        <v>46164.749999999942</v>
      </c>
      <c r="AG94" s="521">
        <f>Хронология[[#This Row],[Начало]]+Хронология[[#This Row],[Сутки]]</f>
        <v>46164.999999999942</v>
      </c>
      <c r="AH94" s="522">
        <f>Хронология[[#This Row],[Часы]]/24</f>
        <v>0.25</v>
      </c>
      <c r="AI94" s="522">
        <f>IFERROR(Хронология[[#This Row],[Сутки]]+AI93, Хронология[[#This Row],[Сутки]])</f>
        <v>20.166666666666657</v>
      </c>
      <c r="AJ94"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ПНВ</v>
      </c>
      <c r="AK94"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5.2751999999999999</v>
      </c>
      <c r="AL94"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0.72480000000000011</v>
      </c>
      <c r="AM94" s="527">
        <f>IF(Хронология[[#This Row],[Результат]]="НПВ", Хронология[[#This Row],[Часы]], 0)</f>
        <v>0</v>
      </c>
      <c r="AN94" s="518">
        <f>SUMIFS(Хронология[НПВ], Хронология[Скважина], Хронология[[#This Row],[Скважина]], Хронология[Начало], "&lt;=" &amp; Хронология[[#This Row],[Начало]])</f>
        <v>126</v>
      </c>
      <c r="AO94" s="518">
        <f>SUMIFS(Хронология[ПНВ], Хронология[Скважина], Хронология[[#This Row],[Скважина]], Хронология[Начало], "&lt;=" &amp; Хронология[[#This Row],[Начало]])</f>
        <v>148.34839999999997</v>
      </c>
      <c r="AP94" s="523">
        <f>INT(ROUND(Хронология[[#This Row],[Начало]], 3))</f>
        <v>46164</v>
      </c>
      <c r="AQ94" s="524">
        <f>Хронология[[#This Row],[Начало]]-INT(Хронология[[#This Row],[Начало]])</f>
        <v>0.74999999994179234</v>
      </c>
      <c r="AR94" s="523">
        <f>INT(ROUND(Хронология[[#This Row],[Окончание]], 3))</f>
        <v>46165</v>
      </c>
      <c r="AS94" s="524">
        <f>Хронология[[#This Row],[Окончание]]-INT(Хронология[[#This Row],[Окончание]])</f>
        <v>0.99999999994179234</v>
      </c>
      <c r="AT94" s="524" t="str">
        <f>Хронология[[#This Row],[Мастер]] &amp; CHAR(10) &amp; Хронология[[#This Row],[Помощник мастера]] &amp; CHAR(10) &amp; Хронология[[#This Row],[Бурильщик]]</f>
        <v>Тарасов А.С.
Штыкин А.А.</v>
      </c>
      <c r="AU94"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431 ОК– ДПМ Демонтаж УПА </v>
      </c>
      <c r="AV94" s="518" t="str">
        <f>Хронология[[#This Row],[Результат]]&amp;":  "&amp;Хронология[[#This Row],[Событие]]&amp; CHAR(10) &amp;Хронология[[#This Row],[Вид работ]]&amp;"  "&amp;Хронология[[#This Row],[Объект работ]]</f>
        <v>ПНВ:  
Демонтаж  УПА</v>
      </c>
      <c r="AW94" s="598">
        <f>SUMIF($AU$2:AU137, Хронология[[#This Row],[Ключ]], $AH$2:AH137)</f>
        <v>1.4375</v>
      </c>
      <c r="AX94" s="516" t="str">
        <f>Хронология[[#This Row],[Вид работ]] &amp; " " &amp; Хронология[[#This Row],[Объект работ]]</f>
        <v>Демонтаж УПА</v>
      </c>
    </row>
    <row r="95" spans="1:69" ht="69" customHeight="1">
      <c r="A95" s="540" t="s">
        <v>50</v>
      </c>
      <c r="B95" s="541" t="s">
        <v>51</v>
      </c>
      <c r="C95" s="541" t="s">
        <v>52</v>
      </c>
      <c r="D95" s="542">
        <v>1</v>
      </c>
      <c r="E95" s="542">
        <v>431</v>
      </c>
      <c r="F95" s="515" t="s">
        <v>207</v>
      </c>
      <c r="G95" s="517"/>
      <c r="H95" s="517" t="s">
        <v>55</v>
      </c>
      <c r="I95" s="518"/>
      <c r="J95" s="517"/>
      <c r="K95" s="515"/>
      <c r="L95" s="516" t="s">
        <v>57</v>
      </c>
      <c r="M95" s="516" t="s">
        <v>58</v>
      </c>
      <c r="N95" s="516"/>
      <c r="O95" s="516" t="s">
        <v>69</v>
      </c>
      <c r="P95" s="516" t="s">
        <v>108</v>
      </c>
      <c r="Q95" s="516" t="s">
        <v>61</v>
      </c>
      <c r="R95" s="516" t="s">
        <v>62</v>
      </c>
      <c r="S95" s="516"/>
      <c r="T95" s="526" t="s">
        <v>217</v>
      </c>
      <c r="U95" s="516">
        <v>24</v>
      </c>
      <c r="V95" s="516"/>
      <c r="W95" s="516"/>
      <c r="X95" s="516"/>
      <c r="Y95" s="516"/>
      <c r="Z95" s="516"/>
      <c r="AA95" s="516"/>
      <c r="AB95" s="516"/>
      <c r="AC95" s="516"/>
      <c r="AD95" s="516"/>
      <c r="AE95" s="514">
        <f>IFERROR(IF(Хронология[[#This Row],[Забой, м]]-V94&lt;0, 0, Хронология[[#This Row],[Забой, м]]-V94), 0)</f>
        <v>0</v>
      </c>
      <c r="AF95" s="521">
        <f t="shared" si="1"/>
        <v>46164.999999999942</v>
      </c>
      <c r="AG95" s="521">
        <f>Хронология[[#This Row],[Начало]]+Хронология[[#This Row],[Сутки]]</f>
        <v>46165.999999999942</v>
      </c>
      <c r="AH95" s="522">
        <f>Хронология[[#This Row],[Часы]]/24</f>
        <v>1</v>
      </c>
      <c r="AI95" s="522">
        <f>IFERROR(Хронология[[#This Row],[Сутки]]+AI94, Хронология[[#This Row],[Сутки]])</f>
        <v>21.166666666666657</v>
      </c>
      <c r="AJ95"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ПНВ</v>
      </c>
      <c r="AK95"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v>
      </c>
      <c r="AL95"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24</v>
      </c>
      <c r="AM95" s="527">
        <f>IF(Хронология[[#This Row],[Результат]]="НПВ", Хронология[[#This Row],[Часы]], 0)</f>
        <v>0</v>
      </c>
      <c r="AN95" s="518">
        <f>SUMIFS(Хронология[НПВ], Хронология[Скважина], Хронология[[#This Row],[Скважина]], Хронология[Начало], "&lt;=" &amp; Хронология[[#This Row],[Начало]])</f>
        <v>126</v>
      </c>
      <c r="AO95" s="518">
        <f>SUMIFS(Хронология[ПНВ], Хронология[Скважина], Хронология[[#This Row],[Скважина]], Хронология[Начало], "&lt;=" &amp; Хронология[[#This Row],[Начало]])</f>
        <v>172.34839999999997</v>
      </c>
      <c r="AP95" s="523">
        <f>INT(ROUND(Хронология[[#This Row],[Начало]], 3))</f>
        <v>46165</v>
      </c>
      <c r="AQ95" s="524">
        <f>Хронология[[#This Row],[Начало]]-INT(Хронология[[#This Row],[Начало]])</f>
        <v>0.99999999994179234</v>
      </c>
      <c r="AR95" s="523">
        <f>INT(ROUND(Хронология[[#This Row],[Окончание]], 3))</f>
        <v>46166</v>
      </c>
      <c r="AS95" s="524">
        <f>Хронология[[#This Row],[Окончание]]-INT(Хронология[[#This Row],[Окончание]])</f>
        <v>0.99999999994179234</v>
      </c>
      <c r="AT95" s="524" t="str">
        <f>Хронология[[#This Row],[Мастер]] &amp; CHAR(10) &amp; Хронология[[#This Row],[Помощник мастера]] &amp; CHAR(10) &amp; Хронология[[#This Row],[Бурильщик]]</f>
        <v>Епифанов Д.Б.
Жангазиев С.К.</v>
      </c>
      <c r="AU95"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431 ОК– ДПМ Демонтаж УПА </v>
      </c>
      <c r="AV95" s="518" t="str">
        <f>Хронология[[#This Row],[Результат]]&amp;":  "&amp;Хронология[[#This Row],[Событие]]&amp; CHAR(10) &amp;Хронология[[#This Row],[Вид работ]]&amp;"  "&amp;Хронология[[#This Row],[Объект работ]]</f>
        <v>ПНВ:  
Демонтаж  УПА</v>
      </c>
      <c r="AW95" s="598">
        <f>SUMIF($AU$2:AU138, Хронология[[#This Row],[Ключ]], $AH$2:AH138)</f>
        <v>1.4375</v>
      </c>
      <c r="AX95" s="516" t="str">
        <f>Хронология[[#This Row],[Вид работ]] &amp; " " &amp; Хронология[[#This Row],[Объект работ]]</f>
        <v>Демонтаж УПА</v>
      </c>
    </row>
    <row r="96" spans="1:69" ht="69" customHeight="1">
      <c r="A96" s="540" t="s">
        <v>50</v>
      </c>
      <c r="B96" s="541" t="s">
        <v>51</v>
      </c>
      <c r="C96" s="541" t="s">
        <v>52</v>
      </c>
      <c r="D96" s="542">
        <v>1</v>
      </c>
      <c r="E96" s="542">
        <v>431</v>
      </c>
      <c r="F96" s="515" t="s">
        <v>207</v>
      </c>
      <c r="G96" s="517"/>
      <c r="H96" s="517" t="s">
        <v>55</v>
      </c>
      <c r="I96" s="518"/>
      <c r="J96" s="517"/>
      <c r="K96" s="515"/>
      <c r="L96" s="516" t="s">
        <v>57</v>
      </c>
      <c r="M96" s="516" t="s">
        <v>58</v>
      </c>
      <c r="N96" s="516"/>
      <c r="O96" s="516" t="s">
        <v>69</v>
      </c>
      <c r="P96" s="516" t="s">
        <v>108</v>
      </c>
      <c r="Q96" s="516" t="s">
        <v>61</v>
      </c>
      <c r="R96" s="516" t="s">
        <v>62</v>
      </c>
      <c r="S96" s="516"/>
      <c r="T96" s="526" t="s">
        <v>217</v>
      </c>
      <c r="U96" s="516">
        <v>4.5</v>
      </c>
      <c r="V96" s="516"/>
      <c r="W96" s="516"/>
      <c r="X96" s="516"/>
      <c r="Y96" s="516"/>
      <c r="Z96" s="516"/>
      <c r="AA96" s="516"/>
      <c r="AB96" s="516"/>
      <c r="AC96" s="516"/>
      <c r="AD96" s="516"/>
      <c r="AE96" s="514">
        <f>IFERROR(IF(Хронология[[#This Row],[Забой, м]]-V95&lt;0, 0, Хронология[[#This Row],[Забой, м]]-V95), 0)</f>
        <v>0</v>
      </c>
      <c r="AF96" s="521">
        <f t="shared" si="1"/>
        <v>46165.999999999942</v>
      </c>
      <c r="AG96" s="521">
        <f>Хронология[[#This Row],[Начало]]+Хронология[[#This Row],[Сутки]]</f>
        <v>46166.187499999942</v>
      </c>
      <c r="AH96" s="522">
        <f>Хронология[[#This Row],[Часы]]/24</f>
        <v>0.1875</v>
      </c>
      <c r="AI96" s="522">
        <f>IFERROR(Хронология[[#This Row],[Сутки]]+AI95, Хронология[[#This Row],[Сутки]])</f>
        <v>21.354166666666657</v>
      </c>
      <c r="AJ96"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ПНВ</v>
      </c>
      <c r="AK96"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v>
      </c>
      <c r="AL96"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4.5</v>
      </c>
      <c r="AM96" s="527">
        <f>IF(Хронология[[#This Row],[Результат]]="НПВ", Хронология[[#This Row],[Часы]], 0)</f>
        <v>0</v>
      </c>
      <c r="AN96" s="518">
        <f>SUMIFS(Хронология[НПВ], Хронология[Скважина], Хронология[[#This Row],[Скважина]], Хронология[Начало], "&lt;=" &amp; Хронология[[#This Row],[Начало]])</f>
        <v>126</v>
      </c>
      <c r="AO96" s="518">
        <f>SUMIFS(Хронология[ПНВ], Хронология[Скважина], Хронология[[#This Row],[Скважина]], Хронология[Начало], "&lt;=" &amp; Хронология[[#This Row],[Начало]])</f>
        <v>176.84839999999997</v>
      </c>
      <c r="AP96" s="523">
        <f>INT(ROUND(Хронология[[#This Row],[Начало]], 3))</f>
        <v>46166</v>
      </c>
      <c r="AQ96" s="524">
        <f>Хронология[[#This Row],[Начало]]-INT(Хронология[[#This Row],[Начало]])</f>
        <v>0.99999999994179234</v>
      </c>
      <c r="AR96" s="523">
        <f>INT(ROUND(Хронология[[#This Row],[Окончание]], 3))</f>
        <v>46166</v>
      </c>
      <c r="AS96" s="524">
        <f>Хронология[[#This Row],[Окончание]]-INT(Хронология[[#This Row],[Окончание]])</f>
        <v>0.18749999994179234</v>
      </c>
      <c r="AT96" s="524" t="str">
        <f>Хронология[[#This Row],[Мастер]] &amp; CHAR(10) &amp; Хронология[[#This Row],[Помощник мастера]] &amp; CHAR(10) &amp; Хронология[[#This Row],[Бурильщик]]</f>
        <v>Епифанов Д.Б.
Жангазиев С.К.</v>
      </c>
      <c r="AU96"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431 ОК– ДПМ Демонтаж УПА </v>
      </c>
      <c r="AV96" s="518" t="str">
        <f>Хронология[[#This Row],[Результат]]&amp;":  "&amp;Хронология[[#This Row],[Событие]]&amp; CHAR(10) &amp;Хронология[[#This Row],[Вид работ]]&amp;"  "&amp;Хронология[[#This Row],[Объект работ]]</f>
        <v>ПНВ:  
Демонтаж  УПА</v>
      </c>
      <c r="AW96" s="598">
        <f>SUMIF($AU$2:AU139, Хронология[[#This Row],[Ключ]], $AH$2:AH139)</f>
        <v>1.4375</v>
      </c>
      <c r="AX96" s="516" t="str">
        <f>Хронология[[#This Row],[Вид работ]] &amp; " " &amp; Хронология[[#This Row],[Объект работ]]</f>
        <v>Демонтаж УПА</v>
      </c>
    </row>
    <row r="97" spans="1:50" ht="50.5" customHeight="1">
      <c r="A97" s="540" t="s">
        <v>50</v>
      </c>
      <c r="B97" s="541" t="s">
        <v>51</v>
      </c>
      <c r="C97" s="541" t="s">
        <v>52</v>
      </c>
      <c r="D97" s="542">
        <v>1</v>
      </c>
      <c r="E97" s="517">
        <v>851</v>
      </c>
      <c r="F97" s="515" t="s">
        <v>207</v>
      </c>
      <c r="G97" s="517"/>
      <c r="H97" s="517" t="s">
        <v>55</v>
      </c>
      <c r="I97" s="518"/>
      <c r="J97" s="517"/>
      <c r="K97" s="515"/>
      <c r="L97" s="516" t="s">
        <v>57</v>
      </c>
      <c r="M97" s="516" t="s">
        <v>58</v>
      </c>
      <c r="N97" s="516"/>
      <c r="O97" s="516" t="s">
        <v>59</v>
      </c>
      <c r="P97" s="516" t="s">
        <v>60</v>
      </c>
      <c r="Q97" s="516" t="s">
        <v>61</v>
      </c>
      <c r="R97" s="516" t="s">
        <v>62</v>
      </c>
      <c r="S97" s="516"/>
      <c r="T97" s="514" t="s">
        <v>218</v>
      </c>
      <c r="U97" s="516">
        <v>3.5</v>
      </c>
      <c r="V97" s="516"/>
      <c r="W97" s="516"/>
      <c r="X97" s="516"/>
      <c r="Y97" s="516"/>
      <c r="Z97" s="516"/>
      <c r="AA97" s="516"/>
      <c r="AB97" s="516"/>
      <c r="AC97" s="516"/>
      <c r="AD97" s="516"/>
      <c r="AE97" s="514">
        <f>IFERROR(IF(Хронология[[#This Row],[Забой, м]]-V96&lt;0, 0, Хронология[[#This Row],[Забой, м]]-V96), 0)</f>
        <v>0</v>
      </c>
      <c r="AF97" s="521">
        <f t="shared" si="1"/>
        <v>46166.187499999942</v>
      </c>
      <c r="AG97" s="521">
        <f>Хронология[[#This Row],[Начало]]+Хронология[[#This Row],[Сутки]]</f>
        <v>46166.333333333278</v>
      </c>
      <c r="AH97" s="522">
        <f>Хронология[[#This Row],[Часы]]/24</f>
        <v>0.14583333333333334</v>
      </c>
      <c r="AI97" s="522">
        <f>IFERROR(Хронология[[#This Row],[Сутки]]+AI96, Хронология[[#This Row],[Сутки]])</f>
        <v>21.499999999999989</v>
      </c>
      <c r="AJ97"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ПНВ</v>
      </c>
      <c r="AK97"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0.87000000000000011</v>
      </c>
      <c r="AL97"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2.63</v>
      </c>
      <c r="AM97" s="527">
        <f>IF(Хронология[[#This Row],[Результат]]="НПВ", Хронология[[#This Row],[Часы]], 0)</f>
        <v>0</v>
      </c>
      <c r="AN97" s="518">
        <f>SUMIFS(Хронология[НПВ], Хронология[Скважина], Хронология[[#This Row],[Скважина]], Хронология[Начало], "&lt;=" &amp; Хронология[[#This Row],[Начало]])</f>
        <v>0</v>
      </c>
      <c r="AO97" s="518">
        <f>SUMIFS(Хронология[ПНВ], Хронология[Скважина], Хронология[[#This Row],[Скважина]], Хронология[Начало], "&lt;=" &amp; Хронология[[#This Row],[Начало]])</f>
        <v>2.63</v>
      </c>
      <c r="AP97" s="523">
        <f>INT(ROUND(Хронология[[#This Row],[Начало]], 3))</f>
        <v>46166</v>
      </c>
      <c r="AQ97" s="524">
        <f>Хронология[[#This Row],[Начало]]-INT(Хронология[[#This Row],[Начало]])</f>
        <v>0.18749999994179234</v>
      </c>
      <c r="AR97" s="523">
        <f>INT(ROUND(Хронология[[#This Row],[Окончание]], 3))</f>
        <v>46166</v>
      </c>
      <c r="AS97" s="524">
        <f>Хронология[[#This Row],[Окончание]]-INT(Хронология[[#This Row],[Окончание]])</f>
        <v>0.33333333327755099</v>
      </c>
      <c r="AT97" s="524" t="str">
        <f>Хронология[[#This Row],[Мастер]] &amp; CHAR(10) &amp; Хронология[[#This Row],[Помощник мастера]] &amp; CHAR(10) &amp; Хронология[[#This Row],[Бурильщик]]</f>
        <v>Епифанов Д.Б.
Жангазиев С.К.</v>
      </c>
      <c r="AU97"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851 ОК– ДПМ Передвижка УПА </v>
      </c>
      <c r="AV97" s="518" t="str">
        <f>Хронология[[#This Row],[Результат]]&amp;":  "&amp;Хронология[[#This Row],[Событие]]&amp; CHAR(10) &amp;Хронология[[#This Row],[Вид работ]]&amp;"  "&amp;Хронология[[#This Row],[Объект работ]]</f>
        <v>ПНВ:  
Передвижка  УПА</v>
      </c>
      <c r="AW97" s="598">
        <f>SUMIF($AU$2:AU140, Хронология[[#This Row],[Ключ]], $AH$2:AH140)</f>
        <v>0.14583333333333334</v>
      </c>
      <c r="AX97" s="516" t="str">
        <f>Хронология[[#This Row],[Вид работ]] &amp; " " &amp; Хронология[[#This Row],[Объект работ]]</f>
        <v>Передвижка УПА</v>
      </c>
    </row>
    <row r="98" spans="1:50" ht="69" customHeight="1">
      <c r="A98" s="540" t="s">
        <v>50</v>
      </c>
      <c r="B98" s="541" t="s">
        <v>51</v>
      </c>
      <c r="C98" s="541" t="s">
        <v>52</v>
      </c>
      <c r="D98" s="542">
        <v>1</v>
      </c>
      <c r="E98" s="517">
        <v>851</v>
      </c>
      <c r="F98" s="515" t="s">
        <v>183</v>
      </c>
      <c r="G98" s="517"/>
      <c r="H98" s="517" t="s">
        <v>203</v>
      </c>
      <c r="I98" s="518"/>
      <c r="J98" s="517"/>
      <c r="K98" s="515"/>
      <c r="L98" s="516" t="s">
        <v>59</v>
      </c>
      <c r="M98" s="516" t="s">
        <v>58</v>
      </c>
      <c r="N98" s="516"/>
      <c r="O98" s="516" t="s">
        <v>78</v>
      </c>
      <c r="P98" s="516" t="s">
        <v>136</v>
      </c>
      <c r="Q98" s="516" t="s">
        <v>137</v>
      </c>
      <c r="R98" s="516" t="s">
        <v>138</v>
      </c>
      <c r="S98" s="516"/>
      <c r="T98" s="526" t="s">
        <v>219</v>
      </c>
      <c r="U98" s="516">
        <v>10</v>
      </c>
      <c r="V98" s="516"/>
      <c r="W98" s="516"/>
      <c r="X98" s="516"/>
      <c r="Y98" s="516"/>
      <c r="Z98" s="516"/>
      <c r="AA98" s="516"/>
      <c r="AB98" s="516"/>
      <c r="AC98" s="516"/>
      <c r="AD98" s="516"/>
      <c r="AE98" s="514">
        <f>IFERROR(IF(Хронология[[#This Row],[Забой, м]]-V97&lt;0, 0, Хронология[[#This Row],[Забой, м]]-V97), 0)</f>
        <v>0</v>
      </c>
      <c r="AF98" s="521">
        <f t="shared" si="1"/>
        <v>46166.333333333278</v>
      </c>
      <c r="AG98" s="521">
        <f>Хронология[[#This Row],[Начало]]+Хронология[[#This Row],[Сутки]]</f>
        <v>46166.749999999942</v>
      </c>
      <c r="AH98" s="522">
        <f>Хронология[[#This Row],[Часы]]/24</f>
        <v>0.41666666666666669</v>
      </c>
      <c r="AI98" s="522">
        <f>IFERROR(Хронология[[#This Row],[Сутки]]+AI97, Хронология[[#This Row],[Сутки]])</f>
        <v>21.916666666666657</v>
      </c>
      <c r="AJ98"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ПВ</v>
      </c>
      <c r="AK98"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10</v>
      </c>
      <c r="AL98"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v>
      </c>
      <c r="AM98" s="527">
        <f>IF(Хронология[[#This Row],[Результат]]="НПВ", Хронология[[#This Row],[Часы]], 0)</f>
        <v>0</v>
      </c>
      <c r="AN98" s="518">
        <f>SUMIFS(Хронология[НПВ], Хронология[Скважина], Хронология[[#This Row],[Скважина]], Хронология[Начало], "&lt;=" &amp; Хронология[[#This Row],[Начало]])</f>
        <v>0</v>
      </c>
      <c r="AO98" s="518">
        <f>SUMIFS(Хронология[ПНВ], Хронология[Скважина], Хронология[[#This Row],[Скважина]], Хронология[Начало], "&lt;=" &amp; Хронология[[#This Row],[Начало]])</f>
        <v>2.63</v>
      </c>
      <c r="AP98" s="523">
        <f>INT(ROUND(Хронология[[#This Row],[Начало]], 3))</f>
        <v>46166</v>
      </c>
      <c r="AQ98" s="524">
        <f>Хронология[[#This Row],[Начало]]-INT(Хронология[[#This Row],[Начало]])</f>
        <v>0.33333333327755099</v>
      </c>
      <c r="AR98" s="523">
        <f>INT(ROUND(Хронология[[#This Row],[Окончание]], 3))</f>
        <v>46166</v>
      </c>
      <c r="AS98" s="524">
        <f>Хронология[[#This Row],[Окончание]]-INT(Хронология[[#This Row],[Окончание]])</f>
        <v>0.74999999994179234</v>
      </c>
      <c r="AT98" s="524" t="str">
        <f>Хронология[[#This Row],[Мастер]] &amp; CHAR(10) &amp; Хронология[[#This Row],[Помощник мастера]] &amp; CHAR(10) &amp; Хронология[[#This Row],[Бурильщик]]</f>
        <v>Тарасов А.С.
Штыкин А.А.</v>
      </c>
      <c r="AU98"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851 ОК– ПР Завоз Тех. вода </v>
      </c>
      <c r="AV98" s="518" t="str">
        <f>Хронология[[#This Row],[Результат]]&amp;":  "&amp;Хронология[[#This Row],[Событие]]&amp; CHAR(10) &amp;Хронология[[#This Row],[Вид работ]]&amp;"  "&amp;Хронология[[#This Row],[Объект работ]]</f>
        <v>ПВ:  
Завоз  Тех. вода</v>
      </c>
      <c r="AW98" s="598">
        <f>SUMIF($AU$2:AU139, Хронология[[#This Row],[Ключ]], $AH$2:AH139)</f>
        <v>0.41666666666666669</v>
      </c>
      <c r="AX98" s="516" t="str">
        <f>Хронология[[#This Row],[Вид работ]] &amp; " " &amp; Хронология[[#This Row],[Объект работ]]</f>
        <v>Завоз Тех. вода</v>
      </c>
    </row>
    <row r="99" spans="1:50" ht="69" customHeight="1">
      <c r="A99" s="540" t="s">
        <v>50</v>
      </c>
      <c r="B99" s="541" t="s">
        <v>51</v>
      </c>
      <c r="C99" s="541" t="s">
        <v>52</v>
      </c>
      <c r="D99" s="542">
        <v>1</v>
      </c>
      <c r="E99" s="517">
        <v>851</v>
      </c>
      <c r="F99" s="515" t="s">
        <v>183</v>
      </c>
      <c r="G99" s="517"/>
      <c r="H99" s="517" t="s">
        <v>203</v>
      </c>
      <c r="I99" s="518"/>
      <c r="J99" s="517"/>
      <c r="K99" s="515"/>
      <c r="L99" s="516" t="s">
        <v>59</v>
      </c>
      <c r="M99" s="516" t="s">
        <v>58</v>
      </c>
      <c r="N99" s="516"/>
      <c r="O99" s="516" t="s">
        <v>111</v>
      </c>
      <c r="P99" s="516" t="s">
        <v>150</v>
      </c>
      <c r="Q99" s="516" t="s">
        <v>86</v>
      </c>
      <c r="R99" s="516" t="s">
        <v>118</v>
      </c>
      <c r="S99" s="516"/>
      <c r="T99" s="526" t="s">
        <v>220</v>
      </c>
      <c r="U99" s="516">
        <v>1</v>
      </c>
      <c r="V99" s="516"/>
      <c r="W99" s="516"/>
      <c r="X99" s="516"/>
      <c r="Y99" s="516"/>
      <c r="Z99" s="516"/>
      <c r="AA99" s="516"/>
      <c r="AB99" s="516"/>
      <c r="AC99" s="516"/>
      <c r="AD99" s="516"/>
      <c r="AE99" s="514">
        <f>IFERROR(IF(Хронология[[#This Row],[Забой, м]]-V98&lt;0, 0, Хронология[[#This Row],[Забой, м]]-V98), 0)</f>
        <v>0</v>
      </c>
      <c r="AF99" s="521">
        <f t="shared" si="1"/>
        <v>46166.749999999942</v>
      </c>
      <c r="AG99" s="521">
        <f>Хронология[[#This Row],[Начало]]+Хронология[[#This Row],[Сутки]]</f>
        <v>46166.791666666606</v>
      </c>
      <c r="AH99" s="522">
        <f>Хронология[[#This Row],[Часы]]/24</f>
        <v>4.1666666666666664E-2</v>
      </c>
      <c r="AI99" s="522">
        <f>IFERROR(Хронология[[#This Row],[Сутки]]+AI98, Хронология[[#This Row],[Сутки]])</f>
        <v>21.958333333333325</v>
      </c>
      <c r="AJ99"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ПНВ</v>
      </c>
      <c r="AK99"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0.71</v>
      </c>
      <c r="AL99"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0.29000000000000004</v>
      </c>
      <c r="AM99" s="527">
        <f>IF(Хронология[[#This Row],[Результат]]="НПВ", Хронология[[#This Row],[Часы]], 0)</f>
        <v>0</v>
      </c>
      <c r="AN99" s="518">
        <f>SUMIFS(Хронология[НПВ], Хронология[Скважина], Хронология[[#This Row],[Скважина]], Хронология[Начало], "&lt;=" &amp; Хронология[[#This Row],[Начало]])</f>
        <v>0</v>
      </c>
      <c r="AO99" s="518">
        <f>SUMIFS(Хронология[ПНВ], Хронология[Скважина], Хронология[[#This Row],[Скважина]], Хронология[Начало], "&lt;=" &amp; Хронология[[#This Row],[Начало]])</f>
        <v>2.92</v>
      </c>
      <c r="AP99" s="523">
        <f>INT(ROUND(Хронология[[#This Row],[Начало]], 3))</f>
        <v>46166</v>
      </c>
      <c r="AQ99" s="524">
        <f>Хронология[[#This Row],[Начало]]-INT(Хронология[[#This Row],[Начало]])</f>
        <v>0.74999999994179234</v>
      </c>
      <c r="AR99" s="523">
        <f>INT(ROUND(Хронология[[#This Row],[Окончание]], 3))</f>
        <v>46166</v>
      </c>
      <c r="AS99" s="524">
        <f>Хронология[[#This Row],[Окончание]]-INT(Хронология[[#This Row],[Окончание]])</f>
        <v>0.79166666660603369</v>
      </c>
      <c r="AT99" s="524" t="str">
        <f>Хронология[[#This Row],[Мастер]] &amp; CHAR(10) &amp; Хронология[[#This Row],[Помощник мастера]] &amp; CHAR(10) &amp; Хронология[[#This Row],[Бурильщик]]</f>
        <v>Тарасов А.С.
Штыкин А.А.</v>
      </c>
      <c r="AU99"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851 ОК– ПР Опрессовка Фонтанная арматура </v>
      </c>
      <c r="AV99" s="518" t="str">
        <f>Хронология[[#This Row],[Результат]]&amp;":  "&amp;Хронология[[#This Row],[Событие]]&amp; CHAR(10) &amp;Хронология[[#This Row],[Вид работ]]&amp;"  "&amp;Хронология[[#This Row],[Объект работ]]</f>
        <v>ПНВ:  
Опрессовка  Фонтанная арматура</v>
      </c>
      <c r="AW99" s="598">
        <f>SUMIF($AU$2:AU140, Хронология[[#This Row],[Ключ]], $AH$2:AH140)</f>
        <v>4.1666666666666664E-2</v>
      </c>
      <c r="AX99" s="516" t="str">
        <f>Хронология[[#This Row],[Вид работ]] &amp; " " &amp; Хронология[[#This Row],[Объект работ]]</f>
        <v>Опрессовка Фонтанная арматура</v>
      </c>
    </row>
    <row r="100" spans="1:50" ht="69" customHeight="1">
      <c r="A100" s="540" t="s">
        <v>50</v>
      </c>
      <c r="B100" s="541" t="s">
        <v>51</v>
      </c>
      <c r="C100" s="541" t="s">
        <v>52</v>
      </c>
      <c r="D100" s="542">
        <v>1</v>
      </c>
      <c r="E100" s="517">
        <v>851</v>
      </c>
      <c r="F100" s="515" t="s">
        <v>183</v>
      </c>
      <c r="G100" s="517"/>
      <c r="H100" s="517" t="s">
        <v>203</v>
      </c>
      <c r="I100" s="518"/>
      <c r="J100" s="517"/>
      <c r="K100" s="515"/>
      <c r="L100" s="516" t="s">
        <v>59</v>
      </c>
      <c r="M100" s="516" t="s">
        <v>58</v>
      </c>
      <c r="N100" s="516"/>
      <c r="O100" s="516" t="s">
        <v>169</v>
      </c>
      <c r="P100" s="516" t="s">
        <v>175</v>
      </c>
      <c r="Q100" s="516" t="s">
        <v>167</v>
      </c>
      <c r="R100" s="516" t="s">
        <v>4</v>
      </c>
      <c r="S100" s="516"/>
      <c r="T100" s="526" t="s">
        <v>221</v>
      </c>
      <c r="U100" s="516">
        <v>5</v>
      </c>
      <c r="V100" s="516"/>
      <c r="W100" s="516"/>
      <c r="X100" s="516"/>
      <c r="Y100" s="516"/>
      <c r="Z100" s="516"/>
      <c r="AA100" s="516"/>
      <c r="AB100" s="516"/>
      <c r="AC100" s="516"/>
      <c r="AD100" s="516"/>
      <c r="AE100" s="514">
        <f>IFERROR(IF(Хронология[[#This Row],[Забой, м]]-V99&lt;0, 0, Хронология[[#This Row],[Забой, м]]-V99), 0)</f>
        <v>0</v>
      </c>
      <c r="AF100" s="521">
        <f t="shared" si="1"/>
        <v>46166.791666666606</v>
      </c>
      <c r="AG100" s="521">
        <f>Хронология[[#This Row],[Начало]]+Хронология[[#This Row],[Сутки]]</f>
        <v>46166.999999999942</v>
      </c>
      <c r="AH100" s="522">
        <f>Хронология[[#This Row],[Часы]]/24</f>
        <v>0.20833333333333334</v>
      </c>
      <c r="AI100" s="522">
        <f>IFERROR(Хронология[[#This Row],[Сутки]]+AI99, Хронология[[#This Row],[Сутки]])</f>
        <v>22.166666666666657</v>
      </c>
      <c r="AJ100"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ПНВ</v>
      </c>
      <c r="AK100"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5</v>
      </c>
      <c r="AL100"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v>
      </c>
      <c r="AM100" s="527">
        <f>IF(Хронология[[#This Row],[Результат]]="НПВ", Хронология[[#This Row],[Часы]], 0)</f>
        <v>0</v>
      </c>
      <c r="AN100" s="518">
        <f>SUMIFS(Хронология[НПВ], Хронология[Скважина], Хронология[[#This Row],[Скважина]], Хронология[Начало], "&lt;=" &amp; Хронология[[#This Row],[Начало]])</f>
        <v>0</v>
      </c>
      <c r="AO100" s="518">
        <f>SUMIFS(Хронология[ПНВ], Хронология[Скважина], Хронология[[#This Row],[Скважина]], Хронология[Начало], "&lt;=" &amp; Хронология[[#This Row],[Начало]])</f>
        <v>2.92</v>
      </c>
      <c r="AP100" s="523">
        <f>INT(ROUND(Хронология[[#This Row],[Начало]], 3))</f>
        <v>46166</v>
      </c>
      <c r="AQ100" s="524">
        <f>Хронология[[#This Row],[Начало]]-INT(Хронология[[#This Row],[Начало]])</f>
        <v>0.79166666660603369</v>
      </c>
      <c r="AR100" s="523">
        <f>INT(ROUND(Хронология[[#This Row],[Окончание]], 3))</f>
        <v>46167</v>
      </c>
      <c r="AS100" s="524">
        <f>Хронология[[#This Row],[Окончание]]-INT(Хронология[[#This Row],[Окончание]])</f>
        <v>0.99999999994179234</v>
      </c>
      <c r="AT100" s="524" t="str">
        <f>Хронология[[#This Row],[Мастер]] &amp; CHAR(10) &amp; Хронология[[#This Row],[Помощник мастера]] &amp; CHAR(10) &amp; Хронология[[#This Row],[Бурильщик]]</f>
        <v>Тарасов А.С.
Штыкин А.А.</v>
      </c>
      <c r="AU100"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851 ОК– ПР Обратная промывка Скважина </v>
      </c>
      <c r="AV100" s="518" t="str">
        <f>Хронология[[#This Row],[Результат]]&amp;":  "&amp;Хронология[[#This Row],[Событие]]&amp; CHAR(10) &amp;Хронология[[#This Row],[Вид работ]]&amp;"  "&amp;Хронология[[#This Row],[Объект работ]]</f>
        <v>ПНВ:  
Обратная промывка  Скважина</v>
      </c>
      <c r="AW100" s="598">
        <f>SUMIF($AU$2:AU141, Хронология[[#This Row],[Ключ]], $AH$2:AH141)</f>
        <v>0.54166666666666663</v>
      </c>
      <c r="AX100" s="516" t="str">
        <f>Хронология[[#This Row],[Вид работ]] &amp; " " &amp; Хронология[[#This Row],[Объект работ]]</f>
        <v>Обратная промывка Скважина</v>
      </c>
    </row>
    <row r="101" spans="1:50" ht="69" customHeight="1">
      <c r="A101" s="540" t="s">
        <v>50</v>
      </c>
      <c r="B101" s="541" t="s">
        <v>51</v>
      </c>
      <c r="C101" s="541" t="s">
        <v>52</v>
      </c>
      <c r="D101" s="542">
        <v>1</v>
      </c>
      <c r="E101" s="517">
        <v>851</v>
      </c>
      <c r="F101" s="515" t="s">
        <v>207</v>
      </c>
      <c r="G101" s="517"/>
      <c r="H101" s="517" t="s">
        <v>55</v>
      </c>
      <c r="I101" s="518"/>
      <c r="J101" s="517"/>
      <c r="K101" s="515"/>
      <c r="L101" s="516" t="s">
        <v>59</v>
      </c>
      <c r="M101" s="516" t="s">
        <v>58</v>
      </c>
      <c r="N101" s="516"/>
      <c r="O101" s="516" t="s">
        <v>169</v>
      </c>
      <c r="P101" s="516" t="s">
        <v>175</v>
      </c>
      <c r="Q101" s="516" t="s">
        <v>167</v>
      </c>
      <c r="R101" s="516" t="s">
        <v>4</v>
      </c>
      <c r="S101" s="516"/>
      <c r="T101" s="526" t="s">
        <v>222</v>
      </c>
      <c r="U101" s="516">
        <v>8</v>
      </c>
      <c r="V101" s="516"/>
      <c r="W101" s="516"/>
      <c r="X101" s="516"/>
      <c r="Y101" s="516"/>
      <c r="Z101" s="516"/>
      <c r="AA101" s="516"/>
      <c r="AB101" s="516"/>
      <c r="AC101" s="516"/>
      <c r="AD101" s="516"/>
      <c r="AE101" s="514">
        <f>IFERROR(IF(Хронология[[#This Row],[Забой, м]]-V100&lt;0, 0, Хронология[[#This Row],[Забой, м]]-V100), 0)</f>
        <v>0</v>
      </c>
      <c r="AF101" s="521">
        <f t="shared" si="1"/>
        <v>46166.999999999942</v>
      </c>
      <c r="AG101" s="521">
        <f>Хронология[[#This Row],[Начало]]+Хронология[[#This Row],[Сутки]]</f>
        <v>46167.333333333278</v>
      </c>
      <c r="AH101" s="522">
        <f>Хронология[[#This Row],[Часы]]/24</f>
        <v>0.33333333333333331</v>
      </c>
      <c r="AI101" s="522">
        <f>IFERROR(Хронология[[#This Row],[Сутки]]+AI100, Хронология[[#This Row],[Сутки]])</f>
        <v>22.499999999999989</v>
      </c>
      <c r="AJ101"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ПНВ</v>
      </c>
      <c r="AK101"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3.5500000000000007</v>
      </c>
      <c r="AL101"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4.4499999999999993</v>
      </c>
      <c r="AM101" s="527">
        <f>IF(Хронология[[#This Row],[Результат]]="НПВ", Хронология[[#This Row],[Часы]], 0)</f>
        <v>0</v>
      </c>
      <c r="AN101" s="518">
        <f>SUMIFS(Хронология[НПВ], Хронология[Скважина], Хронология[[#This Row],[Скважина]], Хронология[Начало], "&lt;=" &amp; Хронология[[#This Row],[Начало]])</f>
        <v>0</v>
      </c>
      <c r="AO101" s="518">
        <f>SUMIFS(Хронология[ПНВ], Хронология[Скважина], Хронология[[#This Row],[Скважина]], Хронология[Начало], "&lt;=" &amp; Хронология[[#This Row],[Начало]])</f>
        <v>7.3699999999999992</v>
      </c>
      <c r="AP101" s="523">
        <f>INT(ROUND(Хронология[[#This Row],[Начало]], 3))</f>
        <v>46167</v>
      </c>
      <c r="AQ101" s="524">
        <f>Хронология[[#This Row],[Начало]]-INT(Хронология[[#This Row],[Начало]])</f>
        <v>0.99999999994179234</v>
      </c>
      <c r="AR101" s="523">
        <f>INT(ROUND(Хронология[[#This Row],[Окончание]], 3))</f>
        <v>46167</v>
      </c>
      <c r="AS101" s="524">
        <f>Хронология[[#This Row],[Окончание]]-INT(Хронология[[#This Row],[Окончание]])</f>
        <v>0.33333333327755099</v>
      </c>
      <c r="AT101" s="524" t="str">
        <f>Хронология[[#This Row],[Мастер]] &amp; CHAR(10) &amp; Хронология[[#This Row],[Помощник мастера]] &amp; CHAR(10) &amp; Хронология[[#This Row],[Бурильщик]]</f>
        <v>Епифанов Д.Б.
Жангазиев С.К.</v>
      </c>
      <c r="AU101"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851 ОК– ПР Обратная промывка Скважина </v>
      </c>
      <c r="AV101" s="518" t="str">
        <f>Хронология[[#This Row],[Результат]]&amp;":  "&amp;Хронология[[#This Row],[Событие]]&amp; CHAR(10) &amp;Хронология[[#This Row],[Вид работ]]&amp;"  "&amp;Хронология[[#This Row],[Объект работ]]</f>
        <v>ПНВ:  
Обратная промывка  Скважина</v>
      </c>
      <c r="AW101" s="598">
        <f>SUMIF($AU$2:AU142, Хронология[[#This Row],[Ключ]], $AH$2:AH142)</f>
        <v>0.54166666666666663</v>
      </c>
      <c r="AX101" s="516" t="str">
        <f>Хронология[[#This Row],[Вид работ]] &amp; " " &amp; Хронология[[#This Row],[Объект работ]]</f>
        <v>Обратная промывка Скважина</v>
      </c>
    </row>
    <row r="102" spans="1:50" ht="69" customHeight="1">
      <c r="A102" s="540" t="s">
        <v>50</v>
      </c>
      <c r="B102" s="541" t="s">
        <v>51</v>
      </c>
      <c r="C102" s="541" t="s">
        <v>52</v>
      </c>
      <c r="D102" s="542">
        <v>1</v>
      </c>
      <c r="E102" s="517">
        <v>851</v>
      </c>
      <c r="F102" s="515" t="s">
        <v>183</v>
      </c>
      <c r="G102" s="517"/>
      <c r="H102" s="517" t="s">
        <v>203</v>
      </c>
      <c r="I102" s="518"/>
      <c r="J102" s="517"/>
      <c r="K102" s="515"/>
      <c r="L102" s="516" t="s">
        <v>59</v>
      </c>
      <c r="M102" s="516" t="s">
        <v>58</v>
      </c>
      <c r="N102" s="516"/>
      <c r="O102" s="516" t="s">
        <v>69</v>
      </c>
      <c r="P102" s="516" t="s">
        <v>70</v>
      </c>
      <c r="Q102" s="516" t="s">
        <v>61</v>
      </c>
      <c r="R102" s="516" t="s">
        <v>62</v>
      </c>
      <c r="S102" s="516"/>
      <c r="T102" s="526" t="s">
        <v>223</v>
      </c>
      <c r="U102" s="516">
        <v>6</v>
      </c>
      <c r="V102" s="516"/>
      <c r="W102" s="516"/>
      <c r="X102" s="516"/>
      <c r="Y102" s="516"/>
      <c r="Z102" s="516"/>
      <c r="AA102" s="516"/>
      <c r="AB102" s="516"/>
      <c r="AC102" s="516"/>
      <c r="AD102" s="516"/>
      <c r="AE102" s="514">
        <f>IFERROR(IF(Хронология[[#This Row],[Забой, м]]-V101&lt;0, 0, Хронология[[#This Row],[Забой, м]]-V101), 0)</f>
        <v>0</v>
      </c>
      <c r="AF102" s="521">
        <f t="shared" si="1"/>
        <v>46167.333333333278</v>
      </c>
      <c r="AG102" s="521">
        <f>Хронология[[#This Row],[Начало]]+Хронология[[#This Row],[Сутки]]</f>
        <v>46167.583333333278</v>
      </c>
      <c r="AH102" s="522">
        <f>Хронология[[#This Row],[Часы]]/24</f>
        <v>0.25</v>
      </c>
      <c r="AI102" s="522">
        <f>IFERROR(Хронология[[#This Row],[Сутки]]+AI101, Хронология[[#This Row],[Сутки]])</f>
        <v>22.749999999999989</v>
      </c>
      <c r="AJ102"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ПНВ</v>
      </c>
      <c r="AK102"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6</v>
      </c>
      <c r="AL102"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v>
      </c>
      <c r="AM102" s="527">
        <f>IF(Хронология[[#This Row],[Результат]]="НПВ", Хронология[[#This Row],[Часы]], 0)</f>
        <v>0</v>
      </c>
      <c r="AN102" s="518">
        <f>SUMIFS(Хронология[НПВ], Хронология[Скважина], Хронология[[#This Row],[Скважина]], Хронология[Начало], "&lt;=" &amp; Хронология[[#This Row],[Начало]])</f>
        <v>0</v>
      </c>
      <c r="AO102" s="518">
        <f>SUMIFS(Хронология[ПНВ], Хронология[Скважина], Хронология[[#This Row],[Скважина]], Хронология[Начало], "&lt;=" &amp; Хронология[[#This Row],[Начало]])</f>
        <v>7.3699999999999992</v>
      </c>
      <c r="AP102" s="523">
        <f>INT(ROUND(Хронология[[#This Row],[Начало]], 3))</f>
        <v>46167</v>
      </c>
      <c r="AQ102" s="524">
        <f>Хронология[[#This Row],[Начало]]-INT(Хронология[[#This Row],[Начало]])</f>
        <v>0.33333333327755099</v>
      </c>
      <c r="AR102" s="523">
        <f>INT(ROUND(Хронология[[#This Row],[Окончание]], 3))</f>
        <v>46167</v>
      </c>
      <c r="AS102" s="524">
        <f>Хронология[[#This Row],[Окончание]]-INT(Хронология[[#This Row],[Окончание]])</f>
        <v>0.58333333327755099</v>
      </c>
      <c r="AT102" s="524" t="str">
        <f>Хронология[[#This Row],[Мастер]] &amp; CHAR(10) &amp; Хронология[[#This Row],[Помощник мастера]] &amp; CHAR(10) &amp; Хронология[[#This Row],[Бурильщик]]</f>
        <v>Тарасов А.С.
Штыкин А.А.</v>
      </c>
      <c r="AU102"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851 ОК– ПР Монтаж УПА </v>
      </c>
      <c r="AV102" s="518" t="str">
        <f>Хронология[[#This Row],[Результат]]&amp;":  "&amp;Хронология[[#This Row],[Событие]]&amp; CHAR(10) &amp;Хронология[[#This Row],[Вид работ]]&amp;"  "&amp;Хронология[[#This Row],[Объект работ]]</f>
        <v>ПНВ:  
Монтаж  УПА</v>
      </c>
      <c r="AW102" s="598">
        <f>SUMIF($AU$2:AU143, Хронология[[#This Row],[Ключ]], $AH$2:AH143)</f>
        <v>0.4375</v>
      </c>
      <c r="AX102" s="516" t="str">
        <f>Хронология[[#This Row],[Вид работ]] &amp; " " &amp; Хронология[[#This Row],[Объект работ]]</f>
        <v>Монтаж УПА</v>
      </c>
    </row>
    <row r="103" spans="1:50" ht="69" customHeight="1">
      <c r="A103" s="540" t="s">
        <v>50</v>
      </c>
      <c r="B103" s="541" t="s">
        <v>51</v>
      </c>
      <c r="C103" s="541" t="s">
        <v>52</v>
      </c>
      <c r="D103" s="542">
        <v>1</v>
      </c>
      <c r="E103" s="517">
        <v>851</v>
      </c>
      <c r="F103" s="515" t="s">
        <v>183</v>
      </c>
      <c r="G103" s="517"/>
      <c r="H103" s="517" t="s">
        <v>203</v>
      </c>
      <c r="I103" s="518"/>
      <c r="J103" s="517"/>
      <c r="K103" s="515"/>
      <c r="L103" s="516" t="s">
        <v>59</v>
      </c>
      <c r="M103" s="516" t="s">
        <v>76</v>
      </c>
      <c r="N103" s="516"/>
      <c r="O103" s="516" t="s">
        <v>191</v>
      </c>
      <c r="P103" s="516" t="s">
        <v>192</v>
      </c>
      <c r="Q103" s="516" t="s">
        <v>80</v>
      </c>
      <c r="R103" s="516" t="s">
        <v>193</v>
      </c>
      <c r="S103" s="516"/>
      <c r="T103" s="526" t="s">
        <v>224</v>
      </c>
      <c r="U103" s="516">
        <v>5.5</v>
      </c>
      <c r="V103" s="516"/>
      <c r="W103" s="516"/>
      <c r="X103" s="516"/>
      <c r="Y103" s="516"/>
      <c r="Z103" s="516"/>
      <c r="AA103" s="516"/>
      <c r="AB103" s="516"/>
      <c r="AC103" s="516"/>
      <c r="AD103" s="516"/>
      <c r="AE103" s="514">
        <f>IFERROR(IF(Хронология[[#This Row],[Забой, м]]-V102&lt;0, 0, Хронология[[#This Row],[Забой, м]]-V102), 0)</f>
        <v>0</v>
      </c>
      <c r="AF103" s="521">
        <f t="shared" si="1"/>
        <v>46167.583333333278</v>
      </c>
      <c r="AG103" s="521">
        <f>Хронология[[#This Row],[Начало]]+Хронология[[#This Row],[Сутки]]</f>
        <v>46167.812499999942</v>
      </c>
      <c r="AH103" s="522">
        <f>Хронология[[#This Row],[Часы]]/24</f>
        <v>0.22916666666666666</v>
      </c>
      <c r="AI103" s="522">
        <f>IFERROR(Хронология[[#This Row],[Сутки]]+AI102, Хронология[[#This Row],[Сутки]])</f>
        <v>22.979166666666657</v>
      </c>
      <c r="AJ103"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НПВ</v>
      </c>
      <c r="AK103"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v>
      </c>
      <c r="AL103"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v>
      </c>
      <c r="AM103" s="527">
        <f>IF(Хронология[[#This Row],[Результат]]="НПВ", Хронология[[#This Row],[Часы]], 0)</f>
        <v>5.5</v>
      </c>
      <c r="AN103" s="518">
        <f>SUMIFS(Хронология[НПВ], Хронология[Скважина], Хронология[[#This Row],[Скважина]], Хронология[Начало], "&lt;=" &amp; Хронология[[#This Row],[Начало]])</f>
        <v>5.5</v>
      </c>
      <c r="AO103" s="518">
        <f>SUMIFS(Хронология[ПНВ], Хронология[Скважина], Хронология[[#This Row],[Скважина]], Хронология[Начало], "&lt;=" &amp; Хронология[[#This Row],[Начало]])</f>
        <v>7.3699999999999992</v>
      </c>
      <c r="AP103" s="523">
        <f>INT(ROUND(Хронология[[#This Row],[Начало]], 3))</f>
        <v>46167</v>
      </c>
      <c r="AQ103" s="524">
        <f>Хронология[[#This Row],[Начало]]-INT(Хронология[[#This Row],[Начало]])</f>
        <v>0.58333333327755099</v>
      </c>
      <c r="AR103" s="523">
        <f>INT(ROUND(Хронология[[#This Row],[Окончание]], 3))</f>
        <v>46167</v>
      </c>
      <c r="AS103" s="524">
        <f>Хронология[[#This Row],[Окончание]]-INT(Хронология[[#This Row],[Окончание]])</f>
        <v>0.81249999994179234</v>
      </c>
      <c r="AT103" s="524" t="str">
        <f>Хронология[[#This Row],[Мастер]] &amp; CHAR(10) &amp; Хронология[[#This Row],[Помощник мастера]] &amp; CHAR(10) &amp; Хронология[[#This Row],[Бурильщик]]</f>
        <v>Тарасов А.С.
Штыкин А.А.</v>
      </c>
      <c r="AU103"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851 ОК– ПР Орг_простой  Ожидание Персонал </v>
      </c>
      <c r="AV103" s="518" t="str">
        <f>Хронология[[#This Row],[Результат]]&amp;":  "&amp;Хронология[[#This Row],[Событие]]&amp; CHAR(10) &amp;Хронология[[#This Row],[Вид работ]]&amp;"  "&amp;Хронология[[#This Row],[Объект работ]]</f>
        <v>НПВ:  
Ожидание  Персонал</v>
      </c>
      <c r="AW103" s="598">
        <f>SUMIF($AU$2:AU144, Хронология[[#This Row],[Ключ]], $AH$2:AH144)</f>
        <v>0.22916666666666666</v>
      </c>
      <c r="AX103" s="516" t="str">
        <f>Хронология[[#This Row],[Вид работ]] &amp; " " &amp; Хронология[[#This Row],[Объект работ]]</f>
        <v>Ожидание Персонал</v>
      </c>
    </row>
    <row r="104" spans="1:50" ht="69" customHeight="1">
      <c r="A104" s="540" t="s">
        <v>50</v>
      </c>
      <c r="B104" s="541" t="s">
        <v>51</v>
      </c>
      <c r="C104" s="541" t="s">
        <v>52</v>
      </c>
      <c r="D104" s="542">
        <v>1</v>
      </c>
      <c r="E104" s="517">
        <v>851</v>
      </c>
      <c r="F104" s="515" t="s">
        <v>183</v>
      </c>
      <c r="G104" s="517"/>
      <c r="H104" s="517" t="s">
        <v>203</v>
      </c>
      <c r="I104" s="518"/>
      <c r="J104" s="517"/>
      <c r="K104" s="515"/>
      <c r="L104" s="516" t="s">
        <v>59</v>
      </c>
      <c r="M104" s="516" t="s">
        <v>58</v>
      </c>
      <c r="N104" s="516"/>
      <c r="O104" s="516" t="s">
        <v>69</v>
      </c>
      <c r="P104" s="516" t="s">
        <v>70</v>
      </c>
      <c r="Q104" s="516" t="s">
        <v>61</v>
      </c>
      <c r="R104" s="516" t="s">
        <v>62</v>
      </c>
      <c r="S104" s="516"/>
      <c r="T104" s="526" t="s">
        <v>225</v>
      </c>
      <c r="U104" s="516">
        <v>4.5</v>
      </c>
      <c r="V104" s="516"/>
      <c r="W104" s="516"/>
      <c r="X104" s="516"/>
      <c r="Y104" s="516"/>
      <c r="Z104" s="516"/>
      <c r="AA104" s="516"/>
      <c r="AB104" s="516"/>
      <c r="AC104" s="516"/>
      <c r="AD104" s="516"/>
      <c r="AE104" s="514">
        <f>IFERROR(IF(Хронология[[#This Row],[Забой, м]]-V103&lt;0, 0, Хронология[[#This Row],[Забой, м]]-V103), 0)</f>
        <v>0</v>
      </c>
      <c r="AF104" s="521">
        <f t="shared" si="1"/>
        <v>46167.812499999942</v>
      </c>
      <c r="AG104" s="521">
        <f>Хронология[[#This Row],[Начало]]+Хронология[[#This Row],[Сутки]]</f>
        <v>46167.999999999942</v>
      </c>
      <c r="AH104" s="522">
        <f>Хронология[[#This Row],[Часы]]/24</f>
        <v>0.1875</v>
      </c>
      <c r="AI104" s="522">
        <f>IFERROR(Хронология[[#This Row],[Сутки]]+AI103, Хронология[[#This Row],[Сутки]])</f>
        <v>23.166666666666657</v>
      </c>
      <c r="AJ104"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ПНВ</v>
      </c>
      <c r="AK104"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2.1099999999999994</v>
      </c>
      <c r="AL104"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2.3900000000000006</v>
      </c>
      <c r="AM104" s="527">
        <f>IF(Хронология[[#This Row],[Результат]]="НПВ", Хронология[[#This Row],[Часы]], 0)</f>
        <v>0</v>
      </c>
      <c r="AN104" s="518">
        <f>SUMIFS(Хронология[НПВ], Хронология[Скважина], Хронология[[#This Row],[Скважина]], Хронология[Начало], "&lt;=" &amp; Хронология[[#This Row],[Начало]])</f>
        <v>5.5</v>
      </c>
      <c r="AO104" s="518">
        <f>SUMIFS(Хронология[ПНВ], Хронология[Скважина], Хронология[[#This Row],[Скважина]], Хронология[Начало], "&lt;=" &amp; Хронология[[#This Row],[Начало]])</f>
        <v>9.76</v>
      </c>
      <c r="AP104" s="523">
        <f>INT(ROUND(Хронология[[#This Row],[Начало]], 3))</f>
        <v>46167</v>
      </c>
      <c r="AQ104" s="524">
        <f>Хронология[[#This Row],[Начало]]-INT(Хронология[[#This Row],[Начало]])</f>
        <v>0.81249999994179234</v>
      </c>
      <c r="AR104" s="523">
        <f>INT(ROUND(Хронология[[#This Row],[Окончание]], 3))</f>
        <v>46168</v>
      </c>
      <c r="AS104" s="524">
        <f>Хронология[[#This Row],[Окончание]]-INT(Хронология[[#This Row],[Окончание]])</f>
        <v>0.99999999994179234</v>
      </c>
      <c r="AT104" s="524" t="str">
        <f>Хронология[[#This Row],[Мастер]] &amp; CHAR(10) &amp; Хронология[[#This Row],[Помощник мастера]] &amp; CHAR(10) &amp; Хронология[[#This Row],[Бурильщик]]</f>
        <v>Тарасов А.С.
Штыкин А.А.</v>
      </c>
      <c r="AU104"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851 ОК– ПР Монтаж УПА </v>
      </c>
      <c r="AV104" s="518" t="str">
        <f>Хронология[[#This Row],[Результат]]&amp;":  "&amp;Хронология[[#This Row],[Событие]]&amp; CHAR(10) &amp;Хронология[[#This Row],[Вид работ]]&amp;"  "&amp;Хронология[[#This Row],[Объект работ]]</f>
        <v>ПНВ:  
Монтаж  УПА</v>
      </c>
      <c r="AW104" s="598">
        <f>SUMIF($AU$2:AU145, Хронология[[#This Row],[Ключ]], $AH$2:AH145)</f>
        <v>0.4375</v>
      </c>
      <c r="AX104" s="516" t="str">
        <f>Хронология[[#This Row],[Вид работ]] &amp; " " &amp; Хронология[[#This Row],[Объект работ]]</f>
        <v>Монтаж УПА</v>
      </c>
    </row>
    <row r="105" spans="1:50" ht="69" customHeight="1">
      <c r="A105" s="540" t="s">
        <v>50</v>
      </c>
      <c r="B105" s="541" t="s">
        <v>51</v>
      </c>
      <c r="C105" s="541" t="s">
        <v>52</v>
      </c>
      <c r="D105" s="542">
        <v>1</v>
      </c>
      <c r="E105" s="517">
        <v>851</v>
      </c>
      <c r="F105" s="515" t="s">
        <v>207</v>
      </c>
      <c r="G105" s="517"/>
      <c r="H105" s="517" t="s">
        <v>55</v>
      </c>
      <c r="I105" s="518"/>
      <c r="J105" s="517"/>
      <c r="K105" s="515"/>
      <c r="L105" s="516" t="s">
        <v>59</v>
      </c>
      <c r="M105" s="516" t="s">
        <v>58</v>
      </c>
      <c r="N105" s="516"/>
      <c r="O105" s="516" t="s">
        <v>59</v>
      </c>
      <c r="P105" s="516" t="s">
        <v>226</v>
      </c>
      <c r="Q105" s="516" t="s">
        <v>80</v>
      </c>
      <c r="R105" s="516" t="s">
        <v>227</v>
      </c>
      <c r="S105" s="516"/>
      <c r="T105" s="526" t="s">
        <v>228</v>
      </c>
      <c r="U105" s="516">
        <v>8</v>
      </c>
      <c r="V105" s="516"/>
      <c r="W105" s="516"/>
      <c r="X105" s="516"/>
      <c r="Y105" s="516"/>
      <c r="Z105" s="516"/>
      <c r="AA105" s="516"/>
      <c r="AB105" s="516"/>
      <c r="AC105" s="516"/>
      <c r="AD105" s="516"/>
      <c r="AE105" s="514">
        <f>IFERROR(IF(Хронология[[#This Row],[Забой, м]]-V104&lt;0, 0, Хронология[[#This Row],[Забой, м]]-V104), 0)</f>
        <v>0</v>
      </c>
      <c r="AF105" s="521">
        <f t="shared" si="1"/>
        <v>46167.999999999942</v>
      </c>
      <c r="AG105" s="521">
        <f>Хронология[[#This Row],[Начало]]+Хронология[[#This Row],[Сутки]]</f>
        <v>46168.333333333278</v>
      </c>
      <c r="AH105" s="522">
        <f>Хронология[[#This Row],[Часы]]/24</f>
        <v>0.33333333333333331</v>
      </c>
      <c r="AI105" s="522">
        <f>IFERROR(Хронология[[#This Row],[Сутки]]+AI104, Хронология[[#This Row],[Сутки]])</f>
        <v>23.499999999999989</v>
      </c>
      <c r="AJ105"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НПВ</v>
      </c>
      <c r="AK105"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v>
      </c>
      <c r="AL105"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v>
      </c>
      <c r="AM105" s="527">
        <f>IF(Хронология[[#This Row],[Результат]]="НПВ", Хронология[[#This Row],[Часы]], 0)</f>
        <v>8</v>
      </c>
      <c r="AN105" s="518">
        <f>SUMIFS(Хронология[НПВ], Хронология[Скважина], Хронология[[#This Row],[Скважина]], Хронология[Начало], "&lt;=" &amp; Хронология[[#This Row],[Начало]])</f>
        <v>13.5</v>
      </c>
      <c r="AO105" s="518">
        <f>SUMIFS(Хронология[ПНВ], Хронология[Скважина], Хронология[[#This Row],[Скважина]], Хронология[Начало], "&lt;=" &amp; Хронология[[#This Row],[Начало]])</f>
        <v>9.76</v>
      </c>
      <c r="AP105" s="523">
        <f>INT(ROUND(Хронология[[#This Row],[Начало]], 3))</f>
        <v>46168</v>
      </c>
      <c r="AQ105" s="524">
        <f>Хронология[[#This Row],[Начало]]-INT(Хронология[[#This Row],[Начало]])</f>
        <v>0.99999999994179234</v>
      </c>
      <c r="AR105" s="523">
        <f>INT(ROUND(Хронология[[#This Row],[Окончание]], 3))</f>
        <v>46168</v>
      </c>
      <c r="AS105" s="524">
        <f>Хронология[[#This Row],[Окончание]]-INT(Хронология[[#This Row],[Окончание]])</f>
        <v>0.33333333327755099</v>
      </c>
      <c r="AT105" s="524" t="str">
        <f>Хронология[[#This Row],[Мастер]] &amp; CHAR(10) &amp; Хронология[[#This Row],[Помощник мастера]] &amp; CHAR(10) &amp; Хронология[[#This Row],[Бурильщик]]</f>
        <v>Епифанов Д.Б.
Жангазиев С.К.</v>
      </c>
      <c r="AU105"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851 ОК– ПР Рабочая комиссия Разрешительная документация </v>
      </c>
      <c r="AV105" s="518" t="str">
        <f>Хронология[[#This Row],[Результат]]&amp;":  "&amp;Хронология[[#This Row],[Событие]]&amp; CHAR(10) &amp;Хронология[[#This Row],[Вид работ]]&amp;"  "&amp;Хронология[[#This Row],[Объект работ]]</f>
        <v>НПВ:  
Рабочая комиссия  Разрешительная документация</v>
      </c>
      <c r="AW105" s="598">
        <f>SUMIF($AU$2:AU146, Хронология[[#This Row],[Ключ]], $AH$2:AH146)</f>
        <v>0.33333333333333331</v>
      </c>
      <c r="AX105" s="516" t="str">
        <f>Хронология[[#This Row],[Вид работ]] &amp; " " &amp; Хронология[[#This Row],[Объект работ]]</f>
        <v>Рабочая комиссия Разрешительная документация</v>
      </c>
    </row>
    <row r="106" spans="1:50" ht="69" customHeight="1">
      <c r="A106" s="540" t="s">
        <v>50</v>
      </c>
      <c r="B106" s="541" t="s">
        <v>51</v>
      </c>
      <c r="C106" s="541" t="s">
        <v>52</v>
      </c>
      <c r="D106" s="542">
        <v>1</v>
      </c>
      <c r="E106" s="517">
        <v>851</v>
      </c>
      <c r="F106" s="515" t="s">
        <v>183</v>
      </c>
      <c r="G106" s="517"/>
      <c r="H106" s="517" t="s">
        <v>203</v>
      </c>
      <c r="I106" s="518"/>
      <c r="J106" s="517"/>
      <c r="K106" s="515"/>
      <c r="L106" s="516" t="s">
        <v>59</v>
      </c>
      <c r="M106" s="516" t="s">
        <v>76</v>
      </c>
      <c r="N106" s="516"/>
      <c r="O106" s="516" t="s">
        <v>191</v>
      </c>
      <c r="P106" s="516" t="s">
        <v>192</v>
      </c>
      <c r="Q106" s="516" t="s">
        <v>80</v>
      </c>
      <c r="R106" s="516" t="s">
        <v>229</v>
      </c>
      <c r="S106" s="516"/>
      <c r="T106" s="526" t="s">
        <v>230</v>
      </c>
      <c r="U106" s="516">
        <v>10</v>
      </c>
      <c r="V106" s="516"/>
      <c r="W106" s="516"/>
      <c r="X106" s="516"/>
      <c r="Y106" s="516"/>
      <c r="Z106" s="516"/>
      <c r="AA106" s="516"/>
      <c r="AB106" s="516"/>
      <c r="AC106" s="516"/>
      <c r="AD106" s="516"/>
      <c r="AE106" s="514">
        <f>IFERROR(IF(Хронология[[#This Row],[Забой, м]]-V105&lt;0, 0, Хронология[[#This Row],[Забой, м]]-V105), 0)</f>
        <v>0</v>
      </c>
      <c r="AF106" s="521">
        <f t="shared" si="1"/>
        <v>46168.333333333278</v>
      </c>
      <c r="AG106" s="521">
        <f>Хронология[[#This Row],[Начало]]+Хронология[[#This Row],[Сутки]]</f>
        <v>46168.749999999942</v>
      </c>
      <c r="AH106" s="522">
        <f>Хронология[[#This Row],[Часы]]/24</f>
        <v>0.41666666666666669</v>
      </c>
      <c r="AI106" s="522">
        <f>IFERROR(Хронология[[#This Row],[Сутки]]+AI105, Хронология[[#This Row],[Сутки]])</f>
        <v>23.916666666666657</v>
      </c>
      <c r="AJ106"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НПВ</v>
      </c>
      <c r="AK106"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v>
      </c>
      <c r="AL106"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v>
      </c>
      <c r="AM106" s="527">
        <f>IF(Хронология[[#This Row],[Результат]]="НПВ", Хронология[[#This Row],[Часы]], 0)</f>
        <v>10</v>
      </c>
      <c r="AN106" s="518">
        <f>SUMIFS(Хронология[НПВ], Хронология[Скважина], Хронология[[#This Row],[Скважина]], Хронология[Начало], "&lt;=" &amp; Хронология[[#This Row],[Начало]])</f>
        <v>23.5</v>
      </c>
      <c r="AO106" s="518">
        <f>SUMIFS(Хронология[ПНВ], Хронология[Скважина], Хронология[[#This Row],[Скважина]], Хронология[Начало], "&lt;=" &amp; Хронология[[#This Row],[Начало]])</f>
        <v>9.76</v>
      </c>
      <c r="AP106" s="523">
        <f>INT(ROUND(Хронология[[#This Row],[Начало]], 3))</f>
        <v>46168</v>
      </c>
      <c r="AQ106" s="524">
        <f>Хронология[[#This Row],[Начало]]-INT(Хронология[[#This Row],[Начало]])</f>
        <v>0.33333333327755099</v>
      </c>
      <c r="AR106" s="523">
        <f>INT(ROUND(Хронология[[#This Row],[Окончание]], 3))</f>
        <v>46168</v>
      </c>
      <c r="AS106" s="524">
        <f>Хронология[[#This Row],[Окончание]]-INT(Хронология[[#This Row],[Окончание]])</f>
        <v>0.74999999994179234</v>
      </c>
      <c r="AT106" s="524" t="str">
        <f>Хронология[[#This Row],[Мастер]] &amp; CHAR(10) &amp; Хронология[[#This Row],[Помощник мастера]] &amp; CHAR(10) &amp; Хронология[[#This Row],[Бурильщик]]</f>
        <v>Тарасов А.С.
Штыкин А.А.</v>
      </c>
      <c r="AU106"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851 ОК– ПР Орг_простой  Ожидание МТР </v>
      </c>
      <c r="AV106" s="518" t="str">
        <f>Хронология[[#This Row],[Результат]]&amp;":  "&amp;Хронология[[#This Row],[Событие]]&amp; CHAR(10) &amp;Хронология[[#This Row],[Вид работ]]&amp;"  "&amp;Хронология[[#This Row],[Объект работ]]</f>
        <v>НПВ:  
Ожидание  МТР</v>
      </c>
      <c r="AW106" s="598">
        <f>SUMIF($AU$2:AU147, Хронология[[#This Row],[Ключ]], $AH$2:AH147)</f>
        <v>0.41666666666666669</v>
      </c>
      <c r="AX106" s="516" t="str">
        <f>Хронология[[#This Row],[Вид работ]] &amp; " " &amp; Хронология[[#This Row],[Объект работ]]</f>
        <v>Ожидание МТР</v>
      </c>
    </row>
    <row r="107" spans="1:50" ht="69" customHeight="1">
      <c r="A107" s="540" t="s">
        <v>50</v>
      </c>
      <c r="B107" s="541" t="s">
        <v>51</v>
      </c>
      <c r="C107" s="541" t="s">
        <v>52</v>
      </c>
      <c r="D107" s="542">
        <v>1</v>
      </c>
      <c r="E107" s="517">
        <v>851</v>
      </c>
      <c r="F107" s="515" t="s">
        <v>183</v>
      </c>
      <c r="G107" s="517"/>
      <c r="H107" s="517" t="s">
        <v>203</v>
      </c>
      <c r="I107" s="518"/>
      <c r="J107" s="517"/>
      <c r="K107" s="515"/>
      <c r="L107" s="516" t="s">
        <v>51</v>
      </c>
      <c r="M107" s="516" t="s">
        <v>58</v>
      </c>
      <c r="N107" s="516"/>
      <c r="O107" s="516" t="s">
        <v>69</v>
      </c>
      <c r="P107" s="516" t="s">
        <v>108</v>
      </c>
      <c r="Q107" s="516" t="s">
        <v>86</v>
      </c>
      <c r="R107" s="516" t="s">
        <v>118</v>
      </c>
      <c r="S107" s="516"/>
      <c r="T107" s="526" t="s">
        <v>231</v>
      </c>
      <c r="U107" s="516">
        <v>2.5</v>
      </c>
      <c r="V107" s="516"/>
      <c r="W107" s="516"/>
      <c r="X107" s="516"/>
      <c r="Y107" s="516"/>
      <c r="Z107" s="516"/>
      <c r="AA107" s="516"/>
      <c r="AB107" s="516"/>
      <c r="AC107" s="516"/>
      <c r="AD107" s="516"/>
      <c r="AE107" s="514">
        <f>IFERROR(IF(Хронология[[#This Row],[Забой, м]]-V106&lt;0, 0, Хронология[[#This Row],[Забой, м]]-V106), 0)</f>
        <v>0</v>
      </c>
      <c r="AF107" s="521">
        <f t="shared" si="1"/>
        <v>46168.749999999942</v>
      </c>
      <c r="AG107" s="521">
        <f>Хронология[[#This Row],[Начало]]+Хронология[[#This Row],[Сутки]]</f>
        <v>46168.854166666606</v>
      </c>
      <c r="AH107" s="522">
        <f>Хронология[[#This Row],[Часы]]/24</f>
        <v>0.10416666666666667</v>
      </c>
      <c r="AI107" s="522">
        <f>IFERROR(Хронология[[#This Row],[Сутки]]+AI106, Хронология[[#This Row],[Сутки]])</f>
        <v>24.020833333333325</v>
      </c>
      <c r="AJ107"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ПНВ</v>
      </c>
      <c r="AK107"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2.29</v>
      </c>
      <c r="AL107"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0.20999999999999996</v>
      </c>
      <c r="AM107" s="527">
        <f>IF(Хронология[[#This Row],[Результат]]="НПВ", Хронология[[#This Row],[Часы]], 0)</f>
        <v>0</v>
      </c>
      <c r="AN107" s="518">
        <f>SUMIFS(Хронология[НПВ], Хронология[Скважина], Хронология[[#This Row],[Скважина]], Хронология[Начало], "&lt;=" &amp; Хронология[[#This Row],[Начало]])</f>
        <v>23.5</v>
      </c>
      <c r="AO107" s="518">
        <f>SUMIFS(Хронология[ПНВ], Хронология[Скважина], Хронология[[#This Row],[Скважина]], Хронология[Начало], "&lt;=" &amp; Хронология[[#This Row],[Начало]])</f>
        <v>9.9699999999999989</v>
      </c>
      <c r="AP107" s="523">
        <f>INT(ROUND(Хронология[[#This Row],[Начало]], 3))</f>
        <v>46168</v>
      </c>
      <c r="AQ107" s="524">
        <f>Хронология[[#This Row],[Начало]]-INT(Хронология[[#This Row],[Начало]])</f>
        <v>0.74999999994179234</v>
      </c>
      <c r="AR107" s="523">
        <f>INT(ROUND(Хронология[[#This Row],[Окончание]], 3))</f>
        <v>46168</v>
      </c>
      <c r="AS107" s="524">
        <f>Хронология[[#This Row],[Окончание]]-INT(Хронология[[#This Row],[Окончание]])</f>
        <v>0.85416666660603369</v>
      </c>
      <c r="AT107" s="524" t="str">
        <f>Хронология[[#This Row],[Мастер]] &amp; CHAR(10) &amp; Хронология[[#This Row],[Помощник мастера]] &amp; CHAR(10) &amp; Хронология[[#This Row],[Бурильщик]]</f>
        <v>Тарасов А.С.
Штыкин А.А.</v>
      </c>
      <c r="AU107"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851 ОК– КРС Демонтаж Фонтанная арматура </v>
      </c>
      <c r="AV107" s="518" t="str">
        <f>Хронология[[#This Row],[Результат]]&amp;":  "&amp;Хронология[[#This Row],[Событие]]&amp; CHAR(10) &amp;Хронология[[#This Row],[Вид работ]]&amp;"  "&amp;Хронология[[#This Row],[Объект работ]]</f>
        <v>ПНВ:  
Демонтаж  Фонтанная арматура</v>
      </c>
      <c r="AW107" s="598">
        <f>SUMIF($AU$2:AU148, Хронология[[#This Row],[Ключ]], $AH$2:AH148)</f>
        <v>0.10416666666666667</v>
      </c>
      <c r="AX107" s="516" t="str">
        <f>Хронология[[#This Row],[Вид работ]] &amp; " " &amp; Хронология[[#This Row],[Объект работ]]</f>
        <v>Демонтаж Фонтанная арматура</v>
      </c>
    </row>
    <row r="108" spans="1:50" ht="69" customHeight="1">
      <c r="A108" s="540" t="s">
        <v>50</v>
      </c>
      <c r="B108" s="541" t="s">
        <v>51</v>
      </c>
      <c r="C108" s="541" t="s">
        <v>52</v>
      </c>
      <c r="D108" s="542">
        <v>1</v>
      </c>
      <c r="E108" s="517">
        <v>851</v>
      </c>
      <c r="F108" s="515" t="s">
        <v>183</v>
      </c>
      <c r="G108" s="517"/>
      <c r="H108" s="517" t="s">
        <v>203</v>
      </c>
      <c r="I108" s="518"/>
      <c r="J108" s="517"/>
      <c r="K108" s="515"/>
      <c r="L108" s="516" t="s">
        <v>51</v>
      </c>
      <c r="M108" s="516" t="s">
        <v>58</v>
      </c>
      <c r="N108" s="516"/>
      <c r="O108" s="516" t="s">
        <v>69</v>
      </c>
      <c r="P108" s="516" t="s">
        <v>70</v>
      </c>
      <c r="Q108" s="516" t="s">
        <v>86</v>
      </c>
      <c r="R108" s="516" t="s">
        <v>161</v>
      </c>
      <c r="S108" s="516"/>
      <c r="T108" s="526" t="s">
        <v>232</v>
      </c>
      <c r="U108" s="516">
        <v>1.5</v>
      </c>
      <c r="V108" s="516"/>
      <c r="W108" s="516"/>
      <c r="X108" s="516"/>
      <c r="Y108" s="516"/>
      <c r="Z108" s="516"/>
      <c r="AA108" s="516"/>
      <c r="AB108" s="516"/>
      <c r="AC108" s="516"/>
      <c r="AD108" s="516"/>
      <c r="AE108" s="514">
        <f>IFERROR(IF(Хронология[[#This Row],[Забой, м]]-V107&lt;0, 0, Хронология[[#This Row],[Забой, м]]-V107), 0)</f>
        <v>0</v>
      </c>
      <c r="AF108" s="521">
        <f t="shared" si="1"/>
        <v>46168.854166666606</v>
      </c>
      <c r="AG108" s="521">
        <f>Хронология[[#This Row],[Начало]]+Хронология[[#This Row],[Сутки]]</f>
        <v>46168.916666666606</v>
      </c>
      <c r="AH108" s="522">
        <f>Хронология[[#This Row],[Часы]]/24</f>
        <v>6.25E-2</v>
      </c>
      <c r="AI108" s="522">
        <f>IFERROR(Хронология[[#This Row],[Сутки]]+AI107, Хронология[[#This Row],[Сутки]])</f>
        <v>24.083333333333325</v>
      </c>
      <c r="AJ108"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ПНВ</v>
      </c>
      <c r="AK108"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1.35</v>
      </c>
      <c r="AL108"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0.14999999999999991</v>
      </c>
      <c r="AM108" s="527">
        <f>IF(Хронология[[#This Row],[Результат]]="НПВ", Хронология[[#This Row],[Часы]], 0)</f>
        <v>0</v>
      </c>
      <c r="AN108" s="518">
        <f>SUMIFS(Хронология[НПВ], Хронология[Скважина], Хронология[[#This Row],[Скважина]], Хронология[Начало], "&lt;=" &amp; Хронология[[#This Row],[Начало]])</f>
        <v>23.5</v>
      </c>
      <c r="AO108" s="518">
        <f>SUMIFS(Хронология[ПНВ], Хронология[Скважина], Хронология[[#This Row],[Скважина]], Хронология[Начало], "&lt;=" &amp; Хронология[[#This Row],[Начало]])</f>
        <v>10.119999999999999</v>
      </c>
      <c r="AP108" s="523">
        <f>INT(ROUND(Хронология[[#This Row],[Начало]], 3))</f>
        <v>46168</v>
      </c>
      <c r="AQ108" s="524">
        <f>Хронология[[#This Row],[Начало]]-INT(Хронология[[#This Row],[Начало]])</f>
        <v>0.85416666660603369</v>
      </c>
      <c r="AR108" s="523">
        <f>INT(ROUND(Хронология[[#This Row],[Окончание]], 3))</f>
        <v>46168</v>
      </c>
      <c r="AS108" s="524">
        <f>Хронология[[#This Row],[Окончание]]-INT(Хронология[[#This Row],[Окончание]])</f>
        <v>0.91666666660603369</v>
      </c>
      <c r="AT108" s="524" t="str">
        <f>Хронология[[#This Row],[Мастер]] &amp; CHAR(10) &amp; Хронология[[#This Row],[Помощник мастера]] &amp; CHAR(10) &amp; Хронология[[#This Row],[Бурильщик]]</f>
        <v>Тарасов А.С.
Штыкин А.А.</v>
      </c>
      <c r="AU108"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851 ОК– КРС Монтаж ПВО </v>
      </c>
      <c r="AV108" s="518" t="str">
        <f>Хронология[[#This Row],[Результат]]&amp;":  "&amp;Хронология[[#This Row],[Событие]]&amp; CHAR(10) &amp;Хронология[[#This Row],[Вид работ]]&amp;"  "&amp;Хронология[[#This Row],[Объект работ]]</f>
        <v>ПНВ:  
Монтаж  ПВО</v>
      </c>
      <c r="AW108" s="598">
        <f>SUMIF($AU$2:AU149, Хронология[[#This Row],[Ключ]], $AH$2:AH149)</f>
        <v>6.25E-2</v>
      </c>
      <c r="AX108" s="516" t="str">
        <f>Хронология[[#This Row],[Вид работ]] &amp; " " &amp; Хронология[[#This Row],[Объект работ]]</f>
        <v>Монтаж ПВО</v>
      </c>
    </row>
    <row r="109" spans="1:50" ht="69" customHeight="1">
      <c r="A109" s="540" t="s">
        <v>50</v>
      </c>
      <c r="B109" s="541" t="s">
        <v>51</v>
      </c>
      <c r="C109" s="541" t="s">
        <v>52</v>
      </c>
      <c r="D109" s="542">
        <v>1</v>
      </c>
      <c r="E109" s="517">
        <v>851</v>
      </c>
      <c r="F109" s="515" t="s">
        <v>207</v>
      </c>
      <c r="G109" s="517"/>
      <c r="H109" s="517" t="s">
        <v>55</v>
      </c>
      <c r="I109" s="518"/>
      <c r="J109" s="517"/>
      <c r="K109" s="515"/>
      <c r="L109" s="516" t="s">
        <v>51</v>
      </c>
      <c r="M109" s="516" t="s">
        <v>58</v>
      </c>
      <c r="N109" s="516"/>
      <c r="O109" s="516" t="s">
        <v>90</v>
      </c>
      <c r="P109" s="516" t="s">
        <v>106</v>
      </c>
      <c r="Q109" s="516" t="s">
        <v>92</v>
      </c>
      <c r="R109" s="516" t="s">
        <v>184</v>
      </c>
      <c r="S109" s="516"/>
      <c r="T109" s="526" t="s">
        <v>233</v>
      </c>
      <c r="U109" s="516">
        <v>2</v>
      </c>
      <c r="V109" s="516"/>
      <c r="W109" s="516"/>
      <c r="X109" s="516"/>
      <c r="Y109" s="516"/>
      <c r="Z109" s="516"/>
      <c r="AA109" s="516"/>
      <c r="AB109" s="516"/>
      <c r="AC109" s="516"/>
      <c r="AD109" s="516"/>
      <c r="AE109" s="514">
        <f>IFERROR(IF(Хронология[[#This Row],[Забой, м]]-V108&lt;0, 0, Хронология[[#This Row],[Забой, м]]-V108), 0)</f>
        <v>0</v>
      </c>
      <c r="AF109" s="521">
        <f t="shared" si="1"/>
        <v>46168.916666666606</v>
      </c>
      <c r="AG109" s="521">
        <f>Хронология[[#This Row],[Начало]]+Хронология[[#This Row],[Сутки]]</f>
        <v>46168.999999999942</v>
      </c>
      <c r="AH109" s="522">
        <f>Хронология[[#This Row],[Часы]]/24</f>
        <v>8.3333333333333329E-2</v>
      </c>
      <c r="AI109" s="522">
        <f>IFERROR(Хронология[[#This Row],[Сутки]]+AI108, Хронология[[#This Row],[Сутки]])</f>
        <v>24.166666666666657</v>
      </c>
      <c r="AJ109"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ПНВ</v>
      </c>
      <c r="AK109"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0.97</v>
      </c>
      <c r="AL109"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1.03</v>
      </c>
      <c r="AM109" s="527">
        <f>IF(Хронология[[#This Row],[Результат]]="НПВ", Хронология[[#This Row],[Часы]], 0)</f>
        <v>0</v>
      </c>
      <c r="AN109" s="518">
        <f>SUMIFS(Хронология[НПВ], Хронология[Скважина], Хронология[[#This Row],[Скважина]], Хронология[Начало], "&lt;=" &amp; Хронология[[#This Row],[Начало]])</f>
        <v>23.5</v>
      </c>
      <c r="AO109" s="518">
        <f>SUMIFS(Хронология[ПНВ], Хронология[Скважина], Хронология[[#This Row],[Скважина]], Хронология[Начало], "&lt;=" &amp; Хронология[[#This Row],[Начало]])</f>
        <v>11.149999999999999</v>
      </c>
      <c r="AP109" s="523">
        <f>INT(ROUND(Хронология[[#This Row],[Начало]], 3))</f>
        <v>46168</v>
      </c>
      <c r="AQ109" s="524">
        <f>Хронология[[#This Row],[Начало]]-INT(Хронология[[#This Row],[Начало]])</f>
        <v>0.91666666660603369</v>
      </c>
      <c r="AR109" s="523">
        <f>INT(ROUND(Хронология[[#This Row],[Окончание]], 3))</f>
        <v>46169</v>
      </c>
      <c r="AS109" s="524">
        <f>Хронология[[#This Row],[Окончание]]-INT(Хронология[[#This Row],[Окончание]])</f>
        <v>0.99999999994179234</v>
      </c>
      <c r="AT109" s="524" t="str">
        <f>Хронология[[#This Row],[Мастер]] &amp; CHAR(10) &amp; Хронология[[#This Row],[Помощник мастера]] &amp; CHAR(10) &amp; Хронология[[#This Row],[Бурильщик]]</f>
        <v>Епифанов Д.Б.
Жангазиев С.К.</v>
      </c>
      <c r="AU109"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851 ОК– КРС Спуск Пакер </v>
      </c>
      <c r="AV109" s="518" t="str">
        <f>Хронология[[#This Row],[Результат]]&amp;":  "&amp;Хронология[[#This Row],[Событие]]&amp; CHAR(10) &amp;Хронология[[#This Row],[Вид работ]]&amp;"  "&amp;Хронология[[#This Row],[Объект работ]]</f>
        <v>ПНВ:  
Спуск  Пакер</v>
      </c>
      <c r="AW109" s="598">
        <f>SUMIF($AU$2:AU150, Хронология[[#This Row],[Ключ]], $AH$2:AH150)</f>
        <v>8.3333333333333329E-2</v>
      </c>
      <c r="AX109" s="516" t="str">
        <f>Хронология[[#This Row],[Вид работ]] &amp; " " &amp; Хронология[[#This Row],[Объект работ]]</f>
        <v>Спуск Пакер</v>
      </c>
    </row>
    <row r="110" spans="1:50" ht="69" customHeight="1">
      <c r="A110" s="540" t="s">
        <v>50</v>
      </c>
      <c r="B110" s="541" t="s">
        <v>51</v>
      </c>
      <c r="C110" s="541" t="s">
        <v>52</v>
      </c>
      <c r="D110" s="542">
        <v>1</v>
      </c>
      <c r="E110" s="517">
        <v>851</v>
      </c>
      <c r="F110" s="515" t="s">
        <v>207</v>
      </c>
      <c r="G110" s="517"/>
      <c r="H110" s="517" t="s">
        <v>55</v>
      </c>
      <c r="I110" s="518"/>
      <c r="J110" s="517"/>
      <c r="K110" s="515"/>
      <c r="L110" s="516" t="s">
        <v>51</v>
      </c>
      <c r="M110" s="516" t="s">
        <v>76</v>
      </c>
      <c r="N110" s="516"/>
      <c r="O110" s="516" t="s">
        <v>191</v>
      </c>
      <c r="P110" s="516" t="s">
        <v>192</v>
      </c>
      <c r="Q110" s="516" t="s">
        <v>80</v>
      </c>
      <c r="R110" s="516" t="s">
        <v>234</v>
      </c>
      <c r="S110" s="516"/>
      <c r="T110" s="526" t="s">
        <v>235</v>
      </c>
      <c r="U110" s="516">
        <v>4</v>
      </c>
      <c r="V110" s="516"/>
      <c r="W110" s="516"/>
      <c r="X110" s="516"/>
      <c r="Y110" s="516"/>
      <c r="Z110" s="516"/>
      <c r="AA110" s="516"/>
      <c r="AB110" s="516"/>
      <c r="AC110" s="516"/>
      <c r="AD110" s="516"/>
      <c r="AE110" s="514">
        <f>IFERROR(IF(Хронология[[#This Row],[Забой, м]]-V109&lt;0, 0, Хронология[[#This Row],[Забой, м]]-V109), 0)</f>
        <v>0</v>
      </c>
      <c r="AF110" s="521">
        <f t="shared" si="1"/>
        <v>46168.999999999942</v>
      </c>
      <c r="AG110" s="521">
        <f>Хронология[[#This Row],[Начало]]+Хронология[[#This Row],[Сутки]]</f>
        <v>46169.166666666606</v>
      </c>
      <c r="AH110" s="522">
        <f>Хронология[[#This Row],[Часы]]/24</f>
        <v>0.16666666666666666</v>
      </c>
      <c r="AI110" s="522">
        <f>IFERROR(Хронология[[#This Row],[Сутки]]+AI109, Хронология[[#This Row],[Сутки]])</f>
        <v>24.333333333333325</v>
      </c>
      <c r="AJ110"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НПВ</v>
      </c>
      <c r="AK110"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v>
      </c>
      <c r="AL110"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v>
      </c>
      <c r="AM110" s="527">
        <f>IF(Хронология[[#This Row],[Результат]]="НПВ", Хронология[[#This Row],[Часы]], 0)</f>
        <v>4</v>
      </c>
      <c r="AN110" s="518">
        <f>SUMIFS(Хронология[НПВ], Хронология[Скважина], Хронология[[#This Row],[Скважина]], Хронология[Начало], "&lt;=" &amp; Хронология[[#This Row],[Начало]])</f>
        <v>27.5</v>
      </c>
      <c r="AO110" s="518">
        <f>SUMIFS(Хронология[ПНВ], Хронология[Скважина], Хронология[[#This Row],[Скважина]], Хронология[Начало], "&lt;=" &amp; Хронология[[#This Row],[Начало]])</f>
        <v>11.149999999999999</v>
      </c>
      <c r="AP110" s="523">
        <f>INT(ROUND(Хронология[[#This Row],[Начало]], 3))</f>
        <v>46169</v>
      </c>
      <c r="AQ110" s="524">
        <f>Хронология[[#This Row],[Начало]]-INT(Хронология[[#This Row],[Начало]])</f>
        <v>0.99999999994179234</v>
      </c>
      <c r="AR110" s="523">
        <f>INT(ROUND(Хронология[[#This Row],[Окончание]], 3))</f>
        <v>46169</v>
      </c>
      <c r="AS110" s="524">
        <f>Хронология[[#This Row],[Окончание]]-INT(Хронология[[#This Row],[Окончание]])</f>
        <v>0.16666666660603369</v>
      </c>
      <c r="AT110" s="524" t="str">
        <f>Хронология[[#This Row],[Мастер]] &amp; CHAR(10) &amp; Хронология[[#This Row],[Помощник мастера]] &amp; CHAR(10) &amp; Хронология[[#This Row],[Бурильщик]]</f>
        <v>Епифанов Д.Б.
Жангазиев С.К.</v>
      </c>
      <c r="AU110"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851 ОК– КРС Орг_простой  Ожидание Техника </v>
      </c>
      <c r="AV110" s="518" t="str">
        <f>Хронология[[#This Row],[Результат]]&amp;":  "&amp;Хронология[[#This Row],[Событие]]&amp; CHAR(10) &amp;Хронология[[#This Row],[Вид работ]]&amp;"  "&amp;Хронология[[#This Row],[Объект работ]]</f>
        <v>НПВ:  
Ожидание  Техника</v>
      </c>
      <c r="AW110" s="598">
        <f>SUMIF($AU$2:AU151, Хронология[[#This Row],[Ключ]], $AH$2:AH151)</f>
        <v>0.16666666666666666</v>
      </c>
      <c r="AX110" s="516" t="str">
        <f>Хронология[[#This Row],[Вид работ]] &amp; " " &amp; Хронология[[#This Row],[Объект работ]]</f>
        <v>Ожидание Техника</v>
      </c>
    </row>
    <row r="111" spans="1:50" ht="69" customHeight="1">
      <c r="A111" s="540" t="s">
        <v>50</v>
      </c>
      <c r="B111" s="541" t="s">
        <v>51</v>
      </c>
      <c r="C111" s="541" t="s">
        <v>52</v>
      </c>
      <c r="D111" s="542">
        <v>1</v>
      </c>
      <c r="E111" s="517">
        <v>851</v>
      </c>
      <c r="F111" s="515" t="s">
        <v>207</v>
      </c>
      <c r="G111" s="517"/>
      <c r="H111" s="517" t="s">
        <v>55</v>
      </c>
      <c r="I111" s="518"/>
      <c r="J111" s="517"/>
      <c r="K111" s="515"/>
      <c r="L111" s="516" t="s">
        <v>51</v>
      </c>
      <c r="M111" s="516" t="s">
        <v>58</v>
      </c>
      <c r="N111" s="516"/>
      <c r="O111" s="516" t="s">
        <v>142</v>
      </c>
      <c r="P111" s="516" t="s">
        <v>142</v>
      </c>
      <c r="Q111" s="516" t="s">
        <v>86</v>
      </c>
      <c r="R111" s="516" t="s">
        <v>161</v>
      </c>
      <c r="S111" s="516"/>
      <c r="T111" s="526" t="s">
        <v>236</v>
      </c>
      <c r="U111" s="516">
        <v>6</v>
      </c>
      <c r="V111" s="516"/>
      <c r="W111" s="516"/>
      <c r="X111" s="516"/>
      <c r="Y111" s="516"/>
      <c r="Z111" s="516"/>
      <c r="AA111" s="516"/>
      <c r="AB111" s="516"/>
      <c r="AC111" s="516"/>
      <c r="AD111" s="516"/>
      <c r="AE111" s="514">
        <f>IFERROR(IF(Хронология[[#This Row],[Забой, м]]-V110&lt;0, 0, Хронология[[#This Row],[Забой, м]]-V110), 0)</f>
        <v>0</v>
      </c>
      <c r="AF111" s="521">
        <f t="shared" si="1"/>
        <v>46169.166666666606</v>
      </c>
      <c r="AG111" s="521">
        <f>Хронология[[#This Row],[Начало]]+Хронология[[#This Row],[Сутки]]</f>
        <v>46169.416666666606</v>
      </c>
      <c r="AH111" s="522">
        <f>Хронология[[#This Row],[Часы]]/24</f>
        <v>0.25</v>
      </c>
      <c r="AI111" s="522">
        <f>IFERROR(Хронология[[#This Row],[Сутки]]+AI110, Хронология[[#This Row],[Сутки]])</f>
        <v>24.583333333333325</v>
      </c>
      <c r="AJ111"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НПВ</v>
      </c>
      <c r="AK111"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v>
      </c>
      <c r="AL111"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v>
      </c>
      <c r="AM111" s="527">
        <f>IF(Хронология[[#This Row],[Результат]]="НПВ", Хронология[[#This Row],[Часы]], 0)</f>
        <v>6</v>
      </c>
      <c r="AN111" s="518">
        <f>SUMIFS(Хронология[НПВ], Хронология[Скважина], Хронология[[#This Row],[Скважина]], Хронология[Начало], "&lt;=" &amp; Хронология[[#This Row],[Начало]])</f>
        <v>33.5</v>
      </c>
      <c r="AO111" s="518">
        <f>SUMIFS(Хронология[ПНВ], Хронология[Скважина], Хронология[[#This Row],[Скважина]], Хронология[Начало], "&lt;=" &amp; Хронология[[#This Row],[Начало]])</f>
        <v>11.149999999999999</v>
      </c>
      <c r="AP111" s="523">
        <f>INT(ROUND(Хронология[[#This Row],[Начало]], 3))</f>
        <v>46169</v>
      </c>
      <c r="AQ111" s="524">
        <f>Хронология[[#This Row],[Начало]]-INT(Хронология[[#This Row],[Начало]])</f>
        <v>0.16666666660603369</v>
      </c>
      <c r="AR111" s="523">
        <f>INT(ROUND(Хронология[[#This Row],[Окончание]], 3))</f>
        <v>46169</v>
      </c>
      <c r="AS111" s="524">
        <f>Хронология[[#This Row],[Окончание]]-INT(Хронология[[#This Row],[Окончание]])</f>
        <v>0.41666666660603369</v>
      </c>
      <c r="AT111" s="524" t="str">
        <f>Хронология[[#This Row],[Мастер]] &amp; CHAR(10) &amp; Хронология[[#This Row],[Помощник мастера]] &amp; CHAR(10) &amp; Хронология[[#This Row],[Бурильщик]]</f>
        <v>Епифанов Д.Б.
Жангазиев С.К.</v>
      </c>
      <c r="AU111"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851 ОК– КРС Ремонт ПВО </v>
      </c>
      <c r="AV111" s="518" t="str">
        <f>Хронология[[#This Row],[Результат]]&amp;":  "&amp;Хронология[[#This Row],[Событие]]&amp; CHAR(10) &amp;Хронология[[#This Row],[Вид работ]]&amp;"  "&amp;Хронология[[#This Row],[Объект работ]]</f>
        <v>НПВ:  
Ремонт  ПВО</v>
      </c>
      <c r="AW111" s="598">
        <f>SUMIF($AU$2:AU152, Хронология[[#This Row],[Ключ]], $AH$2:AH152)</f>
        <v>0.25</v>
      </c>
      <c r="AX111" s="516" t="str">
        <f>Хронология[[#This Row],[Вид работ]] &amp; " " &amp; Хронология[[#This Row],[Объект работ]]</f>
        <v>Ремонт ПВО</v>
      </c>
    </row>
    <row r="112" spans="1:50" ht="69" customHeight="1">
      <c r="A112" s="540" t="s">
        <v>50</v>
      </c>
      <c r="B112" s="541" t="s">
        <v>51</v>
      </c>
      <c r="C112" s="541" t="s">
        <v>52</v>
      </c>
      <c r="D112" s="542">
        <v>1</v>
      </c>
      <c r="E112" s="517">
        <v>851</v>
      </c>
      <c r="F112" s="515" t="s">
        <v>183</v>
      </c>
      <c r="G112" s="517"/>
      <c r="H112" s="517" t="s">
        <v>203</v>
      </c>
      <c r="I112" s="518"/>
      <c r="J112" s="517"/>
      <c r="K112" s="515"/>
      <c r="L112" s="516" t="s">
        <v>51</v>
      </c>
      <c r="M112" s="516" t="s">
        <v>58</v>
      </c>
      <c r="N112" s="516"/>
      <c r="O112" s="516" t="s">
        <v>142</v>
      </c>
      <c r="P112" s="516" t="s">
        <v>143</v>
      </c>
      <c r="Q112" s="516" t="s">
        <v>86</v>
      </c>
      <c r="R112" s="516" t="s">
        <v>144</v>
      </c>
      <c r="S112" s="516"/>
      <c r="T112" s="526" t="s">
        <v>237</v>
      </c>
      <c r="U112" s="516">
        <v>6</v>
      </c>
      <c r="V112" s="516"/>
      <c r="W112" s="516"/>
      <c r="X112" s="516"/>
      <c r="Y112" s="516"/>
      <c r="Z112" s="516"/>
      <c r="AA112" s="516"/>
      <c r="AB112" s="516"/>
      <c r="AC112" s="516"/>
      <c r="AD112" s="516"/>
      <c r="AE112" s="514">
        <f>IFERROR(IF(Хронология[[#This Row],[Забой, м]]-V111&lt;0, 0, Хронология[[#This Row],[Забой, м]]-V111), 0)</f>
        <v>0</v>
      </c>
      <c r="AF112" s="521">
        <f t="shared" si="1"/>
        <v>46169.416666666606</v>
      </c>
      <c r="AG112" s="521">
        <f>Хронология[[#This Row],[Начало]]+Хронология[[#This Row],[Сутки]]</f>
        <v>46169.666666666606</v>
      </c>
      <c r="AH112" s="522">
        <f>Хронология[[#This Row],[Часы]]/24</f>
        <v>0.25</v>
      </c>
      <c r="AI112" s="522">
        <f>IFERROR(Хронология[[#This Row],[Сутки]]+AI111, Хронология[[#This Row],[Сутки]])</f>
        <v>24.833333333333325</v>
      </c>
      <c r="AJ112"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ПНВ</v>
      </c>
      <c r="AK112"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2.41</v>
      </c>
      <c r="AL112"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3.59</v>
      </c>
      <c r="AM112" s="527">
        <f>IF(Хронология[[#This Row],[Результат]]="НПВ", Хронология[[#This Row],[Часы]], 0)</f>
        <v>0</v>
      </c>
      <c r="AN112" s="518">
        <f>SUMIFS(Хронология[НПВ], Хронология[Скважина], Хронология[[#This Row],[Скважина]], Хронология[Начало], "&lt;=" &amp; Хронология[[#This Row],[Начало]])</f>
        <v>33.5</v>
      </c>
      <c r="AO112" s="518">
        <f>SUMIFS(Хронология[ПНВ], Хронология[Скважина], Хронология[[#This Row],[Скважина]], Хронология[Начало], "&lt;=" &amp; Хронология[[#This Row],[Начало]])</f>
        <v>14.739999999999998</v>
      </c>
      <c r="AP112" s="523">
        <f>INT(ROUND(Хронология[[#This Row],[Начало]], 3))</f>
        <v>46169</v>
      </c>
      <c r="AQ112" s="524">
        <f>Хронология[[#This Row],[Начало]]-INT(Хронология[[#This Row],[Начало]])</f>
        <v>0.41666666660603369</v>
      </c>
      <c r="AR112" s="523">
        <f>INT(ROUND(Хронология[[#This Row],[Окончание]], 3))</f>
        <v>46169</v>
      </c>
      <c r="AS112" s="524">
        <f>Хронология[[#This Row],[Окончание]]-INT(Хронология[[#This Row],[Окончание]])</f>
        <v>0.66666666660603369</v>
      </c>
      <c r="AT112" s="524" t="str">
        <f>Хронология[[#This Row],[Мастер]] &amp; CHAR(10) &amp; Хронология[[#This Row],[Помощник мастера]] &amp; CHAR(10) &amp; Хронология[[#This Row],[Бурильщик]]</f>
        <v>Тарасов А.С.
Штыкин А.А.</v>
      </c>
      <c r="AU112"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851 ОК– КРС Замена Запорная арматура </v>
      </c>
      <c r="AV112" s="518" t="str">
        <f>Хронология[[#This Row],[Результат]]&amp;":  "&amp;Хронология[[#This Row],[Событие]]&amp; CHAR(10) &amp;Хронология[[#This Row],[Вид работ]]&amp;"  "&amp;Хронология[[#This Row],[Объект работ]]</f>
        <v>ПНВ:  
Замена  Запорная арматура</v>
      </c>
      <c r="AW112" s="598">
        <f>SUMIF($AU$2:AU153, Хронология[[#This Row],[Ключ]], $AH$2:AH153)</f>
        <v>0.25</v>
      </c>
      <c r="AX112" s="516" t="str">
        <f>Хронология[[#This Row],[Вид работ]] &amp; " " &amp; Хронология[[#This Row],[Объект работ]]</f>
        <v>Замена Запорная арматура</v>
      </c>
    </row>
    <row r="113" spans="1:50" ht="69" customHeight="1">
      <c r="A113" s="540" t="s">
        <v>50</v>
      </c>
      <c r="B113" s="541" t="s">
        <v>51</v>
      </c>
      <c r="C113" s="541" t="s">
        <v>52</v>
      </c>
      <c r="D113" s="542">
        <v>1</v>
      </c>
      <c r="E113" s="517">
        <v>851</v>
      </c>
      <c r="F113" s="515" t="s">
        <v>183</v>
      </c>
      <c r="G113" s="517"/>
      <c r="H113" s="517" t="s">
        <v>203</v>
      </c>
      <c r="I113" s="518"/>
      <c r="J113" s="517"/>
      <c r="K113" s="515"/>
      <c r="L113" s="516" t="s">
        <v>51</v>
      </c>
      <c r="M113" s="516" t="s">
        <v>58</v>
      </c>
      <c r="N113" s="516"/>
      <c r="O113" s="516" t="s">
        <v>169</v>
      </c>
      <c r="P113" s="516" t="s">
        <v>175</v>
      </c>
      <c r="Q113" s="516" t="s">
        <v>167</v>
      </c>
      <c r="R113" s="516" t="s">
        <v>4</v>
      </c>
      <c r="S113" s="516"/>
      <c r="T113" s="526" t="s">
        <v>238</v>
      </c>
      <c r="U113" s="516">
        <v>4</v>
      </c>
      <c r="V113" s="516"/>
      <c r="W113" s="516"/>
      <c r="X113" s="516"/>
      <c r="Y113" s="516"/>
      <c r="Z113" s="516"/>
      <c r="AA113" s="516"/>
      <c r="AB113" s="516"/>
      <c r="AC113" s="516"/>
      <c r="AD113" s="516"/>
      <c r="AE113" s="514">
        <f>IFERROR(IF(Хронология[[#This Row],[Забой, м]]-V112&lt;0, 0, Хронология[[#This Row],[Забой, м]]-V112), 0)</f>
        <v>0</v>
      </c>
      <c r="AF113" s="521">
        <f t="shared" si="1"/>
        <v>46169.666666666606</v>
      </c>
      <c r="AG113" s="521">
        <f>Хронология[[#This Row],[Начало]]+Хронология[[#This Row],[Сутки]]</f>
        <v>46169.83333333327</v>
      </c>
      <c r="AH113" s="522">
        <f>Хронология[[#This Row],[Часы]]/24</f>
        <v>0.16666666666666666</v>
      </c>
      <c r="AI113" s="522">
        <f>IFERROR(Хронология[[#This Row],[Сутки]]+AI112, Хронология[[#This Row],[Сутки]])</f>
        <v>24.999999999999993</v>
      </c>
      <c r="AJ113"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ПНВ</v>
      </c>
      <c r="AK113"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1.7800000000000002</v>
      </c>
      <c r="AL113"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2.2199999999999998</v>
      </c>
      <c r="AM113" s="527">
        <f>IF(Хронология[[#This Row],[Результат]]="НПВ", Хронология[[#This Row],[Часы]], 0)</f>
        <v>0</v>
      </c>
      <c r="AN113" s="518">
        <f>SUMIFS(Хронология[НПВ], Хронология[Скважина], Хронология[[#This Row],[Скважина]], Хронология[Начало], "&lt;=" &amp; Хронология[[#This Row],[Начало]])</f>
        <v>33.5</v>
      </c>
      <c r="AO113" s="518">
        <f>SUMIFS(Хронология[ПНВ], Хронология[Скважина], Хронология[[#This Row],[Скважина]], Хронология[Начало], "&lt;=" &amp; Хронология[[#This Row],[Начало]])</f>
        <v>16.959999999999997</v>
      </c>
      <c r="AP113" s="523">
        <f>INT(ROUND(Хронология[[#This Row],[Начало]], 3))</f>
        <v>46169</v>
      </c>
      <c r="AQ113" s="524">
        <f>Хронология[[#This Row],[Начало]]-INT(Хронология[[#This Row],[Начало]])</f>
        <v>0.66666666660603369</v>
      </c>
      <c r="AR113" s="523">
        <f>INT(ROUND(Хронология[[#This Row],[Окончание]], 3))</f>
        <v>46169</v>
      </c>
      <c r="AS113" s="524">
        <f>Хронология[[#This Row],[Окончание]]-INT(Хронология[[#This Row],[Окончание]])</f>
        <v>0.83333333327027503</v>
      </c>
      <c r="AT113" s="524" t="str">
        <f>Хронология[[#This Row],[Мастер]] &amp; CHAR(10) &amp; Хронология[[#This Row],[Помощник мастера]] &amp; CHAR(10) &amp; Хронология[[#This Row],[Бурильщик]]</f>
        <v>Тарасов А.С.
Штыкин А.А.</v>
      </c>
      <c r="AU113"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851 ОК– КРС Обратная промывка Скважина </v>
      </c>
      <c r="AV113" s="518" t="str">
        <f>Хронология[[#This Row],[Результат]]&amp;":  "&amp;Хронология[[#This Row],[Событие]]&amp; CHAR(10) &amp;Хронология[[#This Row],[Вид работ]]&amp;"  "&amp;Хронология[[#This Row],[Объект работ]]</f>
        <v>ПНВ:  
Обратная промывка  Скважина</v>
      </c>
      <c r="AW113" s="598">
        <f>SUMIF($AU$2:AU154, Хронология[[#This Row],[Ключ]], $AH$2:AH154)</f>
        <v>0.16666666666666666</v>
      </c>
      <c r="AX113" s="516" t="str">
        <f>Хронология[[#This Row],[Вид работ]] &amp; " " &amp; Хронология[[#This Row],[Объект работ]]</f>
        <v>Обратная промывка Скважина</v>
      </c>
    </row>
    <row r="114" spans="1:50" ht="69" customHeight="1">
      <c r="A114" s="540" t="s">
        <v>50</v>
      </c>
      <c r="B114" s="541" t="s">
        <v>51</v>
      </c>
      <c r="C114" s="541" t="s">
        <v>52</v>
      </c>
      <c r="D114" s="542">
        <v>1</v>
      </c>
      <c r="E114" s="517">
        <v>851</v>
      </c>
      <c r="F114" s="515" t="s">
        <v>183</v>
      </c>
      <c r="G114" s="517"/>
      <c r="H114" s="517" t="s">
        <v>203</v>
      </c>
      <c r="I114" s="518"/>
      <c r="J114" s="517"/>
      <c r="K114" s="515"/>
      <c r="L114" s="516" t="s">
        <v>51</v>
      </c>
      <c r="M114" s="516" t="s">
        <v>58</v>
      </c>
      <c r="N114" s="516"/>
      <c r="O114" s="516" t="s">
        <v>90</v>
      </c>
      <c r="P114" s="516" t="s">
        <v>91</v>
      </c>
      <c r="Q114" s="516" t="s">
        <v>92</v>
      </c>
      <c r="R114" s="516" t="s">
        <v>93</v>
      </c>
      <c r="S114" s="516"/>
      <c r="T114" s="526" t="s">
        <v>239</v>
      </c>
      <c r="U114" s="516">
        <v>4</v>
      </c>
      <c r="V114" s="516"/>
      <c r="W114" s="516"/>
      <c r="X114" s="516"/>
      <c r="Y114" s="516"/>
      <c r="Z114" s="516"/>
      <c r="AA114" s="516"/>
      <c r="AB114" s="516"/>
      <c r="AC114" s="516"/>
      <c r="AD114" s="516"/>
      <c r="AE114" s="514">
        <f>IFERROR(IF(Хронология[[#This Row],[Забой, м]]-V113&lt;0, 0, Хронология[[#This Row],[Забой, м]]-V113), 0)</f>
        <v>0</v>
      </c>
      <c r="AF114" s="521">
        <f t="shared" si="1"/>
        <v>46169.83333333327</v>
      </c>
      <c r="AG114" s="521">
        <f>Хронология[[#This Row],[Начало]]+Хронология[[#This Row],[Сутки]]</f>
        <v>46169.999999999935</v>
      </c>
      <c r="AH114" s="522">
        <f>Хронология[[#This Row],[Часы]]/24</f>
        <v>0.16666666666666666</v>
      </c>
      <c r="AI114" s="522">
        <f>IFERROR(Хронология[[#This Row],[Сутки]]+AI113, Хронология[[#This Row],[Сутки]])</f>
        <v>25.166666666666661</v>
      </c>
      <c r="AJ114"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ПНВ</v>
      </c>
      <c r="AK114"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4</v>
      </c>
      <c r="AL114"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v>
      </c>
      <c r="AM114" s="527">
        <f>IF(Хронология[[#This Row],[Результат]]="НПВ", Хронология[[#This Row],[Часы]], 0)</f>
        <v>0</v>
      </c>
      <c r="AN114" s="518">
        <f>SUMIFS(Хронология[НПВ], Хронология[Скважина], Хронология[[#This Row],[Скважина]], Хронология[Начало], "&lt;=" &amp; Хронология[[#This Row],[Начало]])</f>
        <v>33.5</v>
      </c>
      <c r="AO114" s="518">
        <f>SUMIFS(Хронология[ПНВ], Хронология[Скважина], Хронология[[#This Row],[Скважина]], Хронология[Начало], "&lt;=" &amp; Хронология[[#This Row],[Начало]])</f>
        <v>16.959999999999997</v>
      </c>
      <c r="AP114" s="523">
        <f>INT(ROUND(Хронология[[#This Row],[Начало]], 3))</f>
        <v>46169</v>
      </c>
      <c r="AQ114" s="524">
        <f>Хронология[[#This Row],[Начало]]-INT(Хронология[[#This Row],[Начало]])</f>
        <v>0.83333333327027503</v>
      </c>
      <c r="AR114" s="523">
        <f>INT(ROUND(Хронология[[#This Row],[Окончание]], 3))</f>
        <v>46170</v>
      </c>
      <c r="AS114" s="524">
        <f>Хронология[[#This Row],[Окончание]]-INT(Хронология[[#This Row],[Окончание]])</f>
        <v>0.99999999993451638</v>
      </c>
      <c r="AT114" s="524" t="str">
        <f>Хронология[[#This Row],[Мастер]] &amp; CHAR(10) &amp; Хронология[[#This Row],[Помощник мастера]] &amp; CHAR(10) &amp; Хронология[[#This Row],[Бурильщик]]</f>
        <v>Тарасов А.С.
Штыкин А.А.</v>
      </c>
      <c r="AU114"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851 ОК– КРС Подъем УЭЦН </v>
      </c>
      <c r="AV114" s="518" t="str">
        <f>Хронология[[#This Row],[Результат]]&amp;":  "&amp;Хронология[[#This Row],[Событие]]&amp; CHAR(10) &amp;Хронология[[#This Row],[Вид работ]]&amp;"  "&amp;Хронология[[#This Row],[Объект работ]]</f>
        <v>ПНВ:  
Подъем  УЭЦН</v>
      </c>
      <c r="AW114" s="598">
        <f>SUMIF($AU$2:AU155, Хронология[[#This Row],[Ключ]], $AH$2:AH155)</f>
        <v>1.625</v>
      </c>
      <c r="AX114" s="516" t="str">
        <f>Хронология[[#This Row],[Вид работ]] &amp; " " &amp; Хронология[[#This Row],[Объект работ]]</f>
        <v>Подъем УЭЦН</v>
      </c>
    </row>
    <row r="115" spans="1:50" ht="69" customHeight="1">
      <c r="A115" s="540" t="s">
        <v>50</v>
      </c>
      <c r="B115" s="541" t="s">
        <v>51</v>
      </c>
      <c r="C115" s="541" t="s">
        <v>52</v>
      </c>
      <c r="D115" s="542">
        <v>1</v>
      </c>
      <c r="E115" s="517">
        <v>851</v>
      </c>
      <c r="F115" s="515" t="s">
        <v>207</v>
      </c>
      <c r="G115" s="517"/>
      <c r="H115" s="517" t="s">
        <v>55</v>
      </c>
      <c r="I115" s="518"/>
      <c r="J115" s="517"/>
      <c r="K115" s="515"/>
      <c r="L115" s="516" t="s">
        <v>51</v>
      </c>
      <c r="M115" s="516" t="s">
        <v>58</v>
      </c>
      <c r="N115" s="516"/>
      <c r="O115" s="516" t="s">
        <v>90</v>
      </c>
      <c r="P115" s="516" t="s">
        <v>91</v>
      </c>
      <c r="Q115" s="516" t="s">
        <v>92</v>
      </c>
      <c r="R115" s="516" t="s">
        <v>93</v>
      </c>
      <c r="S115" s="516"/>
      <c r="T115" s="526" t="s">
        <v>240</v>
      </c>
      <c r="U115" s="516">
        <v>8</v>
      </c>
      <c r="V115" s="516"/>
      <c r="W115" s="516"/>
      <c r="X115" s="516"/>
      <c r="Y115" s="516"/>
      <c r="Z115" s="516"/>
      <c r="AA115" s="516"/>
      <c r="AB115" s="516"/>
      <c r="AC115" s="516"/>
      <c r="AD115" s="516"/>
      <c r="AE115" s="514">
        <f>IFERROR(IF(Хронология[[#This Row],[Забой, м]]-V114&lt;0, 0, Хронология[[#This Row],[Забой, м]]-V114), 0)</f>
        <v>0</v>
      </c>
      <c r="AF115" s="521">
        <f t="shared" si="1"/>
        <v>46169.999999999935</v>
      </c>
      <c r="AG115" s="521">
        <f>Хронология[[#This Row],[Начало]]+Хронология[[#This Row],[Сутки]]</f>
        <v>46170.33333333327</v>
      </c>
      <c r="AH115" s="522">
        <f>Хронология[[#This Row],[Часы]]/24</f>
        <v>0.33333333333333331</v>
      </c>
      <c r="AI115" s="522">
        <f>IFERROR(Хронология[[#This Row],[Сутки]]+AI114, Хронология[[#This Row],[Сутки]])</f>
        <v>25.499999999999993</v>
      </c>
      <c r="AJ115"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ПНВ</v>
      </c>
      <c r="AK115"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8</v>
      </c>
      <c r="AL115"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v>
      </c>
      <c r="AM115" s="527">
        <f>IF(Хронология[[#This Row],[Результат]]="НПВ", Хронология[[#This Row],[Часы]], 0)</f>
        <v>0</v>
      </c>
      <c r="AN115" s="518">
        <f>SUMIFS(Хронология[НПВ], Хронология[Скважина], Хронология[[#This Row],[Скважина]], Хронология[Начало], "&lt;=" &amp; Хронология[[#This Row],[Начало]])</f>
        <v>33.5</v>
      </c>
      <c r="AO115" s="518">
        <f>SUMIFS(Хронология[ПНВ], Хронология[Скважина], Хронология[[#This Row],[Скважина]], Хронология[Начало], "&lt;=" &amp; Хронология[[#This Row],[Начало]])</f>
        <v>16.959999999999997</v>
      </c>
      <c r="AP115" s="523">
        <f>INT(ROUND(Хронология[[#This Row],[Начало]], 3))</f>
        <v>46170</v>
      </c>
      <c r="AQ115" s="524">
        <f>Хронология[[#This Row],[Начало]]-INT(Хронология[[#This Row],[Начало]])</f>
        <v>0.99999999993451638</v>
      </c>
      <c r="AR115" s="523">
        <f>INT(ROUND(Хронология[[#This Row],[Окончание]], 3))</f>
        <v>46170</v>
      </c>
      <c r="AS115" s="524">
        <f>Хронология[[#This Row],[Окончание]]-INT(Хронология[[#This Row],[Окончание]])</f>
        <v>0.33333333327027503</v>
      </c>
      <c r="AT115" s="524" t="str">
        <f>Хронология[[#This Row],[Мастер]] &amp; CHAR(10) &amp; Хронология[[#This Row],[Помощник мастера]] &amp; CHAR(10) &amp; Хронология[[#This Row],[Бурильщик]]</f>
        <v>Епифанов Д.Б.
Жангазиев С.К.</v>
      </c>
      <c r="AU115"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851 ОК– КРС Подъем УЭЦН </v>
      </c>
      <c r="AV115" s="518" t="str">
        <f>Хронология[[#This Row],[Результат]]&amp;":  "&amp;Хронология[[#This Row],[Событие]]&amp; CHAR(10) &amp;Хронология[[#This Row],[Вид работ]]&amp;"  "&amp;Хронология[[#This Row],[Объект работ]]</f>
        <v>ПНВ:  
Подъем  УЭЦН</v>
      </c>
      <c r="AW115" s="598">
        <f>SUMIF($AU$2:AU156, Хронология[[#This Row],[Ключ]], $AH$2:AH156)</f>
        <v>1.625</v>
      </c>
      <c r="AX115" s="516" t="str">
        <f>Хронология[[#This Row],[Вид работ]] &amp; " " &amp; Хронология[[#This Row],[Объект работ]]</f>
        <v>Подъем УЭЦН</v>
      </c>
    </row>
    <row r="116" spans="1:50" ht="69" customHeight="1">
      <c r="A116" s="540" t="s">
        <v>50</v>
      </c>
      <c r="B116" s="541" t="s">
        <v>51</v>
      </c>
      <c r="C116" s="541" t="s">
        <v>52</v>
      </c>
      <c r="D116" s="542">
        <v>1</v>
      </c>
      <c r="E116" s="517">
        <v>851</v>
      </c>
      <c r="F116" s="515" t="s">
        <v>183</v>
      </c>
      <c r="G116" s="517"/>
      <c r="H116" s="517" t="s">
        <v>203</v>
      </c>
      <c r="I116" s="518"/>
      <c r="J116" s="517"/>
      <c r="K116" s="515"/>
      <c r="L116" s="516" t="s">
        <v>51</v>
      </c>
      <c r="M116" s="516" t="s">
        <v>76</v>
      </c>
      <c r="N116" s="516"/>
      <c r="O116" s="516" t="s">
        <v>191</v>
      </c>
      <c r="P116" s="516" t="s">
        <v>192</v>
      </c>
      <c r="Q116" s="516" t="s">
        <v>80</v>
      </c>
      <c r="R116" s="516" t="s">
        <v>193</v>
      </c>
      <c r="S116" s="516"/>
      <c r="T116" s="526" t="s">
        <v>241</v>
      </c>
      <c r="U116" s="516">
        <v>9</v>
      </c>
      <c r="V116" s="516"/>
      <c r="W116" s="516"/>
      <c r="X116" s="516"/>
      <c r="Y116" s="516"/>
      <c r="Z116" s="516"/>
      <c r="AA116" s="516"/>
      <c r="AB116" s="516"/>
      <c r="AC116" s="516"/>
      <c r="AD116" s="516"/>
      <c r="AE116" s="514">
        <f>IFERROR(IF(Хронология[[#This Row],[Забой, м]]-V115&lt;0, 0, Хронология[[#This Row],[Забой, м]]-V115), 0)</f>
        <v>0</v>
      </c>
      <c r="AF116" s="521">
        <f t="shared" si="1"/>
        <v>46170.33333333327</v>
      </c>
      <c r="AG116" s="521">
        <f>Хронология[[#This Row],[Начало]]+Хронология[[#This Row],[Сутки]]</f>
        <v>46170.70833333327</v>
      </c>
      <c r="AH116" s="522">
        <f>Хронология[[#This Row],[Часы]]/24</f>
        <v>0.375</v>
      </c>
      <c r="AI116" s="522">
        <f>IFERROR(Хронология[[#This Row],[Сутки]]+AI115, Хронология[[#This Row],[Сутки]])</f>
        <v>25.874999999999993</v>
      </c>
      <c r="AJ116"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НПВ</v>
      </c>
      <c r="AK116"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v>
      </c>
      <c r="AL116"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v>
      </c>
      <c r="AM116" s="527">
        <f>IF(Хронология[[#This Row],[Результат]]="НПВ", Хронология[[#This Row],[Часы]], 0)</f>
        <v>9</v>
      </c>
      <c r="AN116" s="518">
        <f>SUMIFS(Хронология[НПВ], Хронология[Скважина], Хронология[[#This Row],[Скважина]], Хронология[Начало], "&lt;=" &amp; Хронология[[#This Row],[Начало]])</f>
        <v>42.5</v>
      </c>
      <c r="AO116" s="518">
        <f>SUMIFS(Хронология[ПНВ], Хронология[Скважина], Хронология[[#This Row],[Скважина]], Хронология[Начало], "&lt;=" &amp; Хронология[[#This Row],[Начало]])</f>
        <v>16.959999999999997</v>
      </c>
      <c r="AP116" s="523">
        <f>INT(ROUND(Хронология[[#This Row],[Начало]], 3))</f>
        <v>46170</v>
      </c>
      <c r="AQ116" s="524">
        <f>Хронология[[#This Row],[Начало]]-INT(Хронология[[#This Row],[Начало]])</f>
        <v>0.33333333327027503</v>
      </c>
      <c r="AR116" s="523">
        <f>INT(ROUND(Хронология[[#This Row],[Окончание]], 3))</f>
        <v>46170</v>
      </c>
      <c r="AS116" s="524">
        <f>Хронология[[#This Row],[Окончание]]-INT(Хронология[[#This Row],[Окончание]])</f>
        <v>0.70833333327027503</v>
      </c>
      <c r="AT116" s="524" t="str">
        <f>Хронология[[#This Row],[Мастер]] &amp; CHAR(10) &amp; Хронология[[#This Row],[Помощник мастера]] &amp; CHAR(10) &amp; Хронология[[#This Row],[Бурильщик]]</f>
        <v>Тарасов А.С.
Штыкин А.А.</v>
      </c>
      <c r="AU116"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851 ОК– КРС Орг_простой  Ожидание Персонал </v>
      </c>
      <c r="AV116" s="518" t="str">
        <f>Хронология[[#This Row],[Результат]]&amp;":  "&amp;Хронология[[#This Row],[Событие]]&amp; CHAR(10) &amp;Хронология[[#This Row],[Вид работ]]&amp;"  "&amp;Хронология[[#This Row],[Объект работ]]</f>
        <v>НПВ:  
Ожидание  Персонал</v>
      </c>
      <c r="AW116" s="598">
        <f>SUMIF($AU$2:AU157, Хронология[[#This Row],[Ключ]], $AH$2:AH157)</f>
        <v>0.875</v>
      </c>
      <c r="AX116" s="516" t="str">
        <f>Хронология[[#This Row],[Вид работ]] &amp; " " &amp; Хронология[[#This Row],[Объект работ]]</f>
        <v>Ожидание Персонал</v>
      </c>
    </row>
    <row r="117" spans="1:50" ht="69" customHeight="1">
      <c r="A117" s="540" t="s">
        <v>50</v>
      </c>
      <c r="B117" s="541" t="s">
        <v>51</v>
      </c>
      <c r="C117" s="541" t="s">
        <v>52</v>
      </c>
      <c r="D117" s="542">
        <v>1</v>
      </c>
      <c r="E117" s="517">
        <v>851</v>
      </c>
      <c r="F117" s="515" t="s">
        <v>183</v>
      </c>
      <c r="G117" s="517"/>
      <c r="H117" s="517" t="s">
        <v>203</v>
      </c>
      <c r="I117" s="518"/>
      <c r="J117" s="517"/>
      <c r="K117" s="515"/>
      <c r="L117" s="516" t="s">
        <v>51</v>
      </c>
      <c r="M117" s="516" t="s">
        <v>58</v>
      </c>
      <c r="N117" s="516"/>
      <c r="O117" s="516" t="s">
        <v>90</v>
      </c>
      <c r="P117" s="516" t="s">
        <v>91</v>
      </c>
      <c r="Q117" s="516" t="s">
        <v>92</v>
      </c>
      <c r="R117" s="516" t="s">
        <v>93</v>
      </c>
      <c r="S117" s="516"/>
      <c r="T117" s="526" t="s">
        <v>242</v>
      </c>
      <c r="U117" s="516">
        <v>7</v>
      </c>
      <c r="V117" s="516"/>
      <c r="W117" s="516"/>
      <c r="X117" s="516"/>
      <c r="Y117" s="516"/>
      <c r="Z117" s="516"/>
      <c r="AA117" s="516"/>
      <c r="AB117" s="516"/>
      <c r="AC117" s="516"/>
      <c r="AD117" s="516"/>
      <c r="AE117" s="514">
        <f>IFERROR(IF(Хронология[[#This Row],[Забой, м]]-V116&lt;0, 0, Хронология[[#This Row],[Забой, м]]-V116), 0)</f>
        <v>0</v>
      </c>
      <c r="AF117" s="521">
        <f t="shared" si="1"/>
        <v>46170.70833333327</v>
      </c>
      <c r="AG117" s="521">
        <f>Хронология[[#This Row],[Начало]]+Хронология[[#This Row],[Сутки]]</f>
        <v>46170.999999999935</v>
      </c>
      <c r="AH117" s="522">
        <f>Хронология[[#This Row],[Часы]]/24</f>
        <v>0.29166666666666669</v>
      </c>
      <c r="AI117" s="522">
        <f>IFERROR(Хронология[[#This Row],[Сутки]]+AI116, Хронология[[#This Row],[Сутки]])</f>
        <v>26.166666666666661</v>
      </c>
      <c r="AJ117"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ПНВ</v>
      </c>
      <c r="AK117"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7</v>
      </c>
      <c r="AL117"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v>
      </c>
      <c r="AM117" s="527">
        <f>IF(Хронология[[#This Row],[Результат]]="НПВ", Хронология[[#This Row],[Часы]], 0)</f>
        <v>0</v>
      </c>
      <c r="AN117" s="518">
        <f>SUMIFS(Хронология[НПВ], Хронология[Скважина], Хронология[[#This Row],[Скважина]], Хронология[Начало], "&lt;=" &amp; Хронология[[#This Row],[Начало]])</f>
        <v>42.5</v>
      </c>
      <c r="AO117" s="518">
        <f>SUMIFS(Хронология[ПНВ], Хронология[Скважина], Хронология[[#This Row],[Скважина]], Хронология[Начало], "&lt;=" &amp; Хронология[[#This Row],[Начало]])</f>
        <v>16.959999999999997</v>
      </c>
      <c r="AP117" s="523">
        <f>INT(ROUND(Хронология[[#This Row],[Начало]], 3))</f>
        <v>46170</v>
      </c>
      <c r="AQ117" s="524">
        <f>Хронология[[#This Row],[Начало]]-INT(Хронология[[#This Row],[Начало]])</f>
        <v>0.70833333327027503</v>
      </c>
      <c r="AR117" s="523">
        <f>INT(ROUND(Хронология[[#This Row],[Окончание]], 3))</f>
        <v>46171</v>
      </c>
      <c r="AS117" s="524">
        <f>Хронология[[#This Row],[Окончание]]-INT(Хронология[[#This Row],[Окончание]])</f>
        <v>0.99999999993451638</v>
      </c>
      <c r="AT117" s="524" t="str">
        <f>Хронология[[#This Row],[Мастер]] &amp; CHAR(10) &amp; Хронология[[#This Row],[Помощник мастера]] &amp; CHAR(10) &amp; Хронология[[#This Row],[Бурильщик]]</f>
        <v>Тарасов А.С.
Штыкин А.А.</v>
      </c>
      <c r="AU117"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851 ОК– КРС Подъем УЭЦН </v>
      </c>
      <c r="AV117" s="518" t="str">
        <f>Хронология[[#This Row],[Результат]]&amp;":  "&amp;Хронология[[#This Row],[Событие]]&amp; CHAR(10) &amp;Хронология[[#This Row],[Вид работ]]&amp;"  "&amp;Хронология[[#This Row],[Объект работ]]</f>
        <v>ПНВ:  
Подъем  УЭЦН</v>
      </c>
      <c r="AW117" s="598">
        <f>SUMIF($AU$2:AU158, Хронология[[#This Row],[Ключ]], $AH$2:AH158)</f>
        <v>1.625</v>
      </c>
      <c r="AX117" s="516" t="str">
        <f>Хронология[[#This Row],[Вид работ]] &amp; " " &amp; Хронология[[#This Row],[Объект работ]]</f>
        <v>Подъем УЭЦН</v>
      </c>
    </row>
    <row r="118" spans="1:50" ht="69" customHeight="1">
      <c r="A118" s="540" t="s">
        <v>50</v>
      </c>
      <c r="B118" s="541" t="s">
        <v>51</v>
      </c>
      <c r="C118" s="541" t="s">
        <v>52</v>
      </c>
      <c r="D118" s="542">
        <v>1</v>
      </c>
      <c r="E118" s="517">
        <v>851</v>
      </c>
      <c r="F118" s="515" t="s">
        <v>207</v>
      </c>
      <c r="G118" s="517"/>
      <c r="H118" s="517" t="s">
        <v>55</v>
      </c>
      <c r="I118" s="518"/>
      <c r="J118" s="517"/>
      <c r="K118" s="515"/>
      <c r="L118" s="516" t="s">
        <v>51</v>
      </c>
      <c r="M118" s="516" t="s">
        <v>58</v>
      </c>
      <c r="N118" s="516"/>
      <c r="O118" s="516" t="s">
        <v>90</v>
      </c>
      <c r="P118" s="516" t="s">
        <v>91</v>
      </c>
      <c r="Q118" s="516" t="s">
        <v>92</v>
      </c>
      <c r="R118" s="516" t="s">
        <v>93</v>
      </c>
      <c r="S118" s="516"/>
      <c r="T118" s="526" t="s">
        <v>243</v>
      </c>
      <c r="U118" s="516">
        <v>20</v>
      </c>
      <c r="V118" s="516"/>
      <c r="W118" s="516"/>
      <c r="X118" s="516"/>
      <c r="Y118" s="516"/>
      <c r="Z118" s="516"/>
      <c r="AA118" s="516"/>
      <c r="AB118" s="516"/>
      <c r="AC118" s="516"/>
      <c r="AD118" s="516"/>
      <c r="AE118" s="514">
        <f>IFERROR(IF(Хронология[[#This Row],[Забой, м]]-V117&lt;0, 0, Хронология[[#This Row],[Забой, м]]-V117), 0)</f>
        <v>0</v>
      </c>
      <c r="AF118" s="521">
        <f t="shared" si="1"/>
        <v>46170.999999999935</v>
      </c>
      <c r="AG118" s="521">
        <f>Хронология[[#This Row],[Начало]]+Хронология[[#This Row],[Сутки]]</f>
        <v>46171.83333333327</v>
      </c>
      <c r="AH118" s="522">
        <f>Хронология[[#This Row],[Часы]]/24</f>
        <v>0.83333333333333337</v>
      </c>
      <c r="AI118" s="522">
        <f>IFERROR(Хронология[[#This Row],[Сутки]]+AI117, Хронология[[#This Row],[Сутки]])</f>
        <v>26.999999999999993</v>
      </c>
      <c r="AJ118"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ПНВ</v>
      </c>
      <c r="AK118"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4.4499999999999993</v>
      </c>
      <c r="AL118"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15.55</v>
      </c>
      <c r="AM118" s="527">
        <f>IF(Хронология[[#This Row],[Результат]]="НПВ", Хронология[[#This Row],[Часы]], 0)</f>
        <v>0</v>
      </c>
      <c r="AN118" s="518">
        <f>SUMIFS(Хронология[НПВ], Хронология[Скважина], Хронология[[#This Row],[Скважина]], Хронология[Начало], "&lt;=" &amp; Хронология[[#This Row],[Начало]])</f>
        <v>42.5</v>
      </c>
      <c r="AO118" s="518">
        <f>SUMIFS(Хронология[ПНВ], Хронология[Скважина], Хронология[[#This Row],[Скважина]], Хронология[Начало], "&lt;=" &amp; Хронология[[#This Row],[Начало]])</f>
        <v>32.51</v>
      </c>
      <c r="AP118" s="523">
        <f>INT(ROUND(Хронология[[#This Row],[Начало]], 3))</f>
        <v>46171</v>
      </c>
      <c r="AQ118" s="524">
        <f>Хронология[[#This Row],[Начало]]-INT(Хронология[[#This Row],[Начало]])</f>
        <v>0.99999999993451638</v>
      </c>
      <c r="AR118" s="523">
        <f>INT(ROUND(Хронология[[#This Row],[Окончание]], 3))</f>
        <v>46171</v>
      </c>
      <c r="AS118" s="524">
        <f>Хронология[[#This Row],[Окончание]]-INT(Хронология[[#This Row],[Окончание]])</f>
        <v>0.83333333327027503</v>
      </c>
      <c r="AT118" s="524" t="str">
        <f>Хронология[[#This Row],[Мастер]] &amp; CHAR(10) &amp; Хронология[[#This Row],[Помощник мастера]] &amp; CHAR(10) &amp; Хронология[[#This Row],[Бурильщик]]</f>
        <v>Епифанов Д.Б.
Жангазиев С.К.</v>
      </c>
      <c r="AU118"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851 ОК– КРС Подъем УЭЦН </v>
      </c>
      <c r="AV118" s="518" t="str">
        <f>Хронология[[#This Row],[Результат]]&amp;":  "&amp;Хронология[[#This Row],[Событие]]&amp; CHAR(10) &amp;Хронология[[#This Row],[Вид работ]]&amp;"  "&amp;Хронология[[#This Row],[Объект работ]]</f>
        <v>ПНВ:  
Подъем  УЭЦН</v>
      </c>
      <c r="AW118" s="598">
        <f>SUMIF($AU$2:AU159, Хронология[[#This Row],[Ключ]], $AH$2:AH159)</f>
        <v>1.625</v>
      </c>
      <c r="AX118" s="516" t="str">
        <f>Хронология[[#This Row],[Вид работ]] &amp; " " &amp; Хронология[[#This Row],[Объект работ]]</f>
        <v>Подъем УЭЦН</v>
      </c>
    </row>
    <row r="119" spans="1:50" ht="69" customHeight="1">
      <c r="A119" s="540" t="s">
        <v>50</v>
      </c>
      <c r="B119" s="541" t="s">
        <v>51</v>
      </c>
      <c r="C119" s="541" t="s">
        <v>52</v>
      </c>
      <c r="D119" s="542">
        <v>1</v>
      </c>
      <c r="E119" s="517">
        <v>851</v>
      </c>
      <c r="F119" s="515" t="s">
        <v>183</v>
      </c>
      <c r="G119" s="517"/>
      <c r="H119" s="517" t="s">
        <v>203</v>
      </c>
      <c r="I119" s="518"/>
      <c r="J119" s="517"/>
      <c r="K119" s="515"/>
      <c r="L119" s="516" t="s">
        <v>51</v>
      </c>
      <c r="M119" s="516" t="s">
        <v>58</v>
      </c>
      <c r="N119" s="516"/>
      <c r="O119" s="516" t="s">
        <v>95</v>
      </c>
      <c r="P119" s="516" t="s">
        <v>96</v>
      </c>
      <c r="Q119" s="516" t="s">
        <v>92</v>
      </c>
      <c r="R119" s="516" t="s">
        <v>93</v>
      </c>
      <c r="S119" s="516"/>
      <c r="T119" s="526" t="s">
        <v>244</v>
      </c>
      <c r="U119" s="516">
        <v>2.5</v>
      </c>
      <c r="V119" s="516"/>
      <c r="W119" s="516"/>
      <c r="X119" s="516"/>
      <c r="Y119" s="516"/>
      <c r="Z119" s="516"/>
      <c r="AA119" s="516"/>
      <c r="AB119" s="516"/>
      <c r="AC119" s="516"/>
      <c r="AD119" s="516"/>
      <c r="AE119" s="514">
        <f>IFERROR(IF(Хронология[[#This Row],[Забой, м]]-V118&lt;0, 0, Хронология[[#This Row],[Забой, м]]-V118), 0)</f>
        <v>0</v>
      </c>
      <c r="AF119" s="521">
        <f t="shared" si="1"/>
        <v>46171.83333333327</v>
      </c>
      <c r="AG119" s="521">
        <f>Хронология[[#This Row],[Начало]]+Хронология[[#This Row],[Сутки]]</f>
        <v>46171.937499999935</v>
      </c>
      <c r="AH119" s="522">
        <f>Хронология[[#This Row],[Часы]]/24</f>
        <v>0.10416666666666667</v>
      </c>
      <c r="AI119" s="522">
        <f>IFERROR(Хронология[[#This Row],[Сутки]]+AI118, Хронология[[#This Row],[Сутки]])</f>
        <v>27.104166666666661</v>
      </c>
      <c r="AJ119"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ПВ</v>
      </c>
      <c r="AK119"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2.5</v>
      </c>
      <c r="AL119"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v>
      </c>
      <c r="AM119" s="527">
        <f>IF(Хронология[[#This Row],[Результат]]="НПВ", Хронология[[#This Row],[Часы]], 0)</f>
        <v>0</v>
      </c>
      <c r="AN119" s="518">
        <f>SUMIFS(Хронология[НПВ], Хронология[Скважина], Хронология[[#This Row],[Скважина]], Хронология[Начало], "&lt;=" &amp; Хронология[[#This Row],[Начало]])</f>
        <v>42.5</v>
      </c>
      <c r="AO119" s="518">
        <f>SUMIFS(Хронология[ПНВ], Хронология[Скважина], Хронология[[#This Row],[Скважина]], Хронология[Начало], "&lt;=" &amp; Хронология[[#This Row],[Начало]])</f>
        <v>32.51</v>
      </c>
      <c r="AP119" s="523">
        <f>INT(ROUND(Хронология[[#This Row],[Начало]], 3))</f>
        <v>46171</v>
      </c>
      <c r="AQ119" s="524">
        <f>Хронология[[#This Row],[Начало]]-INT(Хронология[[#This Row],[Начало]])</f>
        <v>0.83333333327027503</v>
      </c>
      <c r="AR119" s="523">
        <f>INT(ROUND(Хронология[[#This Row],[Окончание]], 3))</f>
        <v>46171</v>
      </c>
      <c r="AS119" s="524">
        <f>Хронология[[#This Row],[Окончание]]-INT(Хронология[[#This Row],[Окончание]])</f>
        <v>0.93749999993451638</v>
      </c>
      <c r="AT119" s="524" t="str">
        <f>Хронология[[#This Row],[Мастер]] &amp; CHAR(10) &amp; Хронология[[#This Row],[Помощник мастера]] &amp; CHAR(10) &amp; Хронология[[#This Row],[Бурильщик]]</f>
        <v>Тарасов А.С.
Штыкин А.А.</v>
      </c>
      <c r="AU119"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851 ОК– КРС Разборка УЭЦН </v>
      </c>
      <c r="AV119" s="518" t="str">
        <f>Хронология[[#This Row],[Результат]]&amp;":  "&amp;Хронология[[#This Row],[Событие]]&amp; CHAR(10) &amp;Хронология[[#This Row],[Вид работ]]&amp;"  "&amp;Хронология[[#This Row],[Объект работ]]</f>
        <v>ПВ:  
Разборка  УЭЦН</v>
      </c>
      <c r="AW119" s="598">
        <f>SUMIF($AU$2:AU160, Хронология[[#This Row],[Ключ]], $AH$2:AH160)</f>
        <v>0.10416666666666667</v>
      </c>
      <c r="AX119" s="516" t="str">
        <f>Хронология[[#This Row],[Вид работ]] &amp; " " &amp; Хронология[[#This Row],[Объект работ]]</f>
        <v>Разборка УЭЦН</v>
      </c>
    </row>
    <row r="120" spans="1:50" ht="69" customHeight="1">
      <c r="A120" s="540" t="s">
        <v>50</v>
      </c>
      <c r="B120" s="541" t="s">
        <v>51</v>
      </c>
      <c r="C120" s="541" t="s">
        <v>52</v>
      </c>
      <c r="D120" s="542">
        <v>1</v>
      </c>
      <c r="E120" s="517">
        <v>851</v>
      </c>
      <c r="F120" s="515" t="s">
        <v>207</v>
      </c>
      <c r="G120" s="517"/>
      <c r="H120" s="517" t="s">
        <v>55</v>
      </c>
      <c r="I120" s="518"/>
      <c r="J120" s="517"/>
      <c r="K120" s="515"/>
      <c r="L120" s="516" t="s">
        <v>51</v>
      </c>
      <c r="M120" s="516" t="s">
        <v>58</v>
      </c>
      <c r="N120" s="516"/>
      <c r="O120" s="516" t="s">
        <v>78</v>
      </c>
      <c r="P120" s="516" t="s">
        <v>102</v>
      </c>
      <c r="Q120" s="516" t="s">
        <v>92</v>
      </c>
      <c r="R120" s="516" t="s">
        <v>93</v>
      </c>
      <c r="S120" s="516"/>
      <c r="T120" s="526" t="s">
        <v>245</v>
      </c>
      <c r="U120" s="516">
        <v>1.5</v>
      </c>
      <c r="V120" s="516"/>
      <c r="W120" s="516"/>
      <c r="X120" s="516"/>
      <c r="Y120" s="516"/>
      <c r="Z120" s="516"/>
      <c r="AA120" s="516"/>
      <c r="AB120" s="516"/>
      <c r="AC120" s="516"/>
      <c r="AD120" s="516"/>
      <c r="AE120" s="514">
        <f>IFERROR(IF(Хронология[[#This Row],[Забой, м]]-V119&lt;0, 0, Хронология[[#This Row],[Забой, м]]-V119), 0)</f>
        <v>0</v>
      </c>
      <c r="AF120" s="521">
        <f t="shared" si="1"/>
        <v>46171.937499999935</v>
      </c>
      <c r="AG120" s="521">
        <f>Хронология[[#This Row],[Начало]]+Хронология[[#This Row],[Сутки]]</f>
        <v>46171.999999999935</v>
      </c>
      <c r="AH120" s="522">
        <f>Хронология[[#This Row],[Часы]]/24</f>
        <v>6.25E-2</v>
      </c>
      <c r="AI120" s="522">
        <f>IFERROR(Хронология[[#This Row],[Сутки]]+AI119, Хронология[[#This Row],[Сутки]])</f>
        <v>27.166666666666661</v>
      </c>
      <c r="AJ120"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ПНВ</v>
      </c>
      <c r="AK120"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0.98</v>
      </c>
      <c r="AL120"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0.52</v>
      </c>
      <c r="AM120" s="527">
        <f>IF(Хронология[[#This Row],[Результат]]="НПВ", Хронология[[#This Row],[Часы]], 0)</f>
        <v>0</v>
      </c>
      <c r="AN120" s="518">
        <f>SUMIFS(Хронология[НПВ], Хронология[Скважина], Хронология[[#This Row],[Скважина]], Хронология[Начало], "&lt;=" &amp; Хронология[[#This Row],[Начало]])</f>
        <v>42.5</v>
      </c>
      <c r="AO120" s="518">
        <f>SUMIFS(Хронология[ПНВ], Хронология[Скважина], Хронология[[#This Row],[Скважина]], Хронология[Начало], "&lt;=" &amp; Хронология[[#This Row],[Начало]])</f>
        <v>33.03</v>
      </c>
      <c r="AP120" s="523">
        <f>INT(ROUND(Хронология[[#This Row],[Начало]], 3))</f>
        <v>46171</v>
      </c>
      <c r="AQ120" s="524">
        <f>Хронология[[#This Row],[Начало]]-INT(Хронология[[#This Row],[Начало]])</f>
        <v>0.93749999993451638</v>
      </c>
      <c r="AR120" s="523">
        <f>INT(ROUND(Хронология[[#This Row],[Окончание]], 3))</f>
        <v>46172</v>
      </c>
      <c r="AS120" s="524">
        <f>Хронология[[#This Row],[Окончание]]-INT(Хронология[[#This Row],[Окончание]])</f>
        <v>0.99999999993451638</v>
      </c>
      <c r="AT120" s="524" t="str">
        <f>Хронология[[#This Row],[Мастер]] &amp; CHAR(10) &amp; Хронология[[#This Row],[Помощник мастера]] &amp; CHAR(10) &amp; Хронология[[#This Row],[Бурильщик]]</f>
        <v>Епифанов Д.Б.
Жангазиев С.К.</v>
      </c>
      <c r="AU120"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851 ОК– КРС Подготовка УЭЦН </v>
      </c>
      <c r="AV120" s="518" t="str">
        <f>Хронология[[#This Row],[Результат]]&amp;":  "&amp;Хронология[[#This Row],[Событие]]&amp; CHAR(10) &amp;Хронология[[#This Row],[Вид работ]]&amp;"  "&amp;Хронология[[#This Row],[Объект работ]]</f>
        <v>ПНВ:  
Подготовка  УЭЦН</v>
      </c>
      <c r="AW120" s="598">
        <f>SUMIF($AU$2:AU161, Хронология[[#This Row],[Ключ]], $AH$2:AH161)</f>
        <v>6.25E-2</v>
      </c>
      <c r="AX120" s="516" t="str">
        <f>Хронология[[#This Row],[Вид работ]] &amp; " " &amp; Хронология[[#This Row],[Объект работ]]</f>
        <v>Подготовка УЭЦН</v>
      </c>
    </row>
    <row r="121" spans="1:50" ht="69" customHeight="1">
      <c r="A121" s="540" t="s">
        <v>50</v>
      </c>
      <c r="B121" s="541" t="s">
        <v>51</v>
      </c>
      <c r="C121" s="541" t="s">
        <v>52</v>
      </c>
      <c r="D121" s="542">
        <v>1</v>
      </c>
      <c r="E121" s="517">
        <v>851</v>
      </c>
      <c r="F121" s="515" t="s">
        <v>207</v>
      </c>
      <c r="G121" s="517"/>
      <c r="H121" s="517" t="s">
        <v>55</v>
      </c>
      <c r="I121" s="518"/>
      <c r="J121" s="517"/>
      <c r="K121" s="515"/>
      <c r="L121" s="516" t="s">
        <v>51</v>
      </c>
      <c r="M121" s="516" t="s">
        <v>58</v>
      </c>
      <c r="N121" s="516"/>
      <c r="O121" s="516" t="s">
        <v>95</v>
      </c>
      <c r="P121" s="516" t="s">
        <v>104</v>
      </c>
      <c r="Q121" s="516" t="s">
        <v>92</v>
      </c>
      <c r="R121" s="516" t="s">
        <v>93</v>
      </c>
      <c r="S121" s="516"/>
      <c r="T121" s="526" t="s">
        <v>246</v>
      </c>
      <c r="U121" s="516">
        <v>6</v>
      </c>
      <c r="V121" s="516"/>
      <c r="W121" s="516"/>
      <c r="X121" s="516"/>
      <c r="Y121" s="516"/>
      <c r="Z121" s="516"/>
      <c r="AA121" s="516"/>
      <c r="AB121" s="516"/>
      <c r="AC121" s="516"/>
      <c r="AD121" s="516"/>
      <c r="AE121" s="514">
        <f>IFERROR(IF(Хронология[[#This Row],[Забой, м]]-V120&lt;0, 0, Хронология[[#This Row],[Забой, м]]-V120), 0)</f>
        <v>0</v>
      </c>
      <c r="AF121" s="521">
        <f t="shared" si="1"/>
        <v>46171.999999999935</v>
      </c>
      <c r="AG121" s="521">
        <f>Хронология[[#This Row],[Начало]]+Хронология[[#This Row],[Сутки]]</f>
        <v>46172.249999999935</v>
      </c>
      <c r="AH121" s="522">
        <f>Хронология[[#This Row],[Часы]]/24</f>
        <v>0.25</v>
      </c>
      <c r="AI121" s="522">
        <f>IFERROR(Хронология[[#This Row],[Сутки]]+AI120, Хронология[[#This Row],[Сутки]])</f>
        <v>27.416666666666661</v>
      </c>
      <c r="AJ121"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ПВ</v>
      </c>
      <c r="AK121"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6</v>
      </c>
      <c r="AL121"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v>
      </c>
      <c r="AM121" s="527">
        <f>IF(Хронология[[#This Row],[Результат]]="НПВ", Хронология[[#This Row],[Часы]], 0)</f>
        <v>0</v>
      </c>
      <c r="AN121" s="518">
        <f>SUMIFS(Хронология[НПВ], Хронология[Скважина], Хронология[[#This Row],[Скважина]], Хронология[Начало], "&lt;=" &amp; Хронология[[#This Row],[Начало]])</f>
        <v>42.5</v>
      </c>
      <c r="AO121" s="518">
        <f>SUMIFS(Хронология[ПНВ], Хронология[Скважина], Хронология[[#This Row],[Скважина]], Хронология[Начало], "&lt;=" &amp; Хронология[[#This Row],[Начало]])</f>
        <v>33.03</v>
      </c>
      <c r="AP121" s="523">
        <f>INT(ROUND(Хронология[[#This Row],[Начало]], 3))</f>
        <v>46172</v>
      </c>
      <c r="AQ121" s="524">
        <f>Хронология[[#This Row],[Начало]]-INT(Хронология[[#This Row],[Начало]])</f>
        <v>0.99999999993451638</v>
      </c>
      <c r="AR121" s="523">
        <f>INT(ROUND(Хронология[[#This Row],[Окончание]], 3))</f>
        <v>46172</v>
      </c>
      <c r="AS121" s="524">
        <f>Хронология[[#This Row],[Окончание]]-INT(Хронология[[#This Row],[Окончание]])</f>
        <v>0.24999999993451638</v>
      </c>
      <c r="AT121" s="524" t="str">
        <f>Хронология[[#This Row],[Мастер]] &amp; CHAR(10) &amp; Хронология[[#This Row],[Помощник мастера]] &amp; CHAR(10) &amp; Хронология[[#This Row],[Бурильщик]]</f>
        <v>Епифанов Д.Б.
Жангазиев С.К.</v>
      </c>
      <c r="AU121"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851 ОК– КРС Сборка УЭЦН </v>
      </c>
      <c r="AV121" s="518" t="str">
        <f>Хронология[[#This Row],[Результат]]&amp;":  "&amp;Хронология[[#This Row],[Событие]]&amp; CHAR(10) &amp;Хронология[[#This Row],[Вид работ]]&amp;"  "&amp;Хронология[[#This Row],[Объект работ]]</f>
        <v>ПВ:  
Сборка  УЭЦН</v>
      </c>
      <c r="AW121" s="598">
        <f>SUMIF($AU$2:AU162, Хронология[[#This Row],[Ключ]], $AH$2:AH162)</f>
        <v>0.25</v>
      </c>
      <c r="AX121" s="516" t="str">
        <f>Хронология[[#This Row],[Вид работ]] &amp; " " &amp; Хронология[[#This Row],[Объект работ]]</f>
        <v>Сборка УЭЦН</v>
      </c>
    </row>
    <row r="122" spans="1:50" ht="69" customHeight="1">
      <c r="A122" s="540" t="s">
        <v>50</v>
      </c>
      <c r="B122" s="541" t="s">
        <v>51</v>
      </c>
      <c r="C122" s="541" t="s">
        <v>52</v>
      </c>
      <c r="D122" s="542">
        <v>1</v>
      </c>
      <c r="E122" s="517">
        <v>851</v>
      </c>
      <c r="F122" s="515" t="s">
        <v>183</v>
      </c>
      <c r="G122" s="517"/>
      <c r="H122" s="517" t="s">
        <v>203</v>
      </c>
      <c r="I122" s="518"/>
      <c r="J122" s="517"/>
      <c r="K122" s="515"/>
      <c r="L122" s="516" t="s">
        <v>51</v>
      </c>
      <c r="M122" s="516" t="s">
        <v>76</v>
      </c>
      <c r="N122" s="516"/>
      <c r="O122" s="516" t="s">
        <v>191</v>
      </c>
      <c r="P122" s="516" t="s">
        <v>192</v>
      </c>
      <c r="Q122" s="516" t="s">
        <v>80</v>
      </c>
      <c r="R122" s="516" t="s">
        <v>229</v>
      </c>
      <c r="S122" s="516"/>
      <c r="T122" s="526" t="s">
        <v>247</v>
      </c>
      <c r="U122" s="516">
        <v>3.5</v>
      </c>
      <c r="V122" s="516"/>
      <c r="W122" s="516"/>
      <c r="X122" s="516"/>
      <c r="Y122" s="516"/>
      <c r="Z122" s="516"/>
      <c r="AA122" s="516"/>
      <c r="AB122" s="516"/>
      <c r="AC122" s="516"/>
      <c r="AD122" s="516"/>
      <c r="AE122" s="514">
        <f>IFERROR(IF(Хронология[[#This Row],[Забой, м]]-V121&lt;0, 0, Хронология[[#This Row],[Забой, м]]-V121), 0)</f>
        <v>0</v>
      </c>
      <c r="AF122" s="521">
        <f t="shared" si="1"/>
        <v>46172.249999999935</v>
      </c>
      <c r="AG122" s="521">
        <f>Хронология[[#This Row],[Начало]]+Хронология[[#This Row],[Сутки]]</f>
        <v>46172.39583333327</v>
      </c>
      <c r="AH122" s="522">
        <f>Хронология[[#This Row],[Часы]]/24</f>
        <v>0.14583333333333334</v>
      </c>
      <c r="AI122" s="522">
        <f>IFERROR(Хронология[[#This Row],[Сутки]]+AI121, Хронология[[#This Row],[Сутки]])</f>
        <v>27.562499999999993</v>
      </c>
      <c r="AJ122"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НПВ</v>
      </c>
      <c r="AK122"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v>
      </c>
      <c r="AL122"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v>
      </c>
      <c r="AM122" s="527">
        <f>IF(Хронология[[#This Row],[Результат]]="НПВ", Хронология[[#This Row],[Часы]], 0)</f>
        <v>3.5</v>
      </c>
      <c r="AN122" s="518">
        <f>SUMIFS(Хронология[НПВ], Хронология[Скважина], Хронология[[#This Row],[Скважина]], Хронология[Начало], "&lt;=" &amp; Хронология[[#This Row],[Начало]])</f>
        <v>46</v>
      </c>
      <c r="AO122" s="518">
        <f>SUMIFS(Хронология[ПНВ], Хронология[Скважина], Хронология[[#This Row],[Скважина]], Хронология[Начало], "&lt;=" &amp; Хронология[[#This Row],[Начало]])</f>
        <v>33.03</v>
      </c>
      <c r="AP122" s="523">
        <f>INT(ROUND(Хронология[[#This Row],[Начало]], 3))</f>
        <v>46172</v>
      </c>
      <c r="AQ122" s="524">
        <f>Хронология[[#This Row],[Начало]]-INT(Хронология[[#This Row],[Начало]])</f>
        <v>0.24999999993451638</v>
      </c>
      <c r="AR122" s="523">
        <f>INT(ROUND(Хронология[[#This Row],[Окончание]], 3))</f>
        <v>46172</v>
      </c>
      <c r="AS122" s="524">
        <f>Хронология[[#This Row],[Окончание]]-INT(Хронология[[#This Row],[Окончание]])</f>
        <v>0.39583333327027503</v>
      </c>
      <c r="AT122" s="524" t="str">
        <f>Хронология[[#This Row],[Мастер]] &amp; CHAR(10) &amp; Хронология[[#This Row],[Помощник мастера]] &amp; CHAR(10) &amp; Хронология[[#This Row],[Бурильщик]]</f>
        <v>Тарасов А.С.
Штыкин А.А.</v>
      </c>
      <c r="AU122"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851 ОК– КРС Орг_простой  Ожидание МТР </v>
      </c>
      <c r="AV122" s="518" t="str">
        <f>Хронология[[#This Row],[Результат]]&amp;":  "&amp;Хронология[[#This Row],[Событие]]&amp; CHAR(10) &amp;Хронология[[#This Row],[Вид работ]]&amp;"  "&amp;Хронология[[#This Row],[Объект работ]]</f>
        <v>НПВ:  
Ожидание  МТР</v>
      </c>
      <c r="AW122" s="598">
        <f>SUMIF($AU$2:AU163, Хронология[[#This Row],[Ключ]], $AH$2:AH163)</f>
        <v>0.14583333333333334</v>
      </c>
      <c r="AX122" s="516" t="str">
        <f>Хронология[[#This Row],[Вид работ]] &amp; " " &amp; Хронология[[#This Row],[Объект работ]]</f>
        <v>Ожидание МТР</v>
      </c>
    </row>
    <row r="123" spans="1:50" ht="69" customHeight="1">
      <c r="A123" s="540" t="s">
        <v>50</v>
      </c>
      <c r="B123" s="541" t="s">
        <v>51</v>
      </c>
      <c r="C123" s="541" t="s">
        <v>52</v>
      </c>
      <c r="D123" s="542">
        <v>1</v>
      </c>
      <c r="E123" s="517">
        <v>851</v>
      </c>
      <c r="F123" s="515" t="s">
        <v>183</v>
      </c>
      <c r="G123" s="517"/>
      <c r="H123" s="517" t="s">
        <v>203</v>
      </c>
      <c r="I123" s="518"/>
      <c r="J123" s="517"/>
      <c r="K123" s="515"/>
      <c r="L123" s="516" t="s">
        <v>51</v>
      </c>
      <c r="M123" s="516" t="s">
        <v>58</v>
      </c>
      <c r="N123" s="516"/>
      <c r="O123" s="516" t="s">
        <v>90</v>
      </c>
      <c r="P123" s="516" t="s">
        <v>106</v>
      </c>
      <c r="Q123" s="516" t="s">
        <v>92</v>
      </c>
      <c r="R123" s="516" t="s">
        <v>93</v>
      </c>
      <c r="S123" s="516"/>
      <c r="T123" s="526" t="s">
        <v>248</v>
      </c>
      <c r="U123" s="516">
        <v>14.5</v>
      </c>
      <c r="V123" s="516"/>
      <c r="W123" s="516"/>
      <c r="X123" s="516"/>
      <c r="Y123" s="516"/>
      <c r="Z123" s="516"/>
      <c r="AA123" s="516"/>
      <c r="AB123" s="516"/>
      <c r="AC123" s="516"/>
      <c r="AD123" s="516"/>
      <c r="AE123" s="514">
        <f>IFERROR(IF(Хронология[[#This Row],[Забой, м]]-V122&lt;0, 0, Хронология[[#This Row],[Забой, м]]-V122), 0)</f>
        <v>0</v>
      </c>
      <c r="AF123" s="521">
        <f t="shared" si="1"/>
        <v>46172.39583333327</v>
      </c>
      <c r="AG123" s="521">
        <f>Хронология[[#This Row],[Начало]]+Хронология[[#This Row],[Сутки]]</f>
        <v>46172.999999999935</v>
      </c>
      <c r="AH123" s="522">
        <f>Хронология[[#This Row],[Часы]]/24</f>
        <v>0.60416666666666663</v>
      </c>
      <c r="AI123" s="522">
        <f>IFERROR(Хронология[[#This Row],[Сутки]]+AI122, Хронология[[#This Row],[Сутки]])</f>
        <v>28.166666666666661</v>
      </c>
      <c r="AJ123"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ПНВ</v>
      </c>
      <c r="AK123"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14.5</v>
      </c>
      <c r="AL123"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v>
      </c>
      <c r="AM123" s="527">
        <f>IF(Хронология[[#This Row],[Результат]]="НПВ", Хронология[[#This Row],[Часы]], 0)</f>
        <v>0</v>
      </c>
      <c r="AN123" s="518">
        <f>SUMIFS(Хронология[НПВ], Хронология[Скважина], Хронология[[#This Row],[Скважина]], Хронология[Начало], "&lt;=" &amp; Хронология[[#This Row],[Начало]])</f>
        <v>46</v>
      </c>
      <c r="AO123" s="518">
        <f>SUMIFS(Хронология[ПНВ], Хронология[Скважина], Хронология[[#This Row],[Скважина]], Хронология[Начало], "&lt;=" &amp; Хронология[[#This Row],[Начало]])</f>
        <v>33.03</v>
      </c>
      <c r="AP123" s="523">
        <f>INT(ROUND(Хронология[[#This Row],[Начало]], 3))</f>
        <v>46172</v>
      </c>
      <c r="AQ123" s="524">
        <f>Хронология[[#This Row],[Начало]]-INT(Хронология[[#This Row],[Начало]])</f>
        <v>0.39583333327027503</v>
      </c>
      <c r="AR123" s="523">
        <f>INT(ROUND(Хронология[[#This Row],[Окончание]], 3))</f>
        <v>46173</v>
      </c>
      <c r="AS123" s="524">
        <f>Хронология[[#This Row],[Окончание]]-INT(Хронология[[#This Row],[Окончание]])</f>
        <v>0.99999999993451638</v>
      </c>
      <c r="AT123" s="524" t="str">
        <f>Хронология[[#This Row],[Мастер]] &amp; CHAR(10) &amp; Хронология[[#This Row],[Помощник мастера]] &amp; CHAR(10) &amp; Хронология[[#This Row],[Бурильщик]]</f>
        <v>Тарасов А.С.
Штыкин А.А.</v>
      </c>
      <c r="AU123"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851 ОК– КРС Спуск УЭЦН </v>
      </c>
      <c r="AV123" s="518" t="str">
        <f>Хронология[[#This Row],[Результат]]&amp;":  "&amp;Хронология[[#This Row],[Событие]]&amp; CHAR(10) &amp;Хронология[[#This Row],[Вид работ]]&amp;"  "&amp;Хронология[[#This Row],[Объект работ]]</f>
        <v>ПНВ:  
Спуск  УЭЦН</v>
      </c>
      <c r="AW123" s="598">
        <f>SUMIF($AU$2:AU164, Хронология[[#This Row],[Ключ]], $AH$2:AH164)</f>
        <v>1.4583333333333335</v>
      </c>
      <c r="AX123" s="516" t="str">
        <f>Хронология[[#This Row],[Вид работ]] &amp; " " &amp; Хронология[[#This Row],[Объект работ]]</f>
        <v>Спуск УЭЦН</v>
      </c>
    </row>
    <row r="124" spans="1:50" ht="69" customHeight="1">
      <c r="A124" s="540" t="s">
        <v>50</v>
      </c>
      <c r="B124" s="541" t="s">
        <v>51</v>
      </c>
      <c r="C124" s="541" t="s">
        <v>52</v>
      </c>
      <c r="D124" s="542">
        <v>1</v>
      </c>
      <c r="E124" s="517">
        <v>851</v>
      </c>
      <c r="F124" s="515" t="s">
        <v>207</v>
      </c>
      <c r="G124" s="517"/>
      <c r="H124" s="517" t="s">
        <v>55</v>
      </c>
      <c r="I124" s="518"/>
      <c r="J124" s="517"/>
      <c r="K124" s="515"/>
      <c r="L124" s="516" t="s">
        <v>51</v>
      </c>
      <c r="M124" s="516" t="s">
        <v>58</v>
      </c>
      <c r="N124" s="516"/>
      <c r="O124" s="516" t="s">
        <v>90</v>
      </c>
      <c r="P124" s="516" t="s">
        <v>106</v>
      </c>
      <c r="Q124" s="516" t="s">
        <v>92</v>
      </c>
      <c r="R124" s="516" t="s">
        <v>93</v>
      </c>
      <c r="S124" s="516"/>
      <c r="T124" s="526" t="s">
        <v>249</v>
      </c>
      <c r="U124" s="516">
        <v>8</v>
      </c>
      <c r="V124" s="516"/>
      <c r="W124" s="516"/>
      <c r="X124" s="516"/>
      <c r="Y124" s="516"/>
      <c r="Z124" s="516"/>
      <c r="AA124" s="516"/>
      <c r="AB124" s="516"/>
      <c r="AC124" s="516"/>
      <c r="AD124" s="516"/>
      <c r="AE124" s="514">
        <f>IFERROR(IF(Хронология[[#This Row],[Забой, м]]-V123&lt;0, 0, Хронология[[#This Row],[Забой, м]]-V123), 0)</f>
        <v>0</v>
      </c>
      <c r="AF124" s="521">
        <f t="shared" si="1"/>
        <v>46172.999999999935</v>
      </c>
      <c r="AG124" s="521">
        <f>Хронология[[#This Row],[Начало]]+Хронология[[#This Row],[Сутки]]</f>
        <v>46173.33333333327</v>
      </c>
      <c r="AH124" s="522">
        <f>Хронология[[#This Row],[Часы]]/24</f>
        <v>0.33333333333333331</v>
      </c>
      <c r="AI124" s="522">
        <f>IFERROR(Хронология[[#This Row],[Сутки]]+AI123, Хронология[[#This Row],[Сутки]])</f>
        <v>28.499999999999993</v>
      </c>
      <c r="AJ124"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ПНВ</v>
      </c>
      <c r="AK124"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8</v>
      </c>
      <c r="AL124"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v>
      </c>
      <c r="AM124" s="527">
        <f>IF(Хронология[[#This Row],[Результат]]="НПВ", Хронология[[#This Row],[Часы]], 0)</f>
        <v>0</v>
      </c>
      <c r="AN124" s="518">
        <f>SUMIFS(Хронология[НПВ], Хронология[Скважина], Хронология[[#This Row],[Скважина]], Хронология[Начало], "&lt;=" &amp; Хронология[[#This Row],[Начало]])</f>
        <v>46</v>
      </c>
      <c r="AO124" s="518">
        <f>SUMIFS(Хронология[ПНВ], Хронология[Скважина], Хронология[[#This Row],[Скважина]], Хронология[Начало], "&lt;=" &amp; Хронология[[#This Row],[Начало]])</f>
        <v>33.03</v>
      </c>
      <c r="AP124" s="523">
        <f>INT(ROUND(Хронология[[#This Row],[Начало]], 3))</f>
        <v>46173</v>
      </c>
      <c r="AQ124" s="524">
        <f>Хронология[[#This Row],[Начало]]-INT(Хронология[[#This Row],[Начало]])</f>
        <v>0.99999999993451638</v>
      </c>
      <c r="AR124" s="523">
        <f>INT(ROUND(Хронология[[#This Row],[Окончание]], 3))</f>
        <v>46173</v>
      </c>
      <c r="AS124" s="524">
        <f>Хронология[[#This Row],[Окончание]]-INT(Хронология[[#This Row],[Окончание]])</f>
        <v>0.33333333327027503</v>
      </c>
      <c r="AT124" s="524" t="str">
        <f>Хронология[[#This Row],[Мастер]] &amp; CHAR(10) &amp; Хронология[[#This Row],[Помощник мастера]] &amp; CHAR(10) &amp; Хронология[[#This Row],[Бурильщик]]</f>
        <v>Епифанов Д.Б.
Жангазиев С.К.</v>
      </c>
      <c r="AU124"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851 ОК– КРС Спуск УЭЦН </v>
      </c>
      <c r="AV124" s="518" t="str">
        <f>Хронология[[#This Row],[Результат]]&amp;":  "&amp;Хронология[[#This Row],[Событие]]&amp; CHAR(10) &amp;Хронология[[#This Row],[Вид работ]]&amp;"  "&amp;Хронология[[#This Row],[Объект работ]]</f>
        <v>ПНВ:  
Спуск  УЭЦН</v>
      </c>
      <c r="AW124" s="598">
        <f>SUMIF($AU$2:AU165, Хронология[[#This Row],[Ключ]], $AH$2:AH165)</f>
        <v>1.4583333333333335</v>
      </c>
      <c r="AX124" s="516" t="str">
        <f>Хронология[[#This Row],[Вид работ]] &amp; " " &amp; Хронология[[#This Row],[Объект работ]]</f>
        <v>Спуск УЭЦН</v>
      </c>
    </row>
    <row r="125" spans="1:50" ht="69" customHeight="1">
      <c r="A125" s="540" t="s">
        <v>50</v>
      </c>
      <c r="B125" s="541" t="s">
        <v>51</v>
      </c>
      <c r="C125" s="541" t="s">
        <v>52</v>
      </c>
      <c r="D125" s="542">
        <v>1</v>
      </c>
      <c r="E125" s="517">
        <v>851</v>
      </c>
      <c r="F125" s="515" t="s">
        <v>183</v>
      </c>
      <c r="G125" s="517"/>
      <c r="H125" s="517" t="s">
        <v>203</v>
      </c>
      <c r="I125" s="518"/>
      <c r="J125" s="517"/>
      <c r="K125" s="515"/>
      <c r="L125" s="516" t="s">
        <v>51</v>
      </c>
      <c r="M125" s="516" t="s">
        <v>76</v>
      </c>
      <c r="N125" s="516"/>
      <c r="O125" s="516" t="s">
        <v>191</v>
      </c>
      <c r="P125" s="516" t="s">
        <v>192</v>
      </c>
      <c r="Q125" s="516" t="s">
        <v>80</v>
      </c>
      <c r="R125" s="516" t="s">
        <v>193</v>
      </c>
      <c r="S125" s="516"/>
      <c r="T125" s="526" t="s">
        <v>250</v>
      </c>
      <c r="U125" s="516">
        <v>12</v>
      </c>
      <c r="V125" s="516"/>
      <c r="W125" s="516"/>
      <c r="X125" s="516"/>
      <c r="Y125" s="516"/>
      <c r="Z125" s="516"/>
      <c r="AA125" s="516"/>
      <c r="AB125" s="516"/>
      <c r="AC125" s="516"/>
      <c r="AD125" s="516"/>
      <c r="AE125" s="514">
        <f>IFERROR(IF(Хронология[[#This Row],[Забой, м]]-V124&lt;0, 0, Хронология[[#This Row],[Забой, м]]-V124), 0)</f>
        <v>0</v>
      </c>
      <c r="AF125" s="521">
        <f t="shared" si="1"/>
        <v>46173.33333333327</v>
      </c>
      <c r="AG125" s="521">
        <f>Хронология[[#This Row],[Начало]]+Хронология[[#This Row],[Сутки]]</f>
        <v>46173.83333333327</v>
      </c>
      <c r="AH125" s="522">
        <f>Хронология[[#This Row],[Часы]]/24</f>
        <v>0.5</v>
      </c>
      <c r="AI125" s="522">
        <f>IFERROR(Хронология[[#This Row],[Сутки]]+AI124, Хронология[[#This Row],[Сутки]])</f>
        <v>28.999999999999993</v>
      </c>
      <c r="AJ125"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НПВ</v>
      </c>
      <c r="AK125"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v>
      </c>
      <c r="AL125"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v>
      </c>
      <c r="AM125" s="527">
        <f>IF(Хронология[[#This Row],[Результат]]="НПВ", Хронология[[#This Row],[Часы]], 0)</f>
        <v>12</v>
      </c>
      <c r="AN125" s="518">
        <f>SUMIFS(Хронология[НПВ], Хронология[Скважина], Хронология[[#This Row],[Скважина]], Хронология[Начало], "&lt;=" &amp; Хронология[[#This Row],[Начало]])</f>
        <v>58</v>
      </c>
      <c r="AO125" s="518">
        <f>SUMIFS(Хронология[ПНВ], Хронология[Скважина], Хронология[[#This Row],[Скважина]], Хронология[Начало], "&lt;=" &amp; Хронология[[#This Row],[Начало]])</f>
        <v>33.03</v>
      </c>
      <c r="AP125" s="523">
        <f>INT(ROUND(Хронология[[#This Row],[Начало]], 3))</f>
        <v>46173</v>
      </c>
      <c r="AQ125" s="524">
        <f>Хронология[[#This Row],[Начало]]-INT(Хронология[[#This Row],[Начало]])</f>
        <v>0.33333333327027503</v>
      </c>
      <c r="AR125" s="523">
        <f>INT(ROUND(Хронология[[#This Row],[Окончание]], 3))</f>
        <v>46173</v>
      </c>
      <c r="AS125" s="524">
        <f>Хронология[[#This Row],[Окончание]]-INT(Хронология[[#This Row],[Окончание]])</f>
        <v>0.83333333327027503</v>
      </c>
      <c r="AT125" s="524" t="str">
        <f>Хронология[[#This Row],[Мастер]] &amp; CHAR(10) &amp; Хронология[[#This Row],[Помощник мастера]] &amp; CHAR(10) &amp; Хронология[[#This Row],[Бурильщик]]</f>
        <v>Тарасов А.С.
Штыкин А.А.</v>
      </c>
      <c r="AU125"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851 ОК– КРС Орг_простой  Ожидание Персонал </v>
      </c>
      <c r="AV125" s="518" t="str">
        <f>Хронология[[#This Row],[Результат]]&amp;":  "&amp;Хронология[[#This Row],[Событие]]&amp; CHAR(10) &amp;Хронология[[#This Row],[Вид работ]]&amp;"  "&amp;Хронология[[#This Row],[Объект работ]]</f>
        <v>НПВ:  
Ожидание  Персонал</v>
      </c>
      <c r="AW125" s="598">
        <f>SUMIF($AU$2:AU166, Хронология[[#This Row],[Ключ]], $AH$2:AH166)</f>
        <v>0.875</v>
      </c>
      <c r="AX125" s="516" t="str">
        <f>Хронология[[#This Row],[Вид работ]] &amp; " " &amp; Хронология[[#This Row],[Объект работ]]</f>
        <v>Ожидание Персонал</v>
      </c>
    </row>
    <row r="126" spans="1:50" ht="69" customHeight="1">
      <c r="A126" s="540" t="s">
        <v>50</v>
      </c>
      <c r="B126" s="541" t="s">
        <v>51</v>
      </c>
      <c r="C126" s="541" t="s">
        <v>52</v>
      </c>
      <c r="D126" s="542">
        <v>1</v>
      </c>
      <c r="E126" s="517">
        <v>851</v>
      </c>
      <c r="F126" s="515" t="s">
        <v>183</v>
      </c>
      <c r="G126" s="517"/>
      <c r="H126" s="517" t="s">
        <v>203</v>
      </c>
      <c r="I126" s="518"/>
      <c r="J126" s="517"/>
      <c r="K126" s="515"/>
      <c r="L126" s="516" t="s">
        <v>51</v>
      </c>
      <c r="M126" s="516" t="s">
        <v>58</v>
      </c>
      <c r="N126" s="516"/>
      <c r="O126" s="516" t="s">
        <v>90</v>
      </c>
      <c r="P126" s="516" t="s">
        <v>106</v>
      </c>
      <c r="Q126" s="516" t="s">
        <v>92</v>
      </c>
      <c r="R126" s="516" t="s">
        <v>93</v>
      </c>
      <c r="S126" s="516"/>
      <c r="T126" s="526" t="s">
        <v>251</v>
      </c>
      <c r="U126" s="516">
        <v>4</v>
      </c>
      <c r="V126" s="516"/>
      <c r="W126" s="516"/>
      <c r="X126" s="516"/>
      <c r="Y126" s="516"/>
      <c r="Z126" s="516"/>
      <c r="AA126" s="516"/>
      <c r="AB126" s="516"/>
      <c r="AC126" s="516"/>
      <c r="AD126" s="516"/>
      <c r="AE126" s="514">
        <f>IFERROR(IF(Хронология[[#This Row],[Забой, м]]-V125&lt;0, 0, Хронология[[#This Row],[Забой, м]]-V125), 0)</f>
        <v>0</v>
      </c>
      <c r="AF126" s="521">
        <f t="shared" si="1"/>
        <v>46173.83333333327</v>
      </c>
      <c r="AG126" s="521">
        <f>Хронология[[#This Row],[Начало]]+Хронология[[#This Row],[Сутки]]</f>
        <v>46173.999999999935</v>
      </c>
      <c r="AH126" s="522">
        <f>Хронология[[#This Row],[Часы]]/24</f>
        <v>0.16666666666666666</v>
      </c>
      <c r="AI126" s="522">
        <f>IFERROR(Хронология[[#This Row],[Сутки]]+AI125, Хронология[[#This Row],[Сутки]])</f>
        <v>29.166666666666661</v>
      </c>
      <c r="AJ126"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ПНВ</v>
      </c>
      <c r="AK126"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4</v>
      </c>
      <c r="AL126"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v>
      </c>
      <c r="AM126" s="527">
        <f>IF(Хронология[[#This Row],[Результат]]="НПВ", Хронология[[#This Row],[Часы]], 0)</f>
        <v>0</v>
      </c>
      <c r="AN126" s="518">
        <f>SUMIFS(Хронология[НПВ], Хронология[Скважина], Хронология[[#This Row],[Скважина]], Хронология[Начало], "&lt;=" &amp; Хронология[[#This Row],[Начало]])</f>
        <v>58</v>
      </c>
      <c r="AO126" s="518">
        <f>SUMIFS(Хронология[ПНВ], Хронология[Скважина], Хронология[[#This Row],[Скважина]], Хронология[Начало], "&lt;=" &amp; Хронология[[#This Row],[Начало]])</f>
        <v>33.03</v>
      </c>
      <c r="AP126" s="523">
        <f>INT(ROUND(Хронология[[#This Row],[Начало]], 3))</f>
        <v>46173</v>
      </c>
      <c r="AQ126" s="524">
        <f>Хронология[[#This Row],[Начало]]-INT(Хронология[[#This Row],[Начало]])</f>
        <v>0.83333333327027503</v>
      </c>
      <c r="AR126" s="523">
        <f>INT(ROUND(Хронология[[#This Row],[Окончание]], 3))</f>
        <v>46174</v>
      </c>
      <c r="AS126" s="524">
        <f>Хронология[[#This Row],[Окончание]]-INT(Хронология[[#This Row],[Окончание]])</f>
        <v>0.99999999993451638</v>
      </c>
      <c r="AT126" s="524" t="str">
        <f>Хронология[[#This Row],[Мастер]] &amp; CHAR(10) &amp; Хронология[[#This Row],[Помощник мастера]] &amp; CHAR(10) &amp; Хронология[[#This Row],[Бурильщик]]</f>
        <v>Тарасов А.С.
Штыкин А.А.</v>
      </c>
      <c r="AU126"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851 ОК– КРС Спуск УЭЦН </v>
      </c>
      <c r="AV126" s="518" t="str">
        <f>Хронология[[#This Row],[Результат]]&amp;":  "&amp;Хронология[[#This Row],[Событие]]&amp; CHAR(10) &amp;Хронология[[#This Row],[Вид работ]]&amp;"  "&amp;Хронология[[#This Row],[Объект работ]]</f>
        <v>ПНВ:  
Спуск  УЭЦН</v>
      </c>
      <c r="AW126" s="598">
        <f>SUMIF($AU$2:AU167, Хронология[[#This Row],[Ключ]], $AH$2:AH167)</f>
        <v>1.4583333333333335</v>
      </c>
      <c r="AX126" s="516" t="str">
        <f>Хронология[[#This Row],[Вид работ]] &amp; " " &amp; Хронология[[#This Row],[Объект работ]]</f>
        <v>Спуск УЭЦН</v>
      </c>
    </row>
    <row r="127" spans="1:50" ht="69" customHeight="1">
      <c r="A127" s="540" t="s">
        <v>50</v>
      </c>
      <c r="B127" s="541" t="s">
        <v>51</v>
      </c>
      <c r="C127" s="541" t="s">
        <v>52</v>
      </c>
      <c r="D127" s="542">
        <v>1</v>
      </c>
      <c r="E127" s="517">
        <v>851</v>
      </c>
      <c r="F127" s="515" t="s">
        <v>207</v>
      </c>
      <c r="G127" s="517"/>
      <c r="H127" s="517" t="s">
        <v>55</v>
      </c>
      <c r="I127" s="518"/>
      <c r="J127" s="517"/>
      <c r="K127" s="515"/>
      <c r="L127" s="516" t="s">
        <v>51</v>
      </c>
      <c r="M127" s="516" t="s">
        <v>58</v>
      </c>
      <c r="N127" s="516"/>
      <c r="O127" s="516" t="s">
        <v>90</v>
      </c>
      <c r="P127" s="516" t="s">
        <v>106</v>
      </c>
      <c r="Q127" s="516" t="s">
        <v>92</v>
      </c>
      <c r="R127" s="516" t="s">
        <v>93</v>
      </c>
      <c r="S127" s="516"/>
      <c r="T127" s="526" t="s">
        <v>252</v>
      </c>
      <c r="U127" s="516">
        <v>3</v>
      </c>
      <c r="V127" s="516"/>
      <c r="W127" s="516"/>
      <c r="X127" s="516"/>
      <c r="Y127" s="516"/>
      <c r="Z127" s="516"/>
      <c r="AA127" s="516"/>
      <c r="AB127" s="516"/>
      <c r="AC127" s="516"/>
      <c r="AD127" s="516"/>
      <c r="AE127" s="514">
        <f>IFERROR(IF(Хронология[[#This Row],[Забой, м]]-V126&lt;0, 0, Хронология[[#This Row],[Забой, м]]-V126), 0)</f>
        <v>0</v>
      </c>
      <c r="AF127" s="521">
        <f t="shared" si="1"/>
        <v>46173.999999999935</v>
      </c>
      <c r="AG127" s="521">
        <f>Хронология[[#This Row],[Начало]]+Хронология[[#This Row],[Сутки]]</f>
        <v>46174.124999999935</v>
      </c>
      <c r="AH127" s="522">
        <f>Хронология[[#This Row],[Часы]]/24</f>
        <v>0.125</v>
      </c>
      <c r="AI127" s="522">
        <f>IFERROR(Хронология[[#This Row],[Сутки]]+AI126, Хронология[[#This Row],[Сутки]])</f>
        <v>29.291666666666661</v>
      </c>
      <c r="AJ127"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ПНВ</v>
      </c>
      <c r="AK127"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0.69999999999999929</v>
      </c>
      <c r="AL127"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2.3000000000000007</v>
      </c>
      <c r="AM127" s="527">
        <f>IF(Хронология[[#This Row],[Результат]]="НПВ", Хронология[[#This Row],[Часы]], 0)</f>
        <v>0</v>
      </c>
      <c r="AN127" s="518">
        <f>SUMIFS(Хронология[НПВ], Хронология[Скважина], Хронология[[#This Row],[Скважина]], Хронология[Начало], "&lt;=" &amp; Хронология[[#This Row],[Начало]])</f>
        <v>58</v>
      </c>
      <c r="AO127" s="518">
        <f>SUMIFS(Хронология[ПНВ], Хронология[Скважина], Хронология[[#This Row],[Скважина]], Хронология[Начало], "&lt;=" &amp; Хронология[[#This Row],[Начало]])</f>
        <v>35.33</v>
      </c>
      <c r="AP127" s="523">
        <f>INT(ROUND(Хронология[[#This Row],[Начало]], 3))</f>
        <v>46174</v>
      </c>
      <c r="AQ127" s="524">
        <f>Хронология[[#This Row],[Начало]]-INT(Хронология[[#This Row],[Начало]])</f>
        <v>0.99999999993451638</v>
      </c>
      <c r="AR127" s="523">
        <f>INT(ROUND(Хронология[[#This Row],[Окончание]], 3))</f>
        <v>46174</v>
      </c>
      <c r="AS127" s="524">
        <f>Хронология[[#This Row],[Окончание]]-INT(Хронология[[#This Row],[Окончание]])</f>
        <v>0.12499999993451638</v>
      </c>
      <c r="AT127" s="524" t="str">
        <f>Хронология[[#This Row],[Мастер]] &amp; CHAR(10) &amp; Хронология[[#This Row],[Помощник мастера]] &amp; CHAR(10) &amp; Хронология[[#This Row],[Бурильщик]]</f>
        <v>Епифанов Д.Б.
Жангазиев С.К.</v>
      </c>
      <c r="AU127"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851 ОК– КРС Спуск УЭЦН </v>
      </c>
      <c r="AV127" s="518" t="str">
        <f>Хронология[[#This Row],[Результат]]&amp;":  "&amp;Хронология[[#This Row],[Событие]]&amp; CHAR(10) &amp;Хронология[[#This Row],[Вид работ]]&amp;"  "&amp;Хронология[[#This Row],[Объект работ]]</f>
        <v>ПНВ:  
Спуск  УЭЦН</v>
      </c>
      <c r="AW127" s="598">
        <f>SUMIF($AU$2:AU168, Хронология[[#This Row],[Ключ]], $AH$2:AH168)</f>
        <v>1.4583333333333335</v>
      </c>
      <c r="AX127" s="516" t="str">
        <f>Хронология[[#This Row],[Вид работ]] &amp; " " &amp; Хронология[[#This Row],[Объект работ]]</f>
        <v>Спуск УЭЦН</v>
      </c>
    </row>
    <row r="128" spans="1:50" ht="69" customHeight="1">
      <c r="A128" s="540" t="s">
        <v>50</v>
      </c>
      <c r="B128" s="541" t="s">
        <v>51</v>
      </c>
      <c r="C128" s="541" t="s">
        <v>52</v>
      </c>
      <c r="D128" s="542">
        <v>1</v>
      </c>
      <c r="E128" s="517">
        <v>851</v>
      </c>
      <c r="F128" s="515" t="s">
        <v>207</v>
      </c>
      <c r="G128" s="517"/>
      <c r="H128" s="517" t="s">
        <v>55</v>
      </c>
      <c r="I128" s="518"/>
      <c r="J128" s="517"/>
      <c r="K128" s="515"/>
      <c r="L128" s="516" t="s">
        <v>51</v>
      </c>
      <c r="M128" s="516" t="s">
        <v>58</v>
      </c>
      <c r="N128" s="516"/>
      <c r="O128" s="516" t="s">
        <v>142</v>
      </c>
      <c r="P128" s="516" t="s">
        <v>142</v>
      </c>
      <c r="Q128" s="516" t="s">
        <v>61</v>
      </c>
      <c r="R128" s="516" t="s">
        <v>62</v>
      </c>
      <c r="S128" s="516"/>
      <c r="T128" s="526" t="s">
        <v>253</v>
      </c>
      <c r="U128" s="516">
        <v>1.5</v>
      </c>
      <c r="V128" s="516"/>
      <c r="W128" s="516"/>
      <c r="X128" s="516"/>
      <c r="Y128" s="516"/>
      <c r="Z128" s="516"/>
      <c r="AA128" s="516"/>
      <c r="AB128" s="516"/>
      <c r="AC128" s="516"/>
      <c r="AD128" s="516"/>
      <c r="AE128" s="514">
        <f>IFERROR(IF(Хронология[[#This Row],[Забой, м]]-V127&lt;0, 0, Хронология[[#This Row],[Забой, м]]-V127), 0)</f>
        <v>0</v>
      </c>
      <c r="AF128" s="521">
        <f t="shared" si="1"/>
        <v>46174.124999999935</v>
      </c>
      <c r="AG128" s="521">
        <f>Хронология[[#This Row],[Начало]]+Хронология[[#This Row],[Сутки]]</f>
        <v>46174.187499999935</v>
      </c>
      <c r="AH128" s="522">
        <f>Хронология[[#This Row],[Часы]]/24</f>
        <v>6.25E-2</v>
      </c>
      <c r="AI128" s="522">
        <f>IFERROR(Хронология[[#This Row],[Сутки]]+AI127, Хронология[[#This Row],[Сутки]])</f>
        <v>29.354166666666661</v>
      </c>
      <c r="AJ128"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НПВ</v>
      </c>
      <c r="AK128"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v>
      </c>
      <c r="AL128"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v>
      </c>
      <c r="AM128" s="527">
        <f>IF(Хронология[[#This Row],[Результат]]="НПВ", Хронология[[#This Row],[Часы]], 0)</f>
        <v>1.5</v>
      </c>
      <c r="AN128" s="518">
        <f>SUMIFS(Хронология[НПВ], Хронология[Скважина], Хронология[[#This Row],[Скважина]], Хронология[Начало], "&lt;=" &amp; Хронология[[#This Row],[Начало]])</f>
        <v>59.5</v>
      </c>
      <c r="AO128" s="518">
        <f>SUMIFS(Хронология[ПНВ], Хронология[Скважина], Хронология[[#This Row],[Скважина]], Хронология[Начало], "&lt;=" &amp; Хронология[[#This Row],[Начало]])</f>
        <v>35.33</v>
      </c>
      <c r="AP128" s="523">
        <f>INT(ROUND(Хронология[[#This Row],[Начало]], 3))</f>
        <v>46174</v>
      </c>
      <c r="AQ128" s="524">
        <f>Хронология[[#This Row],[Начало]]-INT(Хронология[[#This Row],[Начало]])</f>
        <v>0.12499999993451638</v>
      </c>
      <c r="AR128" s="523">
        <f>INT(ROUND(Хронология[[#This Row],[Окончание]], 3))</f>
        <v>46174</v>
      </c>
      <c r="AS128" s="524">
        <f>Хронология[[#This Row],[Окончание]]-INT(Хронология[[#This Row],[Окончание]])</f>
        <v>0.18749999993451638</v>
      </c>
      <c r="AT128" s="524" t="str">
        <f>Хронология[[#This Row],[Мастер]] &amp; CHAR(10) &amp; Хронология[[#This Row],[Помощник мастера]] &amp; CHAR(10) &amp; Хронология[[#This Row],[Бурильщик]]</f>
        <v>Епифанов Д.Б.
Жангазиев С.К.</v>
      </c>
      <c r="AU128"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851 ОК– КРС Ремонт УПА </v>
      </c>
      <c r="AV128" s="518" t="str">
        <f>Хронология[[#This Row],[Результат]]&amp;":  "&amp;Хронология[[#This Row],[Событие]]&amp; CHAR(10) &amp;Хронология[[#This Row],[Вид работ]]&amp;"  "&amp;Хронология[[#This Row],[Объект работ]]</f>
        <v>НПВ:  
Ремонт  УПА</v>
      </c>
      <c r="AW128" s="598">
        <f>SUMIF($AU$2:AU169, Хронология[[#This Row],[Ключ]], $AH$2:AH169)</f>
        <v>6.25E-2</v>
      </c>
      <c r="AX128" s="516" t="str">
        <f>Хронология[[#This Row],[Вид работ]] &amp; " " &amp; Хронология[[#This Row],[Объект работ]]</f>
        <v>Ремонт УПА</v>
      </c>
    </row>
    <row r="129" spans="1:50" ht="69" customHeight="1">
      <c r="A129" s="540" t="s">
        <v>50</v>
      </c>
      <c r="B129" s="541" t="s">
        <v>51</v>
      </c>
      <c r="C129" s="541" t="s">
        <v>52</v>
      </c>
      <c r="D129" s="542">
        <v>1</v>
      </c>
      <c r="E129" s="517">
        <v>851</v>
      </c>
      <c r="F129" s="515" t="s">
        <v>207</v>
      </c>
      <c r="G129" s="517"/>
      <c r="H129" s="517" t="s">
        <v>55</v>
      </c>
      <c r="I129" s="518"/>
      <c r="J129" s="517"/>
      <c r="K129" s="515"/>
      <c r="L129" s="516" t="s">
        <v>51</v>
      </c>
      <c r="M129" s="516" t="s">
        <v>58</v>
      </c>
      <c r="N129" s="516"/>
      <c r="O129" s="516" t="s">
        <v>90</v>
      </c>
      <c r="P129" s="516" t="s">
        <v>106</v>
      </c>
      <c r="Q129" s="516" t="s">
        <v>92</v>
      </c>
      <c r="R129" s="516" t="s">
        <v>93</v>
      </c>
      <c r="S129" s="516"/>
      <c r="T129" s="526" t="s">
        <v>254</v>
      </c>
      <c r="U129" s="516">
        <v>5.5</v>
      </c>
      <c r="V129" s="516"/>
      <c r="W129" s="516"/>
      <c r="X129" s="516"/>
      <c r="Y129" s="516"/>
      <c r="Z129" s="516"/>
      <c r="AA129" s="516"/>
      <c r="AB129" s="516"/>
      <c r="AC129" s="516"/>
      <c r="AD129" s="516"/>
      <c r="AE129" s="514">
        <f>IFERROR(IF(Хронология[[#This Row],[Забой, м]]-V128&lt;0, 0, Хронология[[#This Row],[Забой, м]]-V128), 0)</f>
        <v>0</v>
      </c>
      <c r="AF129" s="521">
        <f t="shared" si="1"/>
        <v>46174.187499999935</v>
      </c>
      <c r="AG129" s="521">
        <f>Хронология[[#This Row],[Начало]]+Хронология[[#This Row],[Сутки]]</f>
        <v>46174.416666666599</v>
      </c>
      <c r="AH129" s="522">
        <f>Хронология[[#This Row],[Часы]]/24</f>
        <v>0.22916666666666666</v>
      </c>
      <c r="AI129" s="522">
        <f>IFERROR(Хронология[[#This Row],[Сутки]]+AI128, Хронология[[#This Row],[Сутки]])</f>
        <v>29.583333333333329</v>
      </c>
      <c r="AJ129"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ПНВ</v>
      </c>
      <c r="AK129"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v>
      </c>
      <c r="AL129"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5.5</v>
      </c>
      <c r="AM129" s="527">
        <f>IF(Хронология[[#This Row],[Результат]]="НПВ", Хронология[[#This Row],[Часы]], 0)</f>
        <v>0</v>
      </c>
      <c r="AN129" s="518">
        <f>SUMIFS(Хронология[НПВ], Хронология[Скважина], Хронология[[#This Row],[Скважина]], Хронология[Начало], "&lt;=" &amp; Хронология[[#This Row],[Начало]])</f>
        <v>59.5</v>
      </c>
      <c r="AO129" s="518">
        <f>SUMIFS(Хронология[ПНВ], Хронология[Скважина], Хронология[[#This Row],[Скважина]], Хронология[Начало], "&lt;=" &amp; Хронология[[#This Row],[Начало]])</f>
        <v>40.83</v>
      </c>
      <c r="AP129" s="523">
        <f>INT(ROUND(Хронология[[#This Row],[Начало]], 3))</f>
        <v>46174</v>
      </c>
      <c r="AQ129" s="524">
        <f>Хронология[[#This Row],[Начало]]-INT(Хронология[[#This Row],[Начало]])</f>
        <v>0.18749999993451638</v>
      </c>
      <c r="AR129" s="523">
        <f>INT(ROUND(Хронология[[#This Row],[Окончание]], 3))</f>
        <v>46174</v>
      </c>
      <c r="AS129" s="524">
        <f>Хронология[[#This Row],[Окончание]]-INT(Хронология[[#This Row],[Окончание]])</f>
        <v>0.41666666659875773</v>
      </c>
      <c r="AT129" s="524" t="str">
        <f>Хронология[[#This Row],[Мастер]] &amp; CHAR(10) &amp; Хронология[[#This Row],[Помощник мастера]] &amp; CHAR(10) &amp; Хронология[[#This Row],[Бурильщик]]</f>
        <v>Епифанов Д.Б.
Жангазиев С.К.</v>
      </c>
      <c r="AU129"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851 ОК– КРС Спуск УЭЦН </v>
      </c>
      <c r="AV129" s="518" t="str">
        <f>Хронология[[#This Row],[Результат]]&amp;":  "&amp;Хронология[[#This Row],[Событие]]&amp; CHAR(10) &amp;Хронология[[#This Row],[Вид работ]]&amp;"  "&amp;Хронология[[#This Row],[Объект работ]]</f>
        <v>ПНВ:  
Спуск  УЭЦН</v>
      </c>
      <c r="AW129" s="598">
        <f>SUMIF($AU$2:AU170, Хронология[[#This Row],[Ключ]], $AH$2:AH170)</f>
        <v>1.4583333333333335</v>
      </c>
      <c r="AX129" s="516" t="str">
        <f>Хронология[[#This Row],[Вид работ]] &amp; " " &amp; Хронология[[#This Row],[Объект работ]]</f>
        <v>Спуск УЭЦН</v>
      </c>
    </row>
    <row r="130" spans="1:50" ht="69" customHeight="1">
      <c r="A130" s="540" t="s">
        <v>50</v>
      </c>
      <c r="B130" s="541" t="s">
        <v>51</v>
      </c>
      <c r="C130" s="541" t="s">
        <v>52</v>
      </c>
      <c r="D130" s="542">
        <v>1</v>
      </c>
      <c r="E130" s="517">
        <v>851</v>
      </c>
      <c r="F130" s="515"/>
      <c r="G130" s="517"/>
      <c r="H130" s="517"/>
      <c r="I130" s="518"/>
      <c r="J130" s="517"/>
      <c r="K130" s="515"/>
      <c r="L130" s="516" t="s">
        <v>116</v>
      </c>
      <c r="M130" s="516" t="s">
        <v>58</v>
      </c>
      <c r="N130" s="516"/>
      <c r="O130" s="516" t="s">
        <v>69</v>
      </c>
      <c r="P130" s="516" t="s">
        <v>117</v>
      </c>
      <c r="Q130" s="516" t="s">
        <v>86</v>
      </c>
      <c r="R130" s="516" t="s">
        <v>118</v>
      </c>
      <c r="S130" s="516"/>
      <c r="T130" s="526" t="s">
        <v>255</v>
      </c>
      <c r="U130" s="516">
        <v>6</v>
      </c>
      <c r="V130" s="516"/>
      <c r="W130" s="516"/>
      <c r="X130" s="516"/>
      <c r="Y130" s="516"/>
      <c r="Z130" s="516"/>
      <c r="AA130" s="516"/>
      <c r="AB130" s="516"/>
      <c r="AC130" s="516"/>
      <c r="AD130" s="516"/>
      <c r="AE130" s="514">
        <f>IFERROR(IF(Хронология[[#This Row],[Забой, м]]-V129&lt;0, 0, Хронология[[#This Row],[Забой, м]]-V129), 0)</f>
        <v>0</v>
      </c>
      <c r="AF130" s="521">
        <f t="shared" si="1"/>
        <v>46174.416666666599</v>
      </c>
      <c r="AG130" s="521">
        <f>Хронология[[#This Row],[Начало]]+Хронология[[#This Row],[Сутки]]</f>
        <v>46174.666666666599</v>
      </c>
      <c r="AH130" s="522">
        <f>Хронология[[#This Row],[Часы]]/24</f>
        <v>0.25</v>
      </c>
      <c r="AI130" s="522">
        <f>IFERROR(Хронология[[#This Row],[Сутки]]+AI129, Хронология[[#This Row],[Сутки]])</f>
        <v>29.833333333333329</v>
      </c>
      <c r="AJ130"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ПНВ</v>
      </c>
      <c r="AK130"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4.53</v>
      </c>
      <c r="AL130"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1.4699999999999998</v>
      </c>
      <c r="AM130" s="527">
        <f>IF(Хронология[[#This Row],[Результат]]="НПВ", Хронология[[#This Row],[Часы]], 0)</f>
        <v>0</v>
      </c>
      <c r="AN130" s="518">
        <f>SUMIFS(Хронология[НПВ], Хронология[Скважина], Хронология[[#This Row],[Скважина]], Хронология[Начало], "&lt;=" &amp; Хронология[[#This Row],[Начало]])</f>
        <v>59.5</v>
      </c>
      <c r="AO130" s="518">
        <f>SUMIFS(Хронология[ПНВ], Хронология[Скважина], Хронология[[#This Row],[Скважина]], Хронология[Начало], "&lt;=" &amp; Хронология[[#This Row],[Начало]])</f>
        <v>42.3</v>
      </c>
      <c r="AP130" s="523">
        <f>INT(ROUND(Хронология[[#This Row],[Начало]], 3))</f>
        <v>46174</v>
      </c>
      <c r="AQ130" s="524">
        <f>Хронология[[#This Row],[Начало]]-INT(Хронология[[#This Row],[Начало]])</f>
        <v>0.41666666659875773</v>
      </c>
      <c r="AR130" s="523">
        <f>INT(ROUND(Хронология[[#This Row],[Окончание]], 3))</f>
        <v>46174</v>
      </c>
      <c r="AS130" s="524">
        <f>Хронология[[#This Row],[Окончание]]-INT(Хронология[[#This Row],[Окончание]])</f>
        <v>0.66666666659875773</v>
      </c>
      <c r="AT130" s="524" t="str">
        <f>Хронология[[#This Row],[Мастер]] &amp; CHAR(10) &amp; Хронология[[#This Row],[Помощник мастера]] &amp; CHAR(10) &amp; Хронология[[#This Row],[Бурильщик]]</f>
        <v xml:space="preserve">
</v>
      </c>
      <c r="AU130"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851 ОК– Заканчивание Перемонтаж Фонтанная арматура </v>
      </c>
      <c r="AV130" s="518" t="str">
        <f>Хронология[[#This Row],[Результат]]&amp;":  "&amp;Хронология[[#This Row],[Событие]]&amp; CHAR(10) &amp;Хронология[[#This Row],[Вид работ]]&amp;"  "&amp;Хронология[[#This Row],[Объект работ]]</f>
        <v>ПНВ:  
Перемонтаж  Фонтанная арматура</v>
      </c>
      <c r="AW130" s="598">
        <f>SUMIF($AU$2:AU171, Хронология[[#This Row],[Ключ]], $AH$2:AH171)</f>
        <v>0.25</v>
      </c>
      <c r="AX130" s="516" t="str">
        <f>Хронология[[#This Row],[Вид работ]] &amp; " " &amp; Хронология[[#This Row],[Объект работ]]</f>
        <v>Перемонтаж Фонтанная арматура</v>
      </c>
    </row>
    <row r="131" spans="1:50" ht="69" customHeight="1">
      <c r="A131" s="540" t="s">
        <v>50</v>
      </c>
      <c r="B131" s="541" t="s">
        <v>51</v>
      </c>
      <c r="C131" s="541" t="s">
        <v>52</v>
      </c>
      <c r="D131" s="542">
        <v>1</v>
      </c>
      <c r="E131" s="517">
        <v>851</v>
      </c>
      <c r="F131" s="515"/>
      <c r="G131" s="517"/>
      <c r="H131" s="517"/>
      <c r="I131" s="518"/>
      <c r="J131" s="517"/>
      <c r="K131" s="515"/>
      <c r="L131" s="516" t="s">
        <v>57</v>
      </c>
      <c r="M131" s="516" t="s">
        <v>58</v>
      </c>
      <c r="N131" s="516"/>
      <c r="O131" s="516" t="s">
        <v>69</v>
      </c>
      <c r="P131" s="516" t="s">
        <v>108</v>
      </c>
      <c r="Q131" s="516" t="s">
        <v>61</v>
      </c>
      <c r="R131" s="516" t="s">
        <v>62</v>
      </c>
      <c r="S131" s="516"/>
      <c r="T131" s="526" t="s">
        <v>256</v>
      </c>
      <c r="U131" s="516">
        <v>1.5</v>
      </c>
      <c r="V131" s="516"/>
      <c r="W131" s="516"/>
      <c r="X131" s="516"/>
      <c r="Y131" s="516"/>
      <c r="Z131" s="516"/>
      <c r="AA131" s="516"/>
      <c r="AB131" s="516"/>
      <c r="AC131" s="516"/>
      <c r="AD131" s="516"/>
      <c r="AE131" s="514">
        <f>IFERROR(IF(Хронология[[#This Row],[Забой, м]]-V130&lt;0, 0, Хронология[[#This Row],[Забой, м]]-V130), 0)</f>
        <v>0</v>
      </c>
      <c r="AF131" s="521">
        <f t="shared" ref="AF131:AF194" si="2">AG130</f>
        <v>46174.666666666599</v>
      </c>
      <c r="AG131" s="521">
        <f>Хронология[[#This Row],[Начало]]+Хронология[[#This Row],[Сутки]]</f>
        <v>46174.729166666599</v>
      </c>
      <c r="AH131" s="522">
        <f>Хронология[[#This Row],[Часы]]/24</f>
        <v>6.25E-2</v>
      </c>
      <c r="AI131" s="522">
        <f>IFERROR(Хронология[[#This Row],[Сутки]]+AI130, Хронология[[#This Row],[Сутки]])</f>
        <v>29.895833333333329</v>
      </c>
      <c r="AJ131"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ПВ</v>
      </c>
      <c r="AK131"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1.5</v>
      </c>
      <c r="AL131"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v>
      </c>
      <c r="AM131" s="527">
        <f>IF(Хронология[[#This Row],[Результат]]="НПВ", Хронология[[#This Row],[Часы]], 0)</f>
        <v>0</v>
      </c>
      <c r="AN131" s="518">
        <f>SUMIFS(Хронология[НПВ], Хронология[Скважина], Хронология[[#This Row],[Скважина]], Хронология[Начало], "&lt;=" &amp; Хронология[[#This Row],[Начало]])</f>
        <v>59.5</v>
      </c>
      <c r="AO131" s="518">
        <f>SUMIFS(Хронология[ПНВ], Хронология[Скважина], Хронология[[#This Row],[Скважина]], Хронология[Начало], "&lt;=" &amp; Хронология[[#This Row],[Начало]])</f>
        <v>42.3</v>
      </c>
      <c r="AP131" s="523">
        <f>INT(ROUND(Хронология[[#This Row],[Начало]], 3))</f>
        <v>46174</v>
      </c>
      <c r="AQ131" s="524">
        <f>Хронология[[#This Row],[Начало]]-INT(Хронология[[#This Row],[Начало]])</f>
        <v>0.66666666659875773</v>
      </c>
      <c r="AR131" s="523">
        <f>INT(ROUND(Хронология[[#This Row],[Окончание]], 3))</f>
        <v>46174</v>
      </c>
      <c r="AS131" s="524">
        <f>Хронология[[#This Row],[Окончание]]-INT(Хронология[[#This Row],[Окончание]])</f>
        <v>0.72916666659875773</v>
      </c>
      <c r="AT131" s="524" t="str">
        <f>Хронология[[#This Row],[Мастер]] &amp; CHAR(10) &amp; Хронология[[#This Row],[Помощник мастера]] &amp; CHAR(10) &amp; Хронология[[#This Row],[Бурильщик]]</f>
        <v xml:space="preserve">
</v>
      </c>
      <c r="AU131"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851 ОК– ДПМ Демонтаж УПА </v>
      </c>
      <c r="AV131" s="518" t="str">
        <f>Хронология[[#This Row],[Результат]]&amp;":  "&amp;Хронология[[#This Row],[Событие]]&amp; CHAR(10) &amp;Хронология[[#This Row],[Вид работ]]&amp;"  "&amp;Хронология[[#This Row],[Объект работ]]</f>
        <v>ПВ:  
Демонтаж  УПА</v>
      </c>
      <c r="AW131" s="598">
        <f>SUMIF($AU$2:AU172, Хронология[[#This Row],[Ключ]], $AH$2:AH172)</f>
        <v>0.1875</v>
      </c>
      <c r="AX131" s="516" t="str">
        <f>Хронология[[#This Row],[Вид работ]] &amp; " " &amp; Хронология[[#This Row],[Объект работ]]</f>
        <v>Демонтаж УПА</v>
      </c>
    </row>
    <row r="132" spans="1:50" ht="69" customHeight="1">
      <c r="A132" s="540" t="s">
        <v>50</v>
      </c>
      <c r="B132" s="541" t="s">
        <v>51</v>
      </c>
      <c r="C132" s="541" t="s">
        <v>52</v>
      </c>
      <c r="D132" s="542">
        <v>1</v>
      </c>
      <c r="E132" s="517">
        <v>851</v>
      </c>
      <c r="F132" s="515"/>
      <c r="G132" s="517"/>
      <c r="H132" s="517"/>
      <c r="I132" s="518"/>
      <c r="J132" s="517"/>
      <c r="K132" s="515"/>
      <c r="L132" s="516" t="s">
        <v>116</v>
      </c>
      <c r="M132" s="516" t="s">
        <v>58</v>
      </c>
      <c r="N132" s="516"/>
      <c r="O132" s="516" t="s">
        <v>111</v>
      </c>
      <c r="P132" s="516" t="s">
        <v>150</v>
      </c>
      <c r="Q132" s="516" t="s">
        <v>86</v>
      </c>
      <c r="R132" s="516" t="s">
        <v>118</v>
      </c>
      <c r="S132" s="516"/>
      <c r="T132" s="526" t="s">
        <v>257</v>
      </c>
      <c r="U132" s="516">
        <v>1</v>
      </c>
      <c r="V132" s="516"/>
      <c r="W132" s="516"/>
      <c r="X132" s="516"/>
      <c r="Y132" s="516"/>
      <c r="Z132" s="516"/>
      <c r="AA132" s="516"/>
      <c r="AB132" s="516"/>
      <c r="AC132" s="516"/>
      <c r="AD132" s="516"/>
      <c r="AE132" s="514">
        <f>IFERROR(IF(Хронология[[#This Row],[Забой, м]]-V131&lt;0, 0, Хронология[[#This Row],[Забой, м]]-V131), 0)</f>
        <v>0</v>
      </c>
      <c r="AF132" s="521">
        <f t="shared" si="2"/>
        <v>46174.729166666599</v>
      </c>
      <c r="AG132" s="521">
        <f>Хронология[[#This Row],[Начало]]+Хронология[[#This Row],[Сутки]]</f>
        <v>46174.770833333263</v>
      </c>
      <c r="AH132" s="522">
        <f>Хронология[[#This Row],[Часы]]/24</f>
        <v>4.1666666666666664E-2</v>
      </c>
      <c r="AI132" s="522">
        <f>IFERROR(Хронология[[#This Row],[Сутки]]+AI131, Хронология[[#This Row],[Сутки]])</f>
        <v>29.937499999999996</v>
      </c>
      <c r="AJ132"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ПНВ</v>
      </c>
      <c r="AK132"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0.9</v>
      </c>
      <c r="AL132"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9.9999999999999978E-2</v>
      </c>
      <c r="AM132" s="527">
        <f>IF(Хронология[[#This Row],[Результат]]="НПВ", Хронология[[#This Row],[Часы]], 0)</f>
        <v>0</v>
      </c>
      <c r="AN132" s="518">
        <f>SUMIFS(Хронология[НПВ], Хронология[Скважина], Хронология[[#This Row],[Скважина]], Хронология[Начало], "&lt;=" &amp; Хронология[[#This Row],[Начало]])</f>
        <v>59.5</v>
      </c>
      <c r="AO132" s="518">
        <f>SUMIFS(Хронология[ПНВ], Хронология[Скважина], Хронология[[#This Row],[Скважина]], Хронология[Начало], "&lt;=" &amp; Хронология[[#This Row],[Начало]])</f>
        <v>42.4</v>
      </c>
      <c r="AP132" s="523">
        <f>INT(ROUND(Хронология[[#This Row],[Начало]], 3))</f>
        <v>46174</v>
      </c>
      <c r="AQ132" s="524">
        <f>Хронология[[#This Row],[Начало]]-INT(Хронология[[#This Row],[Начало]])</f>
        <v>0.72916666659875773</v>
      </c>
      <c r="AR132" s="523">
        <f>INT(ROUND(Хронология[[#This Row],[Окончание]], 3))</f>
        <v>46174</v>
      </c>
      <c r="AS132" s="524">
        <f>Хронология[[#This Row],[Окончание]]-INT(Хронология[[#This Row],[Окончание]])</f>
        <v>0.77083333326299908</v>
      </c>
      <c r="AT132" s="524" t="str">
        <f>Хронология[[#This Row],[Мастер]] &amp; CHAR(10) &amp; Хронология[[#This Row],[Помощник мастера]] &amp; CHAR(10) &amp; Хронология[[#This Row],[Бурильщик]]</f>
        <v xml:space="preserve">
</v>
      </c>
      <c r="AU132"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851 ОК– Заканчивание Опрессовка Фонтанная арматура </v>
      </c>
      <c r="AV132" s="518" t="str">
        <f>Хронология[[#This Row],[Результат]]&amp;":  "&amp;Хронология[[#This Row],[Событие]]&amp; CHAR(10) &amp;Хронология[[#This Row],[Вид работ]]&amp;"  "&amp;Хронология[[#This Row],[Объект работ]]</f>
        <v>ПНВ:  
Опрессовка  Фонтанная арматура</v>
      </c>
      <c r="AW132" s="598">
        <f>SUMIF($AU$2:AU173, Хронология[[#This Row],[Ключ]], $AH$2:AH173)</f>
        <v>4.1666666666666664E-2</v>
      </c>
      <c r="AX132" s="516" t="str">
        <f>Хронология[[#This Row],[Вид работ]] &amp; " " &amp; Хронология[[#This Row],[Объект работ]]</f>
        <v>Опрессовка Фонтанная арматура</v>
      </c>
    </row>
    <row r="133" spans="1:50" ht="69" customHeight="1">
      <c r="A133" s="540" t="s">
        <v>50</v>
      </c>
      <c r="B133" s="541" t="s">
        <v>51</v>
      </c>
      <c r="C133" s="541" t="s">
        <v>52</v>
      </c>
      <c r="D133" s="542">
        <v>1</v>
      </c>
      <c r="E133" s="517">
        <v>851</v>
      </c>
      <c r="F133" s="515"/>
      <c r="G133" s="517"/>
      <c r="H133" s="517"/>
      <c r="I133" s="518"/>
      <c r="J133" s="517"/>
      <c r="K133" s="515"/>
      <c r="L133" s="516" t="s">
        <v>116</v>
      </c>
      <c r="M133" s="516" t="s">
        <v>58</v>
      </c>
      <c r="N133" s="516"/>
      <c r="O133" s="516" t="s">
        <v>120</v>
      </c>
      <c r="P133" s="516" t="s">
        <v>121</v>
      </c>
      <c r="Q133" s="516" t="s">
        <v>92</v>
      </c>
      <c r="R133" s="516" t="s">
        <v>93</v>
      </c>
      <c r="S133" s="516"/>
      <c r="T133" s="526" t="s">
        <v>258</v>
      </c>
      <c r="U133" s="516">
        <v>0.5</v>
      </c>
      <c r="V133" s="516"/>
      <c r="W133" s="516"/>
      <c r="X133" s="516"/>
      <c r="Y133" s="516"/>
      <c r="Z133" s="516"/>
      <c r="AA133" s="516"/>
      <c r="AB133" s="516"/>
      <c r="AC133" s="516"/>
      <c r="AD133" s="516"/>
      <c r="AE133" s="514">
        <f>IFERROR(IF(Хронология[[#This Row],[Забой, м]]-V132&lt;0, 0, Хронология[[#This Row],[Забой, м]]-V132), 0)</f>
        <v>0</v>
      </c>
      <c r="AF133" s="521">
        <f t="shared" si="2"/>
        <v>46174.770833333263</v>
      </c>
      <c r="AG133" s="521">
        <f>Хронология[[#This Row],[Начало]]+Хронология[[#This Row],[Сутки]]</f>
        <v>46174.791666666599</v>
      </c>
      <c r="AH133" s="522">
        <f>Хронология[[#This Row],[Часы]]/24</f>
        <v>2.0833333333333332E-2</v>
      </c>
      <c r="AI133" s="522">
        <f>IFERROR(Хронология[[#This Row],[Сутки]]+AI132, Хронология[[#This Row],[Сутки]])</f>
        <v>29.958333333333329</v>
      </c>
      <c r="AJ133"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ПВ</v>
      </c>
      <c r="AK133"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0.5</v>
      </c>
      <c r="AL133"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v>
      </c>
      <c r="AM133" s="527">
        <f>IF(Хронология[[#This Row],[Результат]]="НПВ", Хронология[[#This Row],[Часы]], 0)</f>
        <v>0</v>
      </c>
      <c r="AN133" s="518">
        <f>SUMIFS(Хронология[НПВ], Хронология[Скважина], Хронология[[#This Row],[Скважина]], Хронология[Начало], "&lt;=" &amp; Хронология[[#This Row],[Начало]])</f>
        <v>59.5</v>
      </c>
      <c r="AO133" s="518">
        <f>SUMIFS(Хронология[ПНВ], Хронология[Скважина], Хронология[[#This Row],[Скважина]], Хронология[Начало], "&lt;=" &amp; Хронология[[#This Row],[Начало]])</f>
        <v>42.4</v>
      </c>
      <c r="AP133" s="523">
        <f>INT(ROUND(Хронология[[#This Row],[Начало]], 3))</f>
        <v>46174</v>
      </c>
      <c r="AQ133" s="524">
        <f>Хронология[[#This Row],[Начало]]-INT(Хронология[[#This Row],[Начало]])</f>
        <v>0.77083333326299908</v>
      </c>
      <c r="AR133" s="523">
        <f>INT(ROUND(Хронология[[#This Row],[Окончание]], 3))</f>
        <v>46174</v>
      </c>
      <c r="AS133" s="524">
        <f>Хронология[[#This Row],[Окончание]]-INT(Хронология[[#This Row],[Окончание]])</f>
        <v>0.79166666659875773</v>
      </c>
      <c r="AT133" s="524" t="str">
        <f>Хронология[[#This Row],[Мастер]] &amp; CHAR(10) &amp; Хронология[[#This Row],[Помощник мастера]] &amp; CHAR(10) &amp; Хронология[[#This Row],[Бурильщик]]</f>
        <v xml:space="preserve">
</v>
      </c>
      <c r="AU133"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851 ОК– Заканчивание Запуск в работу УЭЦН </v>
      </c>
      <c r="AV133" s="518" t="str">
        <f>Хронология[[#This Row],[Результат]]&amp;":  "&amp;Хронология[[#This Row],[Событие]]&amp; CHAR(10) &amp;Хронология[[#This Row],[Вид работ]]&amp;"  "&amp;Хронология[[#This Row],[Объект работ]]</f>
        <v>ПВ:  
Запуск в работу  УЭЦН</v>
      </c>
      <c r="AW133" s="598">
        <f>SUMIF($AU$2:AU174, Хронология[[#This Row],[Ключ]], $AH$2:AH174)</f>
        <v>2.0833333333333332E-2</v>
      </c>
      <c r="AX133" s="516" t="str">
        <f>Хронология[[#This Row],[Вид работ]] &amp; " " &amp; Хронология[[#This Row],[Объект работ]]</f>
        <v>Запуск в работу УЭЦН</v>
      </c>
    </row>
    <row r="134" spans="1:50" ht="69" customHeight="1">
      <c r="A134" s="540" t="s">
        <v>50</v>
      </c>
      <c r="B134" s="541" t="s">
        <v>51</v>
      </c>
      <c r="C134" s="541" t="s">
        <v>52</v>
      </c>
      <c r="D134" s="542">
        <v>1</v>
      </c>
      <c r="E134" s="517">
        <v>851</v>
      </c>
      <c r="F134" s="515"/>
      <c r="G134" s="517"/>
      <c r="H134" s="517"/>
      <c r="I134" s="518"/>
      <c r="J134" s="517"/>
      <c r="K134" s="515"/>
      <c r="L134" s="516" t="s">
        <v>57</v>
      </c>
      <c r="M134" s="516" t="s">
        <v>58</v>
      </c>
      <c r="N134" s="516"/>
      <c r="O134" s="516" t="s">
        <v>69</v>
      </c>
      <c r="P134" s="516" t="s">
        <v>108</v>
      </c>
      <c r="Q134" s="516" t="s">
        <v>61</v>
      </c>
      <c r="R134" s="516" t="s">
        <v>62</v>
      </c>
      <c r="S134" s="516"/>
      <c r="T134" s="526" t="s">
        <v>259</v>
      </c>
      <c r="U134" s="516">
        <v>3</v>
      </c>
      <c r="V134" s="516"/>
      <c r="W134" s="516"/>
      <c r="X134" s="516"/>
      <c r="Y134" s="516"/>
      <c r="Z134" s="516"/>
      <c r="AA134" s="516"/>
      <c r="AB134" s="516"/>
      <c r="AC134" s="516"/>
      <c r="AD134" s="516"/>
      <c r="AE134" s="514">
        <f>IFERROR(IF(Хронология[[#This Row],[Забой, м]]-V133&lt;0, 0, Хронология[[#This Row],[Забой, м]]-V133), 0)</f>
        <v>0</v>
      </c>
      <c r="AF134" s="521">
        <f t="shared" si="2"/>
        <v>46174.791666666599</v>
      </c>
      <c r="AG134" s="521">
        <f>Хронология[[#This Row],[Начало]]+Хронология[[#This Row],[Сутки]]</f>
        <v>46174.916666666599</v>
      </c>
      <c r="AH134" s="522">
        <f>Хронология[[#This Row],[Часы]]/24</f>
        <v>0.125</v>
      </c>
      <c r="AI134" s="522">
        <f>IFERROR(Хронология[[#This Row],[Сутки]]+AI133, Хронология[[#This Row],[Сутки]])</f>
        <v>30.083333333333329</v>
      </c>
      <c r="AJ134"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ПВ</v>
      </c>
      <c r="AK134"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3</v>
      </c>
      <c r="AL134"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v>
      </c>
      <c r="AM134" s="527">
        <f>IF(Хронология[[#This Row],[Результат]]="НПВ", Хронология[[#This Row],[Часы]], 0)</f>
        <v>0</v>
      </c>
      <c r="AN134" s="518">
        <f>SUMIFS(Хронология[НПВ], Хронология[Скважина], Хронология[[#This Row],[Скважина]], Хронология[Начало], "&lt;=" &amp; Хронология[[#This Row],[Начало]])</f>
        <v>59.5</v>
      </c>
      <c r="AO134" s="518">
        <f>SUMIFS(Хронология[ПНВ], Хронология[Скважина], Хронология[[#This Row],[Скважина]], Хронология[Начало], "&lt;=" &amp; Хронология[[#This Row],[Начало]])</f>
        <v>42.4</v>
      </c>
      <c r="AP134" s="523">
        <f>INT(ROUND(Хронология[[#This Row],[Начало]], 3))</f>
        <v>46174</v>
      </c>
      <c r="AQ134" s="524">
        <f>Хронология[[#This Row],[Начало]]-INT(Хронология[[#This Row],[Начало]])</f>
        <v>0.79166666659875773</v>
      </c>
      <c r="AR134" s="523">
        <f>INT(ROUND(Хронология[[#This Row],[Окончание]], 3))</f>
        <v>46174</v>
      </c>
      <c r="AS134" s="524">
        <f>Хронология[[#This Row],[Окончание]]-INT(Хронология[[#This Row],[Окончание]])</f>
        <v>0.91666666659875773</v>
      </c>
      <c r="AT134" s="524" t="str">
        <f>Хронология[[#This Row],[Мастер]] &amp; CHAR(10) &amp; Хронология[[#This Row],[Помощник мастера]] &amp; CHAR(10) &amp; Хронология[[#This Row],[Бурильщик]]</f>
        <v xml:space="preserve">
</v>
      </c>
      <c r="AU134"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851 ОК– ДПМ Демонтаж УПА </v>
      </c>
      <c r="AV134" s="518" t="str">
        <f>Хронология[[#This Row],[Результат]]&amp;":  "&amp;Хронология[[#This Row],[Событие]]&amp; CHAR(10) &amp;Хронология[[#This Row],[Вид работ]]&amp;"  "&amp;Хронология[[#This Row],[Объект работ]]</f>
        <v>ПВ:  
Демонтаж  УПА</v>
      </c>
      <c r="AW134" s="598">
        <f>SUMIF($AU$2:AU175, Хронология[[#This Row],[Ключ]], $AH$2:AH175)</f>
        <v>0.1875</v>
      </c>
      <c r="AX134" s="516" t="str">
        <f>Хронология[[#This Row],[Вид работ]] &amp; " " &amp; Хронология[[#This Row],[Объект работ]]</f>
        <v>Демонтаж УПА</v>
      </c>
    </row>
    <row r="135" spans="1:50" ht="69" customHeight="1">
      <c r="A135" s="540" t="s">
        <v>50</v>
      </c>
      <c r="B135" s="541" t="s">
        <v>51</v>
      </c>
      <c r="C135" s="541" t="s">
        <v>52</v>
      </c>
      <c r="D135" s="542">
        <v>1</v>
      </c>
      <c r="E135" s="517">
        <v>851</v>
      </c>
      <c r="F135" s="515"/>
      <c r="G135" s="517"/>
      <c r="H135" s="517"/>
      <c r="I135" s="518"/>
      <c r="J135" s="517"/>
      <c r="K135" s="515"/>
      <c r="L135" s="516" t="s">
        <v>57</v>
      </c>
      <c r="M135" s="516" t="s">
        <v>58</v>
      </c>
      <c r="N135" s="516"/>
      <c r="O135" s="516" t="s">
        <v>69</v>
      </c>
      <c r="P135" s="516" t="s">
        <v>108</v>
      </c>
      <c r="Q135" s="516" t="s">
        <v>61</v>
      </c>
      <c r="R135" s="516" t="s">
        <v>71</v>
      </c>
      <c r="S135" s="516"/>
      <c r="T135" s="526" t="s">
        <v>260</v>
      </c>
      <c r="U135" s="516">
        <v>2</v>
      </c>
      <c r="V135" s="516"/>
      <c r="W135" s="516"/>
      <c r="X135" s="516"/>
      <c r="Y135" s="516"/>
      <c r="Z135" s="516"/>
      <c r="AA135" s="516"/>
      <c r="AB135" s="516"/>
      <c r="AC135" s="516"/>
      <c r="AD135" s="516"/>
      <c r="AE135" s="514">
        <f>IFERROR(IF(Хронология[[#This Row],[Забой, м]]-V134&lt;0, 0, Хронология[[#This Row],[Забой, м]]-V134), 0)</f>
        <v>0</v>
      </c>
      <c r="AF135" s="521">
        <f t="shared" si="2"/>
        <v>46174.916666666599</v>
      </c>
      <c r="AG135" s="521">
        <f>Хронология[[#This Row],[Начало]]+Хронология[[#This Row],[Сутки]]</f>
        <v>46174.999999999935</v>
      </c>
      <c r="AH135" s="522">
        <f>Хронология[[#This Row],[Часы]]/24</f>
        <v>8.3333333333333329E-2</v>
      </c>
      <c r="AI135" s="522">
        <f>IFERROR(Хронология[[#This Row],[Сутки]]+AI134, Хронология[[#This Row],[Сутки]])</f>
        <v>30.166666666666661</v>
      </c>
      <c r="AJ135"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ПНВ</v>
      </c>
      <c r="AK135"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2</v>
      </c>
      <c r="AL135"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v>
      </c>
      <c r="AM135" s="527">
        <f>IF(Хронология[[#This Row],[Результат]]="НПВ", Хронология[[#This Row],[Часы]], 0)</f>
        <v>0</v>
      </c>
      <c r="AN135" s="518">
        <f>SUMIFS(Хронология[НПВ], Хронология[Скважина], Хронология[[#This Row],[Скважина]], Хронология[Начало], "&lt;=" &amp; Хронология[[#This Row],[Начало]])</f>
        <v>59.5</v>
      </c>
      <c r="AO135" s="518">
        <f>SUMIFS(Хронология[ПНВ], Хронология[Скважина], Хронология[[#This Row],[Скважина]], Хронология[Начало], "&lt;=" &amp; Хронология[[#This Row],[Начало]])</f>
        <v>42.4</v>
      </c>
      <c r="AP135" s="523">
        <f>INT(ROUND(Хронология[[#This Row],[Начало]], 3))</f>
        <v>46174</v>
      </c>
      <c r="AQ135" s="524">
        <f>Хронология[[#This Row],[Начало]]-INT(Хронология[[#This Row],[Начало]])</f>
        <v>0.91666666659875773</v>
      </c>
      <c r="AR135" s="523">
        <f>INT(ROUND(Хронология[[#This Row],[Окончание]], 3))</f>
        <v>46175</v>
      </c>
      <c r="AS135" s="524">
        <f>Хронология[[#This Row],[Окончание]]-INT(Хронология[[#This Row],[Окончание]])</f>
        <v>0.99999999993451638</v>
      </c>
      <c r="AT135" s="524" t="str">
        <f>Хронология[[#This Row],[Мастер]] &amp; CHAR(10) &amp; Хронология[[#This Row],[Помощник мастера]] &amp; CHAR(10) &amp; Хронология[[#This Row],[Бурильщик]]</f>
        <v xml:space="preserve">
</v>
      </c>
      <c r="AU135"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851 ОК– ДПМ Демонтаж БО </v>
      </c>
      <c r="AV135" s="518" t="str">
        <f>Хронология[[#This Row],[Результат]]&amp;":  "&amp;Хронология[[#This Row],[Событие]]&amp; CHAR(10) &amp;Хронология[[#This Row],[Вид работ]]&amp;"  "&amp;Хронология[[#This Row],[Объект работ]]</f>
        <v>ПНВ:  
Демонтаж  БО</v>
      </c>
      <c r="AW135" s="598">
        <f>SUMIF($AU$2:AU176, Хронология[[#This Row],[Ключ]], $AH$2:AH176)</f>
        <v>0.375</v>
      </c>
      <c r="AX135" s="516" t="str">
        <f>Хронология[[#This Row],[Вид работ]] &amp; " " &amp; Хронология[[#This Row],[Объект работ]]</f>
        <v>Демонтаж БО</v>
      </c>
    </row>
    <row r="136" spans="1:50" ht="69" customHeight="1">
      <c r="A136" s="540" t="s">
        <v>50</v>
      </c>
      <c r="B136" s="541" t="s">
        <v>51</v>
      </c>
      <c r="C136" s="541" t="s">
        <v>52</v>
      </c>
      <c r="D136" s="542">
        <v>1</v>
      </c>
      <c r="E136" s="517">
        <v>851</v>
      </c>
      <c r="F136" s="515"/>
      <c r="G136" s="517"/>
      <c r="H136" s="517"/>
      <c r="I136" s="518"/>
      <c r="J136" s="517"/>
      <c r="K136" s="515"/>
      <c r="L136" s="516" t="s">
        <v>57</v>
      </c>
      <c r="M136" s="516" t="s">
        <v>58</v>
      </c>
      <c r="N136" s="516"/>
      <c r="O136" s="516" t="s">
        <v>69</v>
      </c>
      <c r="P136" s="516" t="s">
        <v>108</v>
      </c>
      <c r="Q136" s="516" t="s">
        <v>61</v>
      </c>
      <c r="R136" s="516" t="s">
        <v>71</v>
      </c>
      <c r="S136" s="516"/>
      <c r="T136" s="526" t="s">
        <v>261</v>
      </c>
      <c r="U136" s="516">
        <v>1</v>
      </c>
      <c r="V136" s="516"/>
      <c r="W136" s="516"/>
      <c r="X136" s="516"/>
      <c r="Y136" s="516"/>
      <c r="Z136" s="516"/>
      <c r="AA136" s="516"/>
      <c r="AB136" s="516"/>
      <c r="AC136" s="516"/>
      <c r="AD136" s="516"/>
      <c r="AE136" s="514">
        <f>IFERROR(IF(Хронология[[#This Row],[Забой, м]]-V135&lt;0, 0, Хронология[[#This Row],[Забой, м]]-V135), 0)</f>
        <v>0</v>
      </c>
      <c r="AF136" s="521">
        <f t="shared" si="2"/>
        <v>46174.999999999935</v>
      </c>
      <c r="AG136" s="521">
        <f>Хронология[[#This Row],[Начало]]+Хронология[[#This Row],[Сутки]]</f>
        <v>46175.041666666599</v>
      </c>
      <c r="AH136" s="522">
        <f>Хронология[[#This Row],[Часы]]/24</f>
        <v>4.1666666666666664E-2</v>
      </c>
      <c r="AI136" s="522">
        <f>IFERROR(Хронология[[#This Row],[Сутки]]+AI135, Хронология[[#This Row],[Сутки]])</f>
        <v>30.208333333333329</v>
      </c>
      <c r="AJ136"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ПНВ</v>
      </c>
      <c r="AK136"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0.83999999999999986</v>
      </c>
      <c r="AL136"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0.16000000000000014</v>
      </c>
      <c r="AM136" s="527">
        <f>IF(Хронология[[#This Row],[Результат]]="НПВ", Хронология[[#This Row],[Часы]], 0)</f>
        <v>0</v>
      </c>
      <c r="AN136" s="518">
        <f>SUMIFS(Хронология[НПВ], Хронология[Скважина], Хронология[[#This Row],[Скважина]], Хронология[Начало], "&lt;=" &amp; Хронология[[#This Row],[Начало]])</f>
        <v>59.5</v>
      </c>
      <c r="AO136" s="518">
        <f>SUMIFS(Хронология[ПНВ], Хронология[Скважина], Хронология[[#This Row],[Скважина]], Хронология[Начало], "&lt;=" &amp; Хронология[[#This Row],[Начало]])</f>
        <v>42.56</v>
      </c>
      <c r="AP136" s="523">
        <f>INT(ROUND(Хронология[[#This Row],[Начало]], 3))</f>
        <v>46175</v>
      </c>
      <c r="AQ136" s="524">
        <f>Хронология[[#This Row],[Начало]]-INT(Хронология[[#This Row],[Начало]])</f>
        <v>0.99999999993451638</v>
      </c>
      <c r="AR136" s="523">
        <f>INT(ROUND(Хронология[[#This Row],[Окончание]], 3))</f>
        <v>46175</v>
      </c>
      <c r="AS136" s="524">
        <f>Хронология[[#This Row],[Окончание]]-INT(Хронология[[#This Row],[Окончание]])</f>
        <v>4.1666666598757729E-2</v>
      </c>
      <c r="AT136" s="524" t="str">
        <f>Хронология[[#This Row],[Мастер]] &amp; CHAR(10) &amp; Хронология[[#This Row],[Помощник мастера]] &amp; CHAR(10) &amp; Хронология[[#This Row],[Бурильщик]]</f>
        <v xml:space="preserve">
</v>
      </c>
      <c r="AU136"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851 ОК– ДПМ Демонтаж БО </v>
      </c>
      <c r="AV136" s="518" t="str">
        <f>Хронология[[#This Row],[Результат]]&amp;":  "&amp;Хронология[[#This Row],[Событие]]&amp; CHAR(10) &amp;Хронология[[#This Row],[Вид работ]]&amp;"  "&amp;Хронология[[#This Row],[Объект работ]]</f>
        <v>ПНВ:  
Демонтаж  БО</v>
      </c>
      <c r="AW136" s="598">
        <f>SUMIF($AU$2:AU177, Хронология[[#This Row],[Ключ]], $AH$2:AH177)</f>
        <v>0.375</v>
      </c>
      <c r="AX136" s="516" t="str">
        <f>Хронология[[#This Row],[Вид работ]] &amp; " " &amp; Хронология[[#This Row],[Объект работ]]</f>
        <v>Демонтаж БО</v>
      </c>
    </row>
    <row r="137" spans="1:50" ht="50.5" customHeight="1">
      <c r="A137" s="540" t="s">
        <v>50</v>
      </c>
      <c r="B137" s="541" t="s">
        <v>51</v>
      </c>
      <c r="C137" s="541" t="s">
        <v>52</v>
      </c>
      <c r="D137" s="542">
        <v>1</v>
      </c>
      <c r="E137" s="517">
        <v>851</v>
      </c>
      <c r="F137" s="515"/>
      <c r="G137" s="517"/>
      <c r="H137" s="517"/>
      <c r="I137" s="518"/>
      <c r="J137" s="517"/>
      <c r="K137" s="515"/>
      <c r="L137" s="516" t="s">
        <v>57</v>
      </c>
      <c r="M137" s="516" t="s">
        <v>58</v>
      </c>
      <c r="N137" s="516"/>
      <c r="O137" s="516" t="s">
        <v>69</v>
      </c>
      <c r="P137" s="516" t="s">
        <v>108</v>
      </c>
      <c r="Q137" s="516" t="s">
        <v>61</v>
      </c>
      <c r="R137" s="516" t="s">
        <v>71</v>
      </c>
      <c r="S137" s="516"/>
      <c r="T137" s="514" t="s">
        <v>262</v>
      </c>
      <c r="U137" s="516">
        <v>6</v>
      </c>
      <c r="V137" s="516">
        <v>0</v>
      </c>
      <c r="W137" s="516" t="s">
        <v>64</v>
      </c>
      <c r="X137" s="516"/>
      <c r="Y137" s="516"/>
      <c r="Z137" s="516"/>
      <c r="AA137" s="516"/>
      <c r="AB137" s="516"/>
      <c r="AC137" s="516"/>
      <c r="AD137" s="516"/>
      <c r="AE137" s="514">
        <f>IFERROR(IF(Хронология[[#This Row],[Забой, м]]-V136&lt;0, 0, Хронология[[#This Row],[Забой, м]]-V136), 0)</f>
        <v>0</v>
      </c>
      <c r="AF137" s="521">
        <f t="shared" si="2"/>
        <v>46175.041666666599</v>
      </c>
      <c r="AG137" s="521">
        <f>Хронология[[#This Row],[Начало]]+Хронология[[#This Row],[Сутки]]</f>
        <v>46175.291666666599</v>
      </c>
      <c r="AH137" s="522">
        <f>Хронология[[#This Row],[Часы]]/24</f>
        <v>0.25</v>
      </c>
      <c r="AI137" s="522">
        <f>IFERROR(Хронология[[#This Row],[Сутки]]+AI136, Хронология[[#This Row],[Сутки]])</f>
        <v>30.458333333333329</v>
      </c>
      <c r="AJ137"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ПНВ</v>
      </c>
      <c r="AK137"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v>
      </c>
      <c r="AL137"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6</v>
      </c>
      <c r="AM137" s="527">
        <f>IF(Хронология[[#This Row],[Результат]]="НПВ", Хронология[[#This Row],[Часы]], 0)</f>
        <v>0</v>
      </c>
      <c r="AN137" s="518">
        <f>SUMIFS(Хронология[НПВ], Хронология[Скважина], Хронология[[#This Row],[Скважина]], Хронология[Начало], "&lt;=" &amp; Хронология[[#This Row],[Начало]])</f>
        <v>59.5</v>
      </c>
      <c r="AO137" s="518">
        <f>SUMIFS(Хронология[ПНВ], Хронология[Скважина], Хронология[[#This Row],[Скважина]], Хронология[Начало], "&lt;=" &amp; Хронология[[#This Row],[Начало]])</f>
        <v>48.56</v>
      </c>
      <c r="AP137" s="523">
        <f>INT(ROUND(Хронология[[#This Row],[Начало]], 3))</f>
        <v>46175</v>
      </c>
      <c r="AQ137" s="524">
        <f>Хронология[[#This Row],[Начало]]-INT(Хронология[[#This Row],[Начало]])</f>
        <v>4.1666666598757729E-2</v>
      </c>
      <c r="AR137" s="523">
        <f>INT(ROUND(Хронология[[#This Row],[Окончание]], 3))</f>
        <v>46175</v>
      </c>
      <c r="AS137" s="524">
        <f>Хронология[[#This Row],[Окончание]]-INT(Хронология[[#This Row],[Окончание]])</f>
        <v>0.29166666659875773</v>
      </c>
      <c r="AT137" s="524" t="str">
        <f>Хронология[[#This Row],[Мастер]] &amp; CHAR(10) &amp; Хронология[[#This Row],[Помощник мастера]] &amp; CHAR(10) &amp; Хронология[[#This Row],[Бурильщик]]</f>
        <v xml:space="preserve">
</v>
      </c>
      <c r="AU137"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851 ОК– ДПМ Демонтаж БО </v>
      </c>
      <c r="AV137" s="518" t="str">
        <f>Хронология[[#This Row],[Результат]]&amp;":  "&amp;Хронология[[#This Row],[Событие]]&amp; CHAR(10) &amp;Хронология[[#This Row],[Вид работ]]&amp;"  "&amp;Хронология[[#This Row],[Объект работ]]</f>
        <v>ПНВ:  
Демонтаж  БО</v>
      </c>
      <c r="AW137" s="601">
        <f>SUMIF($AU$2:AU137, Хронология[[#This Row],[Ключ]], $AH$2:AH137)</f>
        <v>0.375</v>
      </c>
      <c r="AX137" s="516" t="str">
        <f>Хронология[[#This Row],[Вид работ]] &amp; " " &amp; Хронология[[#This Row],[Объект работ]]</f>
        <v>Демонтаж БО</v>
      </c>
    </row>
    <row r="138" spans="1:50" ht="50.5" customHeight="1">
      <c r="A138" s="540" t="s">
        <v>50</v>
      </c>
      <c r="B138" s="541" t="s">
        <v>263</v>
      </c>
      <c r="C138" s="541" t="s">
        <v>264</v>
      </c>
      <c r="D138" s="542" t="s">
        <v>265</v>
      </c>
      <c r="E138" s="517" t="s">
        <v>266</v>
      </c>
      <c r="F138" s="515"/>
      <c r="G138" s="517"/>
      <c r="H138" s="517" t="s">
        <v>267</v>
      </c>
      <c r="I138" s="518">
        <v>9</v>
      </c>
      <c r="J138" s="517" t="s">
        <v>268</v>
      </c>
      <c r="K138" s="515"/>
      <c r="L138" s="516" t="s">
        <v>57</v>
      </c>
      <c r="M138" s="516" t="s">
        <v>58</v>
      </c>
      <c r="N138" s="516"/>
      <c r="O138" s="516" t="s">
        <v>69</v>
      </c>
      <c r="P138" s="516" t="s">
        <v>269</v>
      </c>
      <c r="Q138" s="516" t="s">
        <v>61</v>
      </c>
      <c r="R138" s="516" t="s">
        <v>270</v>
      </c>
      <c r="S138" s="516"/>
      <c r="T138" s="514" t="s">
        <v>271</v>
      </c>
      <c r="U138" s="516">
        <v>5</v>
      </c>
      <c r="V138" s="516">
        <v>2758.16</v>
      </c>
      <c r="W138" s="516" t="s">
        <v>64</v>
      </c>
      <c r="X138" s="516"/>
      <c r="Y138" s="516"/>
      <c r="Z138" s="516"/>
      <c r="AA138" s="516"/>
      <c r="AB138" s="516"/>
      <c r="AC138" s="516"/>
      <c r="AD138" s="516"/>
      <c r="AE138" s="514">
        <f>IFERROR(IF(Хронология[[#This Row],[Забой, м]]-V137&lt;0, 0, Хронология[[#This Row],[Забой, м]]-V137), 0)</f>
        <v>2758.16</v>
      </c>
      <c r="AF138" s="521">
        <f t="shared" si="2"/>
        <v>46175.291666666599</v>
      </c>
      <c r="AG138" s="521">
        <f>Хронология[[#This Row],[Начало]]+Хронология[[#This Row],[Сутки]]</f>
        <v>46175.499999999935</v>
      </c>
      <c r="AH138" s="522">
        <f>Хронология[[#This Row],[Часы]]/24</f>
        <v>0.20833333333333334</v>
      </c>
      <c r="AI138" s="522">
        <f>IFERROR(Хронология[[#This Row],[Сутки]]+AI137, Хронология[[#This Row],[Сутки]])</f>
        <v>30.666666666666661</v>
      </c>
      <c r="AJ138"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ПВ</v>
      </c>
      <c r="AK138"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5</v>
      </c>
      <c r="AL138"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v>
      </c>
      <c r="AM138" s="527">
        <f>IF(Хронология[[#This Row],[Результат]]="НПВ", Хронология[[#This Row],[Часы]], 0)</f>
        <v>0</v>
      </c>
      <c r="AN138" s="518">
        <f>SUMIFS(Хронология[НПВ], Хронология[Скважина], Хронология[[#This Row],[Скважина]], Хронология[Начало], "&lt;=" &amp; Хронология[[#This Row],[Начало]])</f>
        <v>0</v>
      </c>
      <c r="AO138" s="518">
        <f>SUMIFS(Хронология[ПНВ], Хронология[Скважина], Хронология[[#This Row],[Скважина]], Хронология[Начало], "&lt;=" &amp; Хронология[[#This Row],[Начало]])</f>
        <v>0</v>
      </c>
      <c r="AP138" s="523">
        <f>INT(ROUND(Хронология[[#This Row],[Начало]], 3))</f>
        <v>46175</v>
      </c>
      <c r="AQ138" s="524">
        <f>Хронология[[#This Row],[Начало]]-INT(Хронология[[#This Row],[Начало]])</f>
        <v>0.29166666659875773</v>
      </c>
      <c r="AR138" s="523">
        <f>INT(ROUND(Хронология[[#This Row],[Окончание]], 3))</f>
        <v>46175</v>
      </c>
      <c r="AS138" s="524">
        <f>Хронология[[#This Row],[Окончание]]-INT(Хронология[[#This Row],[Окончание]])</f>
        <v>0.49999999993451638</v>
      </c>
      <c r="AT138" s="524" t="str">
        <f>Хронология[[#This Row],[Мастер]] &amp; CHAR(10) &amp; Хронология[[#This Row],[Помощник мастера]] &amp; CHAR(10) &amp; Хронология[[#This Row],[Бурильщик]]</f>
        <v xml:space="preserve">
Шипунов С.И.</v>
      </c>
      <c r="AU138"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600 ОК– ДПМ Переезд Буровая установка </v>
      </c>
      <c r="AV138" s="518" t="str">
        <f>Хронология[[#This Row],[Результат]]&amp;":  "&amp;Хронология[[#This Row],[Событие]]&amp; CHAR(10) &amp;Хронология[[#This Row],[Вид работ]]&amp;"  "&amp;Хронология[[#This Row],[Объект работ]]</f>
        <v>ПВ:  
Переезд  Буровая установка</v>
      </c>
      <c r="AW138" s="601">
        <f>SUMIF($AU$2:AU138, Хронология[[#This Row],[Ключ]], $AH$2:AH138)</f>
        <v>0.20833333333333334</v>
      </c>
      <c r="AX138" s="516" t="str">
        <f>Хронология[[#This Row],[Вид работ]] &amp; " " &amp; Хронология[[#This Row],[Объект работ]]</f>
        <v>Переезд Буровая установка</v>
      </c>
    </row>
    <row r="139" spans="1:50" ht="50.5" customHeight="1">
      <c r="A139" s="540" t="s">
        <v>50</v>
      </c>
      <c r="B139" s="541" t="s">
        <v>263</v>
      </c>
      <c r="C139" s="541" t="s">
        <v>264</v>
      </c>
      <c r="D139" s="542" t="s">
        <v>265</v>
      </c>
      <c r="E139" s="517" t="s">
        <v>266</v>
      </c>
      <c r="F139" s="515"/>
      <c r="G139" s="517"/>
      <c r="H139" s="517" t="s">
        <v>267</v>
      </c>
      <c r="I139" s="518">
        <v>9</v>
      </c>
      <c r="J139" s="517" t="s">
        <v>272</v>
      </c>
      <c r="K139" s="515"/>
      <c r="L139" s="516" t="s">
        <v>57</v>
      </c>
      <c r="M139" s="516" t="s">
        <v>58</v>
      </c>
      <c r="N139" s="516"/>
      <c r="O139" s="516" t="s">
        <v>69</v>
      </c>
      <c r="P139" s="516" t="s">
        <v>269</v>
      </c>
      <c r="Q139" s="516" t="s">
        <v>61</v>
      </c>
      <c r="R139" s="516" t="s">
        <v>270</v>
      </c>
      <c r="S139" s="516"/>
      <c r="T139" s="514" t="s">
        <v>273</v>
      </c>
      <c r="U139" s="516">
        <v>4</v>
      </c>
      <c r="V139" s="516">
        <v>2758.16</v>
      </c>
      <c r="W139" s="516" t="s">
        <v>64</v>
      </c>
      <c r="X139" s="516"/>
      <c r="Y139" s="516"/>
      <c r="Z139" s="516"/>
      <c r="AA139" s="516"/>
      <c r="AB139" s="516"/>
      <c r="AC139" s="516"/>
      <c r="AD139" s="516"/>
      <c r="AE139" s="514">
        <f>IFERROR(IF(Хронология[[#This Row],[Забой, м]]-V138&lt;0, 0, Хронология[[#This Row],[Забой, м]]-V138), 0)</f>
        <v>0</v>
      </c>
      <c r="AF139" s="521">
        <f t="shared" si="2"/>
        <v>46175.499999999935</v>
      </c>
      <c r="AG139" s="521">
        <f>Хронология[[#This Row],[Начало]]+Хронология[[#This Row],[Сутки]]</f>
        <v>46175.666666666599</v>
      </c>
      <c r="AH139" s="522">
        <f>Хронология[[#This Row],[Часы]]/24</f>
        <v>0.16666666666666666</v>
      </c>
      <c r="AI139" s="522">
        <f>IFERROR(Хронология[[#This Row],[Сутки]]+AI138, Хронология[[#This Row],[Сутки]])</f>
        <v>30.833333333333329</v>
      </c>
      <c r="AJ139"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ПВ</v>
      </c>
      <c r="AK139"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4</v>
      </c>
      <c r="AL139"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v>
      </c>
      <c r="AM139" s="527">
        <f>IF(Хронология[[#This Row],[Результат]]="НПВ", Хронология[[#This Row],[Часы]], 0)</f>
        <v>0</v>
      </c>
      <c r="AN139" s="518">
        <f>SUMIFS(Хронология[НПВ], Хронология[Скважина], Хронология[[#This Row],[Скважина]], Хронология[Начало], "&lt;=" &amp; Хронология[[#This Row],[Начало]])</f>
        <v>0</v>
      </c>
      <c r="AO139" s="518">
        <f>SUMIFS(Хронология[ПНВ], Хронология[Скважина], Хронология[[#This Row],[Скважина]], Хронология[Начало], "&lt;=" &amp; Хронология[[#This Row],[Начало]])</f>
        <v>0</v>
      </c>
      <c r="AP139" s="523">
        <f>INT(ROUND(Хронология[[#This Row],[Начало]], 3))</f>
        <v>46175</v>
      </c>
      <c r="AQ139" s="524">
        <f>Хронология[[#This Row],[Начало]]-INT(Хронология[[#This Row],[Начало]])</f>
        <v>0.49999999993451638</v>
      </c>
      <c r="AR139" s="523">
        <f>INT(ROUND(Хронология[[#This Row],[Окончание]], 3))</f>
        <v>46175</v>
      </c>
      <c r="AS139" s="524">
        <f>Хронология[[#This Row],[Окончание]]-INT(Хронология[[#This Row],[Окончание]])</f>
        <v>0.66666666659875773</v>
      </c>
      <c r="AT139" s="524" t="str">
        <f>Хронология[[#This Row],[Мастер]] &amp; CHAR(10) &amp; Хронология[[#This Row],[Помощник мастера]] &amp; CHAR(10) &amp; Хронология[[#This Row],[Бурильщик]]</f>
        <v xml:space="preserve">
Шипунов С.И.</v>
      </c>
      <c r="AU139"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600 ОК– ДПМ Переезд Буровая установка </v>
      </c>
      <c r="AV139" s="518" t="str">
        <f>Хронология[[#This Row],[Результат]]&amp;":  "&amp;Хронология[[#This Row],[Событие]]&amp; CHAR(10) &amp;Хронология[[#This Row],[Вид работ]]&amp;"  "&amp;Хронология[[#This Row],[Объект работ]]</f>
        <v>ПВ:  
Переезд  Буровая установка</v>
      </c>
      <c r="AW139" s="601">
        <f>SUMIF($AU$2:AU139, Хронология[[#This Row],[Ключ]], $AH$2:AH139)</f>
        <v>0.375</v>
      </c>
      <c r="AX139" s="516" t="str">
        <f>Хронология[[#This Row],[Вид работ]] &amp; " " &amp; Хронология[[#This Row],[Объект работ]]</f>
        <v>Переезд Буровая установка</v>
      </c>
    </row>
    <row r="140" spans="1:50" ht="50.5" customHeight="1">
      <c r="A140" s="540" t="s">
        <v>50</v>
      </c>
      <c r="B140" s="541" t="s">
        <v>263</v>
      </c>
      <c r="C140" s="541" t="s">
        <v>264</v>
      </c>
      <c r="D140" s="542" t="s">
        <v>265</v>
      </c>
      <c r="E140" s="517" t="s">
        <v>266</v>
      </c>
      <c r="F140" s="515"/>
      <c r="G140" s="517"/>
      <c r="H140" s="517" t="s">
        <v>267</v>
      </c>
      <c r="I140" s="518">
        <v>9</v>
      </c>
      <c r="J140" s="517" t="s">
        <v>274</v>
      </c>
      <c r="K140" s="515"/>
      <c r="L140" s="516" t="s">
        <v>57</v>
      </c>
      <c r="M140" s="516" t="s">
        <v>58</v>
      </c>
      <c r="N140" s="516"/>
      <c r="O140" s="516" t="s">
        <v>69</v>
      </c>
      <c r="P140" s="516" t="s">
        <v>269</v>
      </c>
      <c r="Q140" s="516" t="s">
        <v>61</v>
      </c>
      <c r="R140" s="516" t="s">
        <v>270</v>
      </c>
      <c r="S140" s="516"/>
      <c r="T140" s="514" t="s">
        <v>275</v>
      </c>
      <c r="U140" s="516">
        <v>4</v>
      </c>
      <c r="V140" s="516">
        <v>2758.16</v>
      </c>
      <c r="W140" s="516" t="s">
        <v>64</v>
      </c>
      <c r="X140" s="516"/>
      <c r="Y140" s="516"/>
      <c r="Z140" s="516"/>
      <c r="AA140" s="516"/>
      <c r="AB140" s="516"/>
      <c r="AC140" s="516"/>
      <c r="AD140" s="516"/>
      <c r="AE140" s="514">
        <f>IFERROR(IF(Хронология[[#This Row],[Забой, м]]-V139&lt;0, 0, Хронология[[#This Row],[Забой, м]]-V139), 0)</f>
        <v>0</v>
      </c>
      <c r="AF140" s="521">
        <f t="shared" si="2"/>
        <v>46175.666666666599</v>
      </c>
      <c r="AG140" s="521">
        <f>Хронология[[#This Row],[Начало]]+Хронология[[#This Row],[Сутки]]</f>
        <v>46175.833333333263</v>
      </c>
      <c r="AH140" s="522">
        <f>Хронология[[#This Row],[Часы]]/24</f>
        <v>0.16666666666666666</v>
      </c>
      <c r="AI140" s="522">
        <f>IFERROR(Хронология[[#This Row],[Сутки]]+AI139, Хронология[[#This Row],[Сутки]])</f>
        <v>30.999999999999996</v>
      </c>
      <c r="AJ140"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ПВ</v>
      </c>
      <c r="AK140"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4</v>
      </c>
      <c r="AL140"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v>
      </c>
      <c r="AM140" s="527">
        <f>IF(Хронология[[#This Row],[Результат]]="НПВ", Хронология[[#This Row],[Часы]], 0)</f>
        <v>0</v>
      </c>
      <c r="AN140" s="518">
        <f>SUMIFS(Хронология[НПВ], Хронология[Скважина], Хронология[[#This Row],[Скважина]], Хронология[Начало], "&lt;=" &amp; Хронология[[#This Row],[Начало]])</f>
        <v>0</v>
      </c>
      <c r="AO140" s="518">
        <f>SUMIFS(Хронология[ПНВ], Хронология[Скважина], Хронология[[#This Row],[Скважина]], Хронология[Начало], "&lt;=" &amp; Хронология[[#This Row],[Начало]])</f>
        <v>0</v>
      </c>
      <c r="AP140" s="523">
        <f>INT(ROUND(Хронология[[#This Row],[Начало]], 3))</f>
        <v>46175</v>
      </c>
      <c r="AQ140" s="524">
        <f>Хронология[[#This Row],[Начало]]-INT(Хронология[[#This Row],[Начало]])</f>
        <v>0.66666666659875773</v>
      </c>
      <c r="AR140" s="523">
        <f>INT(ROUND(Хронология[[#This Row],[Окончание]], 3))</f>
        <v>46175</v>
      </c>
      <c r="AS140" s="524">
        <f>Хронология[[#This Row],[Окончание]]-INT(Хронология[[#This Row],[Окончание]])</f>
        <v>0.83333333326299908</v>
      </c>
      <c r="AT140" s="524" t="str">
        <f>Хронология[[#This Row],[Мастер]] &amp; CHAR(10) &amp; Хронология[[#This Row],[Помощник мастера]] &amp; CHAR(10) &amp; Хронология[[#This Row],[Бурильщик]]</f>
        <v xml:space="preserve">
Шипунов С.И.</v>
      </c>
      <c r="AU140"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600 ОК– ДПМ Переезд Буровая установка </v>
      </c>
      <c r="AV140" s="518" t="str">
        <f>Хронология[[#This Row],[Результат]]&amp;":  "&amp;Хронология[[#This Row],[Событие]]&amp; CHAR(10) &amp;Хронология[[#This Row],[Вид работ]]&amp;"  "&amp;Хронология[[#This Row],[Объект работ]]</f>
        <v>ПВ:  
Переезд  Буровая установка</v>
      </c>
      <c r="AW140" s="601">
        <f>SUMIF($AU$2:AU140, Хронология[[#This Row],[Ключ]], $AH$2:AH140)</f>
        <v>0.54166666666666663</v>
      </c>
      <c r="AX140" s="516" t="str">
        <f>Хронология[[#This Row],[Вид работ]] &amp; " " &amp; Хронология[[#This Row],[Объект работ]]</f>
        <v>Переезд Буровая установка</v>
      </c>
    </row>
    <row r="141" spans="1:50" ht="50.5" customHeight="1">
      <c r="A141" s="540" t="s">
        <v>50</v>
      </c>
      <c r="B141" s="541" t="s">
        <v>263</v>
      </c>
      <c r="C141" s="541" t="s">
        <v>264</v>
      </c>
      <c r="D141" s="542" t="s">
        <v>265</v>
      </c>
      <c r="E141" s="517" t="s">
        <v>266</v>
      </c>
      <c r="F141" s="515"/>
      <c r="G141" s="517"/>
      <c r="H141" s="517" t="s">
        <v>267</v>
      </c>
      <c r="I141" s="518">
        <v>9</v>
      </c>
      <c r="J141" s="517" t="s">
        <v>276</v>
      </c>
      <c r="K141" s="515"/>
      <c r="L141" s="516" t="s">
        <v>57</v>
      </c>
      <c r="M141" s="516" t="s">
        <v>58</v>
      </c>
      <c r="N141" s="516"/>
      <c r="O141" s="516" t="s">
        <v>69</v>
      </c>
      <c r="P141" s="516" t="s">
        <v>269</v>
      </c>
      <c r="Q141" s="516" t="s">
        <v>61</v>
      </c>
      <c r="R141" s="516" t="s">
        <v>270</v>
      </c>
      <c r="S141" s="516"/>
      <c r="T141" s="514" t="s">
        <v>277</v>
      </c>
      <c r="U141" s="516">
        <v>4</v>
      </c>
      <c r="V141" s="516">
        <v>2758.16</v>
      </c>
      <c r="W141" s="516" t="s">
        <v>64</v>
      </c>
      <c r="X141" s="516"/>
      <c r="Y141" s="516"/>
      <c r="Z141" s="516"/>
      <c r="AA141" s="516"/>
      <c r="AB141" s="516"/>
      <c r="AC141" s="516"/>
      <c r="AD141" s="516"/>
      <c r="AE141" s="514">
        <f>IFERROR(IF(Хронология[[#This Row],[Забой, м]]-V140&lt;0, 0, Хронология[[#This Row],[Забой, м]]-V140), 0)</f>
        <v>0</v>
      </c>
      <c r="AF141" s="521">
        <f t="shared" si="2"/>
        <v>46175.833333333263</v>
      </c>
      <c r="AG141" s="521">
        <f>Хронология[[#This Row],[Начало]]+Хронология[[#This Row],[Сутки]]</f>
        <v>46175.999999999927</v>
      </c>
      <c r="AH141" s="522">
        <f>Хронология[[#This Row],[Часы]]/24</f>
        <v>0.16666666666666666</v>
      </c>
      <c r="AI141" s="522">
        <f>IFERROR(Хронология[[#This Row],[Сутки]]+AI140, Хронология[[#This Row],[Сутки]])</f>
        <v>31.166666666666664</v>
      </c>
      <c r="AJ141"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ПВ</v>
      </c>
      <c r="AK141"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4</v>
      </c>
      <c r="AL141"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v>
      </c>
      <c r="AM141" s="527">
        <f>IF(Хронология[[#This Row],[Результат]]="НПВ", Хронология[[#This Row],[Часы]], 0)</f>
        <v>0</v>
      </c>
      <c r="AN141" s="518">
        <f>SUMIFS(Хронология[НПВ], Хронология[Скважина], Хронология[[#This Row],[Скважина]], Хронология[Начало], "&lt;=" &amp; Хронология[[#This Row],[Начало]])</f>
        <v>0</v>
      </c>
      <c r="AO141" s="518">
        <f>SUMIFS(Хронология[ПНВ], Хронология[Скважина], Хронология[[#This Row],[Скважина]], Хронология[Начало], "&lt;=" &amp; Хронология[[#This Row],[Начало]])</f>
        <v>0</v>
      </c>
      <c r="AP141" s="523">
        <f>INT(ROUND(Хронология[[#This Row],[Начало]], 3))</f>
        <v>46175</v>
      </c>
      <c r="AQ141" s="524">
        <f>Хронология[[#This Row],[Начало]]-INT(Хронология[[#This Row],[Начало]])</f>
        <v>0.83333333326299908</v>
      </c>
      <c r="AR141" s="523">
        <f>INT(ROUND(Хронология[[#This Row],[Окончание]], 3))</f>
        <v>46176</v>
      </c>
      <c r="AS141" s="524">
        <f>Хронология[[#This Row],[Окончание]]-INT(Хронология[[#This Row],[Окончание]])</f>
        <v>0.99999999992724042</v>
      </c>
      <c r="AT141" s="524" t="str">
        <f>Хронология[[#This Row],[Мастер]] &amp; CHAR(10) &amp; Хронология[[#This Row],[Помощник мастера]] &amp; CHAR(10) &amp; Хронология[[#This Row],[Бурильщик]]</f>
        <v xml:space="preserve">
Шипунов С.И.</v>
      </c>
      <c r="AU141"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600 ОК– ДПМ Переезд Буровая установка </v>
      </c>
      <c r="AV141" s="518" t="str">
        <f>Хронология[[#This Row],[Результат]]&amp;":  "&amp;Хронология[[#This Row],[Событие]]&amp; CHAR(10) &amp;Хронология[[#This Row],[Вид работ]]&amp;"  "&amp;Хронология[[#This Row],[Объект работ]]</f>
        <v>ПВ:  
Переезд  Буровая установка</v>
      </c>
      <c r="AW141" s="601">
        <f>SUMIF($AU$2:AU141, Хронология[[#This Row],[Ключ]], $AH$2:AH141)</f>
        <v>0.70833333333333326</v>
      </c>
      <c r="AX141" s="516" t="str">
        <f>Хронология[[#This Row],[Вид работ]] &amp; " " &amp; Хронология[[#This Row],[Объект работ]]</f>
        <v>Переезд Буровая установка</v>
      </c>
    </row>
    <row r="142" spans="1:50" ht="50.5" customHeight="1">
      <c r="A142" s="540" t="s">
        <v>50</v>
      </c>
      <c r="B142" s="541" t="s">
        <v>263</v>
      </c>
      <c r="C142" s="541" t="s">
        <v>264</v>
      </c>
      <c r="D142" s="542" t="s">
        <v>265</v>
      </c>
      <c r="E142" s="517" t="s">
        <v>266</v>
      </c>
      <c r="F142" s="515" t="s">
        <v>207</v>
      </c>
      <c r="G142" s="517"/>
      <c r="H142" s="517" t="s">
        <v>278</v>
      </c>
      <c r="I142" s="518">
        <v>10</v>
      </c>
      <c r="J142" s="517" t="s">
        <v>279</v>
      </c>
      <c r="K142" s="515"/>
      <c r="L142" s="516" t="s">
        <v>57</v>
      </c>
      <c r="M142" s="516" t="s">
        <v>58</v>
      </c>
      <c r="N142" s="516"/>
      <c r="O142" s="516" t="s">
        <v>69</v>
      </c>
      <c r="P142" s="516" t="s">
        <v>269</v>
      </c>
      <c r="Q142" s="516" t="s">
        <v>61</v>
      </c>
      <c r="R142" s="516" t="s">
        <v>270</v>
      </c>
      <c r="S142" s="516"/>
      <c r="T142" s="514" t="s">
        <v>280</v>
      </c>
      <c r="U142" s="516">
        <v>7</v>
      </c>
      <c r="V142" s="516">
        <v>2758.16</v>
      </c>
      <c r="W142" s="516" t="s">
        <v>64</v>
      </c>
      <c r="X142" s="516"/>
      <c r="Y142" s="516"/>
      <c r="Z142" s="516"/>
      <c r="AA142" s="516"/>
      <c r="AB142" s="516"/>
      <c r="AC142" s="516"/>
      <c r="AD142" s="516"/>
      <c r="AE142" s="514">
        <f>IFERROR(IF(Хронология[[#This Row],[Забой, м]]-V141&lt;0, 0, Хронология[[#This Row],[Забой, м]]-V141), 0)</f>
        <v>0</v>
      </c>
      <c r="AF142" s="521">
        <f t="shared" si="2"/>
        <v>46175.999999999927</v>
      </c>
      <c r="AG142" s="521">
        <f>Хронология[[#This Row],[Начало]]+Хронология[[#This Row],[Сутки]]</f>
        <v>46176.291666666591</v>
      </c>
      <c r="AH142" s="522">
        <f>Хронология[[#This Row],[Часы]]/24</f>
        <v>0.29166666666666669</v>
      </c>
      <c r="AI142" s="522">
        <f>IFERROR(Хронология[[#This Row],[Сутки]]+AI141, Хронология[[#This Row],[Сутки]])</f>
        <v>31.458333333333332</v>
      </c>
      <c r="AJ142"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ПНВ</v>
      </c>
      <c r="AK142"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2.3299999999999983</v>
      </c>
      <c r="AL142"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4.6700000000000017</v>
      </c>
      <c r="AM142" s="527">
        <f>IF(Хронология[[#This Row],[Результат]]="НПВ", Хронология[[#This Row],[Часы]], 0)</f>
        <v>0</v>
      </c>
      <c r="AN142" s="518">
        <f>SUMIFS(Хронология[НПВ], Хронология[Скважина], Хронология[[#This Row],[Скважина]], Хронология[Начало], "&lt;=" &amp; Хронология[[#This Row],[Начало]])</f>
        <v>0</v>
      </c>
      <c r="AO142" s="518">
        <f>SUMIFS(Хронология[ПНВ], Хронология[Скважина], Хронология[[#This Row],[Скважина]], Хронология[Начало], "&lt;=" &amp; Хронология[[#This Row],[Начало]])</f>
        <v>4.6700000000000017</v>
      </c>
      <c r="AP142" s="523">
        <f>INT(ROUND(Хронология[[#This Row],[Начало]], 3))</f>
        <v>46176</v>
      </c>
      <c r="AQ142" s="524">
        <f>Хронология[[#This Row],[Начало]]-INT(Хронология[[#This Row],[Начало]])</f>
        <v>0.99999999992724042</v>
      </c>
      <c r="AR142" s="523">
        <f>INT(ROUND(Хронология[[#This Row],[Окончание]], 3))</f>
        <v>46176</v>
      </c>
      <c r="AS142" s="524">
        <f>Хронология[[#This Row],[Окончание]]-INT(Хронология[[#This Row],[Окончание]])</f>
        <v>0.29166666659148177</v>
      </c>
      <c r="AT142" s="524" t="str">
        <f>Хронология[[#This Row],[Мастер]] &amp; CHAR(10) &amp; Хронология[[#This Row],[Помощник мастера]] &amp; CHAR(10) &amp; Хронология[[#This Row],[Бурильщик]]</f>
        <v>Епифанов Д.Б.
Хохряков В.Я.</v>
      </c>
      <c r="AU142"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600 ОК– ДПМ Переезд Буровая установка </v>
      </c>
      <c r="AV142" s="518" t="str">
        <f>Хронология[[#This Row],[Результат]]&amp;":  "&amp;Хронология[[#This Row],[Событие]]&amp; CHAR(10) &amp;Хронология[[#This Row],[Вид работ]]&amp;"  "&amp;Хронология[[#This Row],[Объект работ]]</f>
        <v>ПНВ:  
Переезд  Буровая установка</v>
      </c>
      <c r="AW142" s="601">
        <f>SUMIF($AU$2:AU142, Хронология[[#This Row],[Ключ]], $AH$2:AH142)</f>
        <v>1</v>
      </c>
      <c r="AX142" s="516" t="str">
        <f>Хронология[[#This Row],[Вид работ]] &amp; " " &amp; Хронология[[#This Row],[Объект работ]]</f>
        <v>Переезд Буровая установка</v>
      </c>
    </row>
    <row r="143" spans="1:50" ht="50.5" customHeight="1">
      <c r="A143" s="540" t="s">
        <v>50</v>
      </c>
      <c r="B143" s="541" t="s">
        <v>263</v>
      </c>
      <c r="C143" s="541" t="s">
        <v>264</v>
      </c>
      <c r="D143" s="542" t="s">
        <v>265</v>
      </c>
      <c r="E143" s="517" t="s">
        <v>266</v>
      </c>
      <c r="F143" s="515" t="s">
        <v>207</v>
      </c>
      <c r="G143" s="517"/>
      <c r="H143" s="517" t="s">
        <v>267</v>
      </c>
      <c r="I143" s="518">
        <v>10</v>
      </c>
      <c r="J143" s="517" t="s">
        <v>281</v>
      </c>
      <c r="K143" s="515"/>
      <c r="L143" s="516" t="s">
        <v>57</v>
      </c>
      <c r="M143" s="516" t="s">
        <v>58</v>
      </c>
      <c r="N143" s="516"/>
      <c r="O143" s="516" t="s">
        <v>69</v>
      </c>
      <c r="P143" s="516" t="s">
        <v>108</v>
      </c>
      <c r="Q143" s="516" t="s">
        <v>86</v>
      </c>
      <c r="R143" s="516" t="s">
        <v>282</v>
      </c>
      <c r="S143" s="516"/>
      <c r="T143" s="514" t="s">
        <v>283</v>
      </c>
      <c r="U143" s="516">
        <v>5</v>
      </c>
      <c r="V143" s="516">
        <v>2758.16</v>
      </c>
      <c r="W143" s="516" t="s">
        <v>64</v>
      </c>
      <c r="X143" s="516"/>
      <c r="Y143" s="516"/>
      <c r="Z143" s="516"/>
      <c r="AA143" s="516"/>
      <c r="AB143" s="516"/>
      <c r="AC143" s="516"/>
      <c r="AD143" s="516"/>
      <c r="AE143" s="514">
        <f>IFERROR(IF(Хронология[[#This Row],[Забой, м]]-V142&lt;0, 0, Хронология[[#This Row],[Забой, м]]-V142), 0)</f>
        <v>0</v>
      </c>
      <c r="AF143" s="521">
        <f t="shared" si="2"/>
        <v>46176.291666666591</v>
      </c>
      <c r="AG143" s="521">
        <f>Хронология[[#This Row],[Начало]]+Хронология[[#This Row],[Сутки]]</f>
        <v>46176.499999999927</v>
      </c>
      <c r="AH143" s="522">
        <f>Хронология[[#This Row],[Часы]]/24</f>
        <v>0.20833333333333334</v>
      </c>
      <c r="AI143" s="522">
        <f>IFERROR(Хронология[[#This Row],[Сутки]]+AI142, Хронология[[#This Row],[Сутки]])</f>
        <v>31.666666666666664</v>
      </c>
      <c r="AJ143"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ПНВ</v>
      </c>
      <c r="AK143"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0.5</v>
      </c>
      <c r="AL143"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4.5</v>
      </c>
      <c r="AM143" s="527">
        <f>IF(Хронология[[#This Row],[Результат]]="НПВ", Хронология[[#This Row],[Часы]], 0)</f>
        <v>0</v>
      </c>
      <c r="AN143" s="518">
        <f>SUMIFS(Хронология[НПВ], Хронология[Скважина], Хронология[[#This Row],[Скважина]], Хронология[Начало], "&lt;=" &amp; Хронология[[#This Row],[Начало]])</f>
        <v>0</v>
      </c>
      <c r="AO143" s="518">
        <f>SUMIFS(Хронология[ПНВ], Хронология[Скважина], Хронология[[#This Row],[Скважина]], Хронология[Начало], "&lt;=" &amp; Хронология[[#This Row],[Начало]])</f>
        <v>9.1700000000000017</v>
      </c>
      <c r="AP143" s="523">
        <f>INT(ROUND(Хронология[[#This Row],[Начало]], 3))</f>
        <v>46176</v>
      </c>
      <c r="AQ143" s="524">
        <f>Хронология[[#This Row],[Начало]]-INT(Хронология[[#This Row],[Начало]])</f>
        <v>0.29166666659148177</v>
      </c>
      <c r="AR143" s="523">
        <f>INT(ROUND(Хронология[[#This Row],[Окончание]], 3))</f>
        <v>46176</v>
      </c>
      <c r="AS143" s="524">
        <f>Хронология[[#This Row],[Окончание]]-INT(Хронология[[#This Row],[Окончание]])</f>
        <v>0.49999999992724042</v>
      </c>
      <c r="AT143" s="524" t="str">
        <f>Хронология[[#This Row],[Мастер]] &amp; CHAR(10) &amp; Хронология[[#This Row],[Помощник мастера]] &amp; CHAR(10) &amp; Хронология[[#This Row],[Бурильщик]]</f>
        <v>Епифанов Д.Б.
Шипунов С.И.</v>
      </c>
      <c r="AU143"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600 ОК– ДПМ Демонтаж ФА </v>
      </c>
      <c r="AV143" s="518" t="str">
        <f>Хронология[[#This Row],[Результат]]&amp;":  "&amp;Хронология[[#This Row],[Событие]]&amp; CHAR(10) &amp;Хронология[[#This Row],[Вид работ]]&amp;"  "&amp;Хронология[[#This Row],[Объект работ]]</f>
        <v>ПНВ:  
Демонтаж  ФА</v>
      </c>
      <c r="AW143" s="601">
        <f>SUMIF($AU$2:AU143, Хронология[[#This Row],[Ключ]], $AH$2:AH143)</f>
        <v>0.20833333333333334</v>
      </c>
      <c r="AX143" s="516" t="str">
        <f>Хронология[[#This Row],[Вид работ]] &amp; " " &amp; Хронология[[#This Row],[Объект работ]]</f>
        <v>Демонтаж ФА</v>
      </c>
    </row>
    <row r="144" spans="1:50" ht="50.5" customHeight="1">
      <c r="A144" s="540" t="s">
        <v>50</v>
      </c>
      <c r="B144" s="541" t="s">
        <v>263</v>
      </c>
      <c r="C144" s="541" t="s">
        <v>264</v>
      </c>
      <c r="D144" s="542" t="s">
        <v>265</v>
      </c>
      <c r="E144" s="517" t="s">
        <v>266</v>
      </c>
      <c r="F144" s="515" t="s">
        <v>207</v>
      </c>
      <c r="G144" s="517"/>
      <c r="H144" s="517" t="s">
        <v>267</v>
      </c>
      <c r="I144" s="518">
        <v>10</v>
      </c>
      <c r="J144" s="517" t="s">
        <v>284</v>
      </c>
      <c r="K144" s="515"/>
      <c r="L144" s="516" t="s">
        <v>51</v>
      </c>
      <c r="M144" s="516" t="s">
        <v>76</v>
      </c>
      <c r="N144" s="516" t="s">
        <v>77</v>
      </c>
      <c r="O144" s="516" t="s">
        <v>78</v>
      </c>
      <c r="P144" s="516" t="s">
        <v>285</v>
      </c>
      <c r="Q144" s="516" t="s">
        <v>61</v>
      </c>
      <c r="R144" s="516" t="s">
        <v>286</v>
      </c>
      <c r="S144" s="516"/>
      <c r="T144" s="514" t="s">
        <v>287</v>
      </c>
      <c r="U144" s="516">
        <v>4</v>
      </c>
      <c r="V144" s="516">
        <v>2758.16</v>
      </c>
      <c r="W144" s="516" t="s">
        <v>64</v>
      </c>
      <c r="X144" s="516"/>
      <c r="Y144" s="516"/>
      <c r="Z144" s="516"/>
      <c r="AA144" s="516"/>
      <c r="AB144" s="516"/>
      <c r="AC144" s="516"/>
      <c r="AD144" s="516"/>
      <c r="AE144" s="514">
        <f>IFERROR(IF(Хронология[[#This Row],[Забой, м]]-V143&lt;0, 0, Хронология[[#This Row],[Забой, м]]-V143), 0)</f>
        <v>0</v>
      </c>
      <c r="AF144" s="521">
        <f t="shared" si="2"/>
        <v>46176.499999999927</v>
      </c>
      <c r="AG144" s="521">
        <f>Хронология[[#This Row],[Начало]]+Хронология[[#This Row],[Сутки]]</f>
        <v>46176.666666666591</v>
      </c>
      <c r="AH144" s="522">
        <f>Хронология[[#This Row],[Часы]]/24</f>
        <v>0.16666666666666666</v>
      </c>
      <c r="AI144" s="522">
        <f>IFERROR(Хронология[[#This Row],[Сутки]]+AI143, Хронология[[#This Row],[Сутки]])</f>
        <v>31.833333333333332</v>
      </c>
      <c r="AJ144"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НПВ</v>
      </c>
      <c r="AK144"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v>
      </c>
      <c r="AL144"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v>
      </c>
      <c r="AM144" s="527">
        <f>IF(Хронология[[#This Row],[Результат]]="НПВ", Хронология[[#This Row],[Часы]], 0)</f>
        <v>4</v>
      </c>
      <c r="AN144" s="518">
        <f>SUMIFS(Хронология[НПВ], Хронология[Скважина], Хронология[[#This Row],[Скважина]], Хронология[Начало], "&lt;=" &amp; Хронология[[#This Row],[Начало]])</f>
        <v>4</v>
      </c>
      <c r="AO144" s="518">
        <f>SUMIFS(Хронология[ПНВ], Хронология[Скважина], Хронология[[#This Row],[Скважина]], Хронология[Начало], "&lt;=" &amp; Хронология[[#This Row],[Начало]])</f>
        <v>9.1700000000000017</v>
      </c>
      <c r="AP144" s="523">
        <f>INT(ROUND(Хронология[[#This Row],[Начало]], 3))</f>
        <v>46176</v>
      </c>
      <c r="AQ144" s="524">
        <f>Хронология[[#This Row],[Начало]]-INT(Хронология[[#This Row],[Начало]])</f>
        <v>0.49999999992724042</v>
      </c>
      <c r="AR144" s="523">
        <f>INT(ROUND(Хронология[[#This Row],[Окончание]], 3))</f>
        <v>46176</v>
      </c>
      <c r="AS144" s="524">
        <f>Хронология[[#This Row],[Окончание]]-INT(Хронология[[#This Row],[Окончание]])</f>
        <v>0.66666666659148177</v>
      </c>
      <c r="AT144" s="524" t="str">
        <f>Хронология[[#This Row],[Мастер]] &amp; CHAR(10) &amp; Хронология[[#This Row],[Помощник мастера]] &amp; CHAR(10) &amp; Хронология[[#This Row],[Бурильщик]]</f>
        <v>Епифанов Д.Б.
Шипунов С.И.</v>
      </c>
      <c r="AU144"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600 ОК– КРС Орг_простой Ожидание разрешения Тех. дежурство Бригада КРС </v>
      </c>
      <c r="AV144" s="518" t="str">
        <f>Хронология[[#This Row],[Результат]]&amp;":  "&amp;Хронология[[#This Row],[Событие]]&amp; CHAR(10) &amp;Хронология[[#This Row],[Вид работ]]&amp;"  "&amp;Хронология[[#This Row],[Объект работ]]</f>
        <v>НПВ:  Ожидание разрешения
Тех. дежурство  Бригада КРС</v>
      </c>
      <c r="AW144" s="601">
        <f>SUMIF($AU$2:AU144, Хронология[[#This Row],[Ключ]], $AH$2:AH144)</f>
        <v>0.16666666666666666</v>
      </c>
      <c r="AX144" s="516" t="str">
        <f>Хронология[[#This Row],[Вид работ]] &amp; " " &amp; Хронология[[#This Row],[Объект работ]]</f>
        <v>Тех. дежурство Бригада КРС</v>
      </c>
    </row>
    <row r="145" spans="1:50" ht="50.5" customHeight="1">
      <c r="A145" s="540" t="s">
        <v>50</v>
      </c>
      <c r="B145" s="541" t="s">
        <v>263</v>
      </c>
      <c r="C145" s="541" t="s">
        <v>264</v>
      </c>
      <c r="D145" s="542" t="s">
        <v>265</v>
      </c>
      <c r="E145" s="517" t="s">
        <v>266</v>
      </c>
      <c r="F145" s="515" t="s">
        <v>207</v>
      </c>
      <c r="G145" s="517"/>
      <c r="H145" s="517" t="s">
        <v>267</v>
      </c>
      <c r="I145" s="518">
        <v>10</v>
      </c>
      <c r="J145" s="517" t="s">
        <v>288</v>
      </c>
      <c r="K145" s="515"/>
      <c r="L145" s="516" t="s">
        <v>51</v>
      </c>
      <c r="M145" s="516" t="s">
        <v>76</v>
      </c>
      <c r="N145" s="516" t="s">
        <v>77</v>
      </c>
      <c r="O145" s="516" t="s">
        <v>78</v>
      </c>
      <c r="P145" s="516" t="s">
        <v>285</v>
      </c>
      <c r="Q145" s="516" t="s">
        <v>61</v>
      </c>
      <c r="R145" s="516" t="s">
        <v>286</v>
      </c>
      <c r="S145" s="516"/>
      <c r="T145" s="514" t="s">
        <v>289</v>
      </c>
      <c r="U145" s="516">
        <v>4</v>
      </c>
      <c r="V145" s="516">
        <v>2758.16</v>
      </c>
      <c r="W145" s="516" t="s">
        <v>64</v>
      </c>
      <c r="X145" s="516"/>
      <c r="Y145" s="516"/>
      <c r="Z145" s="516"/>
      <c r="AA145" s="516"/>
      <c r="AB145" s="516"/>
      <c r="AC145" s="516"/>
      <c r="AD145" s="516"/>
      <c r="AE145" s="514">
        <f>IFERROR(IF(Хронология[[#This Row],[Забой, м]]-V144&lt;0, 0, Хронология[[#This Row],[Забой, м]]-V144), 0)</f>
        <v>0</v>
      </c>
      <c r="AF145" s="521">
        <f t="shared" si="2"/>
        <v>46176.666666666591</v>
      </c>
      <c r="AG145" s="521">
        <f>Хронология[[#This Row],[Начало]]+Хронология[[#This Row],[Сутки]]</f>
        <v>46176.833333333256</v>
      </c>
      <c r="AH145" s="522">
        <f>Хронология[[#This Row],[Часы]]/24</f>
        <v>0.16666666666666666</v>
      </c>
      <c r="AI145" s="522">
        <f>IFERROR(Хронология[[#This Row],[Сутки]]+AI144, Хронология[[#This Row],[Сутки]])</f>
        <v>32</v>
      </c>
      <c r="AJ145"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НПВ</v>
      </c>
      <c r="AK145"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v>
      </c>
      <c r="AL145"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v>
      </c>
      <c r="AM145" s="527">
        <f>IF(Хронология[[#This Row],[Результат]]="НПВ", Хронология[[#This Row],[Часы]], 0)</f>
        <v>4</v>
      </c>
      <c r="AN145" s="518">
        <f>SUMIFS(Хронология[НПВ], Хронология[Скважина], Хронология[[#This Row],[Скважина]], Хронология[Начало], "&lt;=" &amp; Хронология[[#This Row],[Начало]])</f>
        <v>8</v>
      </c>
      <c r="AO145" s="518">
        <f>SUMIFS(Хронология[ПНВ], Хронология[Скважина], Хронология[[#This Row],[Скважина]], Хронология[Начало], "&lt;=" &amp; Хронология[[#This Row],[Начало]])</f>
        <v>9.1700000000000017</v>
      </c>
      <c r="AP145" s="523">
        <f>INT(ROUND(Хронология[[#This Row],[Начало]], 3))</f>
        <v>46176</v>
      </c>
      <c r="AQ145" s="524">
        <f>Хронология[[#This Row],[Начало]]-INT(Хронология[[#This Row],[Начало]])</f>
        <v>0.66666666659148177</v>
      </c>
      <c r="AR145" s="523">
        <f>INT(ROUND(Хронология[[#This Row],[Окончание]], 3))</f>
        <v>46176</v>
      </c>
      <c r="AS145" s="524">
        <f>Хронология[[#This Row],[Окончание]]-INT(Хронология[[#This Row],[Окончание]])</f>
        <v>0.83333333325572312</v>
      </c>
      <c r="AT145" s="524" t="str">
        <f>Хронология[[#This Row],[Мастер]] &amp; CHAR(10) &amp; Хронология[[#This Row],[Помощник мастера]] &amp; CHAR(10) &amp; Хронология[[#This Row],[Бурильщик]]</f>
        <v>Епифанов Д.Б.
Шипунов С.И.</v>
      </c>
      <c r="AU145"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600 ОК– КРС Орг_простой Ожидание разрешения Тех. дежурство Бригада КРС </v>
      </c>
      <c r="AV145" s="518" t="str">
        <f>Хронология[[#This Row],[Результат]]&amp;":  "&amp;Хронология[[#This Row],[Событие]]&amp; CHAR(10) &amp;Хронология[[#This Row],[Вид работ]]&amp;"  "&amp;Хронология[[#This Row],[Объект работ]]</f>
        <v>НПВ:  Ожидание разрешения
Тех. дежурство  Бригада КРС</v>
      </c>
      <c r="AW145" s="601">
        <f>SUMIF($AU$2:AU145, Хронология[[#This Row],[Ключ]], $AH$2:AH145)</f>
        <v>0.33333333333333331</v>
      </c>
      <c r="AX145" s="516" t="str">
        <f>Хронология[[#This Row],[Вид работ]] &amp; " " &amp; Хронология[[#This Row],[Объект работ]]</f>
        <v>Тех. дежурство Бригада КРС</v>
      </c>
    </row>
    <row r="146" spans="1:50" ht="50.5" customHeight="1">
      <c r="A146" s="540" t="s">
        <v>50</v>
      </c>
      <c r="B146" s="541" t="s">
        <v>263</v>
      </c>
      <c r="C146" s="541" t="s">
        <v>264</v>
      </c>
      <c r="D146" s="542" t="s">
        <v>265</v>
      </c>
      <c r="E146" s="517" t="s">
        <v>266</v>
      </c>
      <c r="F146" s="515" t="s">
        <v>207</v>
      </c>
      <c r="G146" s="517"/>
      <c r="H146" s="517" t="s">
        <v>267</v>
      </c>
      <c r="I146" s="518">
        <v>10</v>
      </c>
      <c r="J146" s="517" t="s">
        <v>290</v>
      </c>
      <c r="K146" s="515"/>
      <c r="L146" s="516" t="s">
        <v>51</v>
      </c>
      <c r="M146" s="516" t="s">
        <v>58</v>
      </c>
      <c r="N146" s="516"/>
      <c r="O146" s="516" t="s">
        <v>169</v>
      </c>
      <c r="P146" s="516" t="s">
        <v>170</v>
      </c>
      <c r="Q146" s="516" t="s">
        <v>137</v>
      </c>
      <c r="R146" s="516" t="s">
        <v>4</v>
      </c>
      <c r="S146" s="516"/>
      <c r="T146" s="514" t="s">
        <v>291</v>
      </c>
      <c r="U146" s="516">
        <v>4</v>
      </c>
      <c r="V146" s="516">
        <v>2758.16</v>
      </c>
      <c r="W146" s="516" t="s">
        <v>64</v>
      </c>
      <c r="X146" s="516"/>
      <c r="Y146" s="516"/>
      <c r="Z146" s="516"/>
      <c r="AA146" s="516"/>
      <c r="AB146" s="516"/>
      <c r="AC146" s="516"/>
      <c r="AD146" s="516"/>
      <c r="AE146" s="514">
        <f>IFERROR(IF(Хронология[[#This Row],[Забой, м]]-V145&lt;0, 0, Хронология[[#This Row],[Забой, м]]-V145), 0)</f>
        <v>0</v>
      </c>
      <c r="AF146" s="521">
        <f t="shared" si="2"/>
        <v>46176.833333333256</v>
      </c>
      <c r="AG146" s="521">
        <f>Хронология[[#This Row],[Начало]]+Хронология[[#This Row],[Сутки]]</f>
        <v>46176.99999999992</v>
      </c>
      <c r="AH146" s="522">
        <f>Хронология[[#This Row],[Часы]]/24</f>
        <v>0.16666666666666666</v>
      </c>
      <c r="AI146" s="522">
        <f>IFERROR(Хронология[[#This Row],[Сутки]]+AI145, Хронология[[#This Row],[Сутки]])</f>
        <v>32.166666666666664</v>
      </c>
      <c r="AJ146"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ПВ</v>
      </c>
      <c r="AK146"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4</v>
      </c>
      <c r="AL146"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v>
      </c>
      <c r="AM146" s="527">
        <f>IF(Хронология[[#This Row],[Результат]]="НПВ", Хронология[[#This Row],[Часы]], 0)</f>
        <v>0</v>
      </c>
      <c r="AN146" s="518">
        <f>SUMIFS(Хронология[НПВ], Хронология[Скважина], Хронология[[#This Row],[Скважина]], Хронология[Начало], "&lt;=" &amp; Хронология[[#This Row],[Начало]])</f>
        <v>8</v>
      </c>
      <c r="AO146" s="518">
        <f>SUMIFS(Хронология[ПНВ], Хронология[Скважина], Хронология[[#This Row],[Скважина]], Хронология[Начало], "&lt;=" &amp; Хронология[[#This Row],[Начало]])</f>
        <v>9.1700000000000017</v>
      </c>
      <c r="AP146" s="523">
        <f>INT(ROUND(Хронология[[#This Row],[Начало]], 3))</f>
        <v>46176</v>
      </c>
      <c r="AQ146" s="524">
        <f>Хронология[[#This Row],[Начало]]-INT(Хронология[[#This Row],[Начало]])</f>
        <v>0.83333333325572312</v>
      </c>
      <c r="AR146" s="523">
        <f>INT(ROUND(Хронология[[#This Row],[Окончание]], 3))</f>
        <v>46177</v>
      </c>
      <c r="AS146" s="524">
        <f>Хронология[[#This Row],[Окончание]]-INT(Хронология[[#This Row],[Окончание]])</f>
        <v>0.99999999991996447</v>
      </c>
      <c r="AT146" s="524" t="str">
        <f>Хронология[[#This Row],[Мастер]] &amp; CHAR(10) &amp; Хронология[[#This Row],[Помощник мастера]] &amp; CHAR(10) &amp; Хронология[[#This Row],[Бурильщик]]</f>
        <v>Епифанов Д.Б.
Шипунов С.И.</v>
      </c>
      <c r="AU146"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600 ОК– КРС Глушение Скважина </v>
      </c>
      <c r="AV146" s="518" t="str">
        <f>Хронология[[#This Row],[Результат]]&amp;":  "&amp;Хронология[[#This Row],[Событие]]&amp; CHAR(10) &amp;Хронология[[#This Row],[Вид работ]]&amp;"  "&amp;Хронология[[#This Row],[Объект работ]]</f>
        <v>ПВ:  
Глушение  Скважина</v>
      </c>
      <c r="AW146" s="601">
        <f>SUMIF($AU$2:AU146, Хронология[[#This Row],[Ключ]], $AH$2:AH146)</f>
        <v>0.16666666666666666</v>
      </c>
      <c r="AX146" s="516" t="str">
        <f>Хронология[[#This Row],[Вид работ]] &amp; " " &amp; Хронология[[#This Row],[Объект работ]]</f>
        <v>Глушение Скважина</v>
      </c>
    </row>
    <row r="147" spans="1:50" ht="50.5" customHeight="1">
      <c r="A147" s="540" t="s">
        <v>50</v>
      </c>
      <c r="B147" s="541" t="s">
        <v>263</v>
      </c>
      <c r="C147" s="541" t="s">
        <v>264</v>
      </c>
      <c r="D147" s="542" t="s">
        <v>265</v>
      </c>
      <c r="E147" s="517" t="s">
        <v>266</v>
      </c>
      <c r="F147" s="515"/>
      <c r="G147" s="517"/>
      <c r="H147" s="517" t="s">
        <v>278</v>
      </c>
      <c r="I147" s="518">
        <v>11</v>
      </c>
      <c r="J147" s="517" t="s">
        <v>292</v>
      </c>
      <c r="K147" s="515"/>
      <c r="L147" s="516" t="s">
        <v>59</v>
      </c>
      <c r="M147" s="516" t="s">
        <v>58</v>
      </c>
      <c r="N147" s="516"/>
      <c r="O147" s="516" t="s">
        <v>169</v>
      </c>
      <c r="P147" s="516" t="s">
        <v>293</v>
      </c>
      <c r="Q147" s="516" t="s">
        <v>137</v>
      </c>
      <c r="R147" s="516" t="s">
        <v>294</v>
      </c>
      <c r="S147" s="516"/>
      <c r="T147" s="514" t="s">
        <v>295</v>
      </c>
      <c r="U147" s="516">
        <v>7</v>
      </c>
      <c r="V147" s="516">
        <v>2758.16</v>
      </c>
      <c r="W147" s="516" t="s">
        <v>64</v>
      </c>
      <c r="X147" s="516"/>
      <c r="Y147" s="516"/>
      <c r="Z147" s="516"/>
      <c r="AA147" s="516"/>
      <c r="AB147" s="516"/>
      <c r="AC147" s="516"/>
      <c r="AD147" s="516"/>
      <c r="AE147" s="514">
        <f>IFERROR(IF(Хронология[[#This Row],[Забой, м]]-V146&lt;0, 0, Хронология[[#This Row],[Забой, м]]-V146), 0)</f>
        <v>0</v>
      </c>
      <c r="AF147" s="521">
        <f t="shared" si="2"/>
        <v>46176.99999999992</v>
      </c>
      <c r="AG147" s="521">
        <f>Хронология[[#This Row],[Начало]]+Хронология[[#This Row],[Сутки]]</f>
        <v>46177.291666666584</v>
      </c>
      <c r="AH147" s="522">
        <f>Хронология[[#This Row],[Часы]]/24</f>
        <v>0.29166666666666669</v>
      </c>
      <c r="AI147" s="522">
        <f>IFERROR(Хронология[[#This Row],[Сутки]]+AI146, Хронология[[#This Row],[Сутки]])</f>
        <v>32.458333333333329</v>
      </c>
      <c r="AJ147"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ПВ</v>
      </c>
      <c r="AK147"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7</v>
      </c>
      <c r="AL147"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v>
      </c>
      <c r="AM147" s="527">
        <f>IF(Хронология[[#This Row],[Результат]]="НПВ", Хронология[[#This Row],[Часы]], 0)</f>
        <v>0</v>
      </c>
      <c r="AN147" s="518">
        <f>SUMIFS(Хронология[НПВ], Хронология[Скважина], Хронология[[#This Row],[Скважина]], Хронология[Начало], "&lt;=" &amp; Хронология[[#This Row],[Начало]])</f>
        <v>8</v>
      </c>
      <c r="AO147" s="518">
        <f>SUMIFS(Хронология[ПНВ], Хронология[Скважина], Хронология[[#This Row],[Скважина]], Хронология[Начало], "&lt;=" &amp; Хронология[[#This Row],[Начало]])</f>
        <v>9.1700000000000017</v>
      </c>
      <c r="AP147" s="523">
        <f>INT(ROUND(Хронология[[#This Row],[Начало]], 3))</f>
        <v>46177</v>
      </c>
      <c r="AQ147" s="524">
        <f>Хронология[[#This Row],[Начало]]-INT(Хронология[[#This Row],[Начало]])</f>
        <v>0.99999999991996447</v>
      </c>
      <c r="AR147" s="523">
        <f>INT(ROUND(Хронология[[#This Row],[Окончание]], 3))</f>
        <v>46177</v>
      </c>
      <c r="AS147" s="524">
        <f>Хронология[[#This Row],[Окончание]]-INT(Хронология[[#This Row],[Окончание]])</f>
        <v>0.29166666658420581</v>
      </c>
      <c r="AT147" s="524" t="str">
        <f>Хронология[[#This Row],[Мастер]] &amp; CHAR(10) &amp; Хронология[[#This Row],[Помощник мастера]] &amp; CHAR(10) &amp; Хронология[[#This Row],[Бурильщик]]</f>
        <v xml:space="preserve">
Хохряков В.Я.</v>
      </c>
      <c r="AU147"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600 ОК– ПР Приготовление раствора Раствор глушения </v>
      </c>
      <c r="AV147" s="518" t="str">
        <f>Хронология[[#This Row],[Результат]]&amp;":  "&amp;Хронология[[#This Row],[Событие]]&amp; CHAR(10) &amp;Хронология[[#This Row],[Вид работ]]&amp;"  "&amp;Хронология[[#This Row],[Объект работ]]</f>
        <v>ПВ:  
Приготовление раствора  Раствор глушения</v>
      </c>
      <c r="AW147" s="601">
        <f>SUMIF($AU$2:AU147, Хронология[[#This Row],[Ключ]], $AH$2:AH147)</f>
        <v>0.29166666666666669</v>
      </c>
      <c r="AX147" s="516" t="str">
        <f>Хронология[[#This Row],[Вид работ]] &amp; " " &amp; Хронология[[#This Row],[Объект работ]]</f>
        <v>Приготовление раствора Раствор глушения</v>
      </c>
    </row>
    <row r="148" spans="1:50" ht="50.5" customHeight="1">
      <c r="A148" s="540" t="s">
        <v>50</v>
      </c>
      <c r="B148" s="541" t="s">
        <v>263</v>
      </c>
      <c r="C148" s="541" t="s">
        <v>264</v>
      </c>
      <c r="D148" s="542" t="s">
        <v>265</v>
      </c>
      <c r="E148" s="517" t="s">
        <v>266</v>
      </c>
      <c r="F148" s="515"/>
      <c r="G148" s="517"/>
      <c r="H148" s="517" t="s">
        <v>267</v>
      </c>
      <c r="I148" s="518">
        <v>11</v>
      </c>
      <c r="J148" s="517" t="s">
        <v>296</v>
      </c>
      <c r="K148" s="515"/>
      <c r="L148" s="516" t="s">
        <v>59</v>
      </c>
      <c r="M148" s="516" t="s">
        <v>58</v>
      </c>
      <c r="N148" s="516"/>
      <c r="O148" s="516" t="s">
        <v>169</v>
      </c>
      <c r="P148" s="516" t="s">
        <v>293</v>
      </c>
      <c r="Q148" s="516" t="s">
        <v>137</v>
      </c>
      <c r="R148" s="516" t="s">
        <v>294</v>
      </c>
      <c r="S148" s="516"/>
      <c r="T148" s="514" t="s">
        <v>297</v>
      </c>
      <c r="U148" s="516">
        <v>5</v>
      </c>
      <c r="V148" s="516">
        <v>2758.16</v>
      </c>
      <c r="W148" s="516" t="s">
        <v>64</v>
      </c>
      <c r="X148" s="516"/>
      <c r="Y148" s="516"/>
      <c r="Z148" s="516"/>
      <c r="AA148" s="516"/>
      <c r="AB148" s="516"/>
      <c r="AC148" s="516"/>
      <c r="AD148" s="516"/>
      <c r="AE148" s="514">
        <f>IFERROR(IF(Хронология[[#This Row],[Забой, м]]-V147&lt;0, 0, Хронология[[#This Row],[Забой, м]]-V147), 0)</f>
        <v>0</v>
      </c>
      <c r="AF148" s="521">
        <f t="shared" si="2"/>
        <v>46177.291666666584</v>
      </c>
      <c r="AG148" s="521">
        <f>Хронология[[#This Row],[Начало]]+Хронология[[#This Row],[Сутки]]</f>
        <v>46177.49999999992</v>
      </c>
      <c r="AH148" s="522">
        <f>Хронология[[#This Row],[Часы]]/24</f>
        <v>0.20833333333333334</v>
      </c>
      <c r="AI148" s="522">
        <f>IFERROR(Хронология[[#This Row],[Сутки]]+AI147, Хронология[[#This Row],[Сутки]])</f>
        <v>32.666666666666664</v>
      </c>
      <c r="AJ148"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ПВ</v>
      </c>
      <c r="AK148"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5</v>
      </c>
      <c r="AL148"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v>
      </c>
      <c r="AM148" s="527">
        <f>IF(Хронология[[#This Row],[Результат]]="НПВ", Хронология[[#This Row],[Часы]], 0)</f>
        <v>0</v>
      </c>
      <c r="AN148" s="518">
        <f>SUMIFS(Хронология[НПВ], Хронология[Скважина], Хронология[[#This Row],[Скважина]], Хронология[Начало], "&lt;=" &amp; Хронология[[#This Row],[Начало]])</f>
        <v>8</v>
      </c>
      <c r="AO148" s="518">
        <f>SUMIFS(Хронология[ПНВ], Хронология[Скважина], Хронология[[#This Row],[Скважина]], Хронология[Начало], "&lt;=" &amp; Хронология[[#This Row],[Начало]])</f>
        <v>9.1700000000000017</v>
      </c>
      <c r="AP148" s="523">
        <f>INT(ROUND(Хронология[[#This Row],[Начало]], 3))</f>
        <v>46177</v>
      </c>
      <c r="AQ148" s="524">
        <f>Хронология[[#This Row],[Начало]]-INT(Хронология[[#This Row],[Начало]])</f>
        <v>0.29166666658420581</v>
      </c>
      <c r="AR148" s="523">
        <f>INT(ROUND(Хронология[[#This Row],[Окончание]], 3))</f>
        <v>46177</v>
      </c>
      <c r="AS148" s="524">
        <f>Хронология[[#This Row],[Окончание]]-INT(Хронология[[#This Row],[Окончание]])</f>
        <v>0.49999999991996447</v>
      </c>
      <c r="AT148" s="524" t="str">
        <f>Хронология[[#This Row],[Мастер]] &amp; CHAR(10) &amp; Хронология[[#This Row],[Помощник мастера]] &amp; CHAR(10) &amp; Хронология[[#This Row],[Бурильщик]]</f>
        <v xml:space="preserve">
Шипунов С.И.</v>
      </c>
      <c r="AU148"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600 ОК– ПР Приготовление раствора Раствор глушения </v>
      </c>
      <c r="AV148" s="518" t="str">
        <f>Хронология[[#This Row],[Результат]]&amp;":  "&amp;Хронология[[#This Row],[Событие]]&amp; CHAR(10) &amp;Хронология[[#This Row],[Вид работ]]&amp;"  "&amp;Хронология[[#This Row],[Объект работ]]</f>
        <v>ПВ:  
Приготовление раствора  Раствор глушения</v>
      </c>
      <c r="AW148" s="601">
        <f>SUMIF($AU$2:AU148, Хронология[[#This Row],[Ключ]], $AH$2:AH148)</f>
        <v>0.5</v>
      </c>
      <c r="AX148" s="516" t="str">
        <f>Хронология[[#This Row],[Вид работ]] &amp; " " &amp; Хронология[[#This Row],[Объект работ]]</f>
        <v>Приготовление раствора Раствор глушения</v>
      </c>
    </row>
    <row r="149" spans="1:50" ht="50.5" customHeight="1">
      <c r="A149" s="540" t="s">
        <v>50</v>
      </c>
      <c r="B149" s="541" t="s">
        <v>263</v>
      </c>
      <c r="C149" s="541" t="s">
        <v>264</v>
      </c>
      <c r="D149" s="542" t="s">
        <v>265</v>
      </c>
      <c r="E149" s="517" t="s">
        <v>266</v>
      </c>
      <c r="F149" s="515"/>
      <c r="G149" s="517"/>
      <c r="H149" s="517" t="s">
        <v>267</v>
      </c>
      <c r="I149" s="518">
        <v>11</v>
      </c>
      <c r="J149" s="517" t="s">
        <v>298</v>
      </c>
      <c r="K149" s="515"/>
      <c r="L149" s="516" t="s">
        <v>59</v>
      </c>
      <c r="M149" s="516" t="s">
        <v>58</v>
      </c>
      <c r="N149" s="516"/>
      <c r="O149" s="516" t="s">
        <v>169</v>
      </c>
      <c r="P149" s="516" t="s">
        <v>293</v>
      </c>
      <c r="Q149" s="516" t="s">
        <v>137</v>
      </c>
      <c r="R149" s="516" t="s">
        <v>294</v>
      </c>
      <c r="S149" s="516"/>
      <c r="T149" s="514" t="s">
        <v>299</v>
      </c>
      <c r="U149" s="516">
        <v>4</v>
      </c>
      <c r="V149" s="516">
        <v>2758.16</v>
      </c>
      <c r="W149" s="516" t="s">
        <v>64</v>
      </c>
      <c r="X149" s="516"/>
      <c r="Y149" s="516"/>
      <c r="Z149" s="516"/>
      <c r="AA149" s="516"/>
      <c r="AB149" s="516"/>
      <c r="AC149" s="516"/>
      <c r="AD149" s="516"/>
      <c r="AE149" s="514">
        <f>IFERROR(IF(Хронология[[#This Row],[Забой, м]]-V148&lt;0, 0, Хронология[[#This Row],[Забой, м]]-V148), 0)</f>
        <v>0</v>
      </c>
      <c r="AF149" s="521">
        <f t="shared" si="2"/>
        <v>46177.49999999992</v>
      </c>
      <c r="AG149" s="521">
        <f>Хронология[[#This Row],[Начало]]+Хронология[[#This Row],[Сутки]]</f>
        <v>46177.666666666584</v>
      </c>
      <c r="AH149" s="522">
        <f>Хронология[[#This Row],[Часы]]/24</f>
        <v>0.16666666666666666</v>
      </c>
      <c r="AI149" s="522">
        <f>IFERROR(Хронология[[#This Row],[Сутки]]+AI148, Хронология[[#This Row],[Сутки]])</f>
        <v>32.833333333333329</v>
      </c>
      <c r="AJ149"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ПВ</v>
      </c>
      <c r="AK149"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4</v>
      </c>
      <c r="AL149"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v>
      </c>
      <c r="AM149" s="527">
        <f>IF(Хронология[[#This Row],[Результат]]="НПВ", Хронология[[#This Row],[Часы]], 0)</f>
        <v>0</v>
      </c>
      <c r="AN149" s="518">
        <f>SUMIFS(Хронология[НПВ], Хронология[Скважина], Хронология[[#This Row],[Скважина]], Хронология[Начало], "&lt;=" &amp; Хронология[[#This Row],[Начало]])</f>
        <v>8</v>
      </c>
      <c r="AO149" s="518">
        <f>SUMIFS(Хронология[ПНВ], Хронология[Скважина], Хронология[[#This Row],[Скважина]], Хронология[Начало], "&lt;=" &amp; Хронология[[#This Row],[Начало]])</f>
        <v>9.1700000000000017</v>
      </c>
      <c r="AP149" s="523">
        <f>INT(ROUND(Хронология[[#This Row],[Начало]], 3))</f>
        <v>46177</v>
      </c>
      <c r="AQ149" s="524">
        <f>Хронология[[#This Row],[Начало]]-INT(Хронология[[#This Row],[Начало]])</f>
        <v>0.49999999991996447</v>
      </c>
      <c r="AR149" s="523">
        <f>INT(ROUND(Хронология[[#This Row],[Окончание]], 3))</f>
        <v>46177</v>
      </c>
      <c r="AS149" s="524">
        <f>Хронология[[#This Row],[Окончание]]-INT(Хронология[[#This Row],[Окончание]])</f>
        <v>0.66666666658420581</v>
      </c>
      <c r="AT149" s="524" t="str">
        <f>Хронология[[#This Row],[Мастер]] &amp; CHAR(10) &amp; Хронология[[#This Row],[Помощник мастера]] &amp; CHAR(10) &amp; Хронология[[#This Row],[Бурильщик]]</f>
        <v xml:space="preserve">
Шипунов С.И.</v>
      </c>
      <c r="AU149"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600 ОК– ПР Приготовление раствора Раствор глушения </v>
      </c>
      <c r="AV149" s="518" t="str">
        <f>Хронология[[#This Row],[Результат]]&amp;":  "&amp;Хронология[[#This Row],[Событие]]&amp; CHAR(10) &amp;Хронология[[#This Row],[Вид работ]]&amp;"  "&amp;Хронология[[#This Row],[Объект работ]]</f>
        <v>ПВ:  
Приготовление раствора  Раствор глушения</v>
      </c>
      <c r="AW149" s="601">
        <f>SUMIF($AU$2:AU149, Хронология[[#This Row],[Ключ]], $AH$2:AH149)</f>
        <v>0.66666666666666663</v>
      </c>
      <c r="AX149" s="516" t="str">
        <f>Хронология[[#This Row],[Вид работ]] &amp; " " &amp; Хронология[[#This Row],[Объект работ]]</f>
        <v>Приготовление раствора Раствор глушения</v>
      </c>
    </row>
    <row r="150" spans="1:50" ht="50.5" customHeight="1">
      <c r="A150" s="540" t="s">
        <v>50</v>
      </c>
      <c r="B150" s="541" t="s">
        <v>263</v>
      </c>
      <c r="C150" s="541" t="s">
        <v>264</v>
      </c>
      <c r="D150" s="542" t="s">
        <v>265</v>
      </c>
      <c r="E150" s="517" t="s">
        <v>266</v>
      </c>
      <c r="F150" s="515"/>
      <c r="G150" s="517"/>
      <c r="H150" s="517" t="s">
        <v>267</v>
      </c>
      <c r="I150" s="518">
        <v>11</v>
      </c>
      <c r="J150" s="517" t="s">
        <v>300</v>
      </c>
      <c r="K150" s="515"/>
      <c r="L150" s="516" t="s">
        <v>59</v>
      </c>
      <c r="M150" s="516" t="s">
        <v>58</v>
      </c>
      <c r="N150" s="516"/>
      <c r="O150" s="516" t="s">
        <v>169</v>
      </c>
      <c r="P150" s="516" t="s">
        <v>293</v>
      </c>
      <c r="Q150" s="516" t="s">
        <v>137</v>
      </c>
      <c r="R150" s="516" t="s">
        <v>294</v>
      </c>
      <c r="S150" s="516"/>
      <c r="T150" s="514" t="s">
        <v>301</v>
      </c>
      <c r="U150" s="516">
        <v>4</v>
      </c>
      <c r="V150" s="516">
        <v>2758.16</v>
      </c>
      <c r="W150" s="516" t="s">
        <v>64</v>
      </c>
      <c r="X150" s="516"/>
      <c r="Y150" s="516"/>
      <c r="Z150" s="516"/>
      <c r="AA150" s="516"/>
      <c r="AB150" s="516"/>
      <c r="AC150" s="516"/>
      <c r="AD150" s="516"/>
      <c r="AE150" s="514">
        <f>IFERROR(IF(Хронология[[#This Row],[Забой, м]]-V149&lt;0, 0, Хронология[[#This Row],[Забой, м]]-V149), 0)</f>
        <v>0</v>
      </c>
      <c r="AF150" s="521">
        <f t="shared" si="2"/>
        <v>46177.666666666584</v>
      </c>
      <c r="AG150" s="521">
        <f>Хронология[[#This Row],[Начало]]+Хронология[[#This Row],[Сутки]]</f>
        <v>46177.833333333248</v>
      </c>
      <c r="AH150" s="522">
        <f>Хронология[[#This Row],[Часы]]/24</f>
        <v>0.16666666666666666</v>
      </c>
      <c r="AI150" s="522">
        <f>IFERROR(Хронология[[#This Row],[Сутки]]+AI149, Хронология[[#This Row],[Сутки]])</f>
        <v>32.999999999999993</v>
      </c>
      <c r="AJ150"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ПВ</v>
      </c>
      <c r="AK150"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4</v>
      </c>
      <c r="AL150"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v>
      </c>
      <c r="AM150" s="527">
        <f>IF(Хронология[[#This Row],[Результат]]="НПВ", Хронология[[#This Row],[Часы]], 0)</f>
        <v>0</v>
      </c>
      <c r="AN150" s="518">
        <f>SUMIFS(Хронология[НПВ], Хронология[Скважина], Хронология[[#This Row],[Скважина]], Хронология[Начало], "&lt;=" &amp; Хронология[[#This Row],[Начало]])</f>
        <v>8</v>
      </c>
      <c r="AO150" s="518">
        <f>SUMIFS(Хронология[ПНВ], Хронология[Скважина], Хронология[[#This Row],[Скважина]], Хронология[Начало], "&lt;=" &amp; Хронология[[#This Row],[Начало]])</f>
        <v>9.1700000000000017</v>
      </c>
      <c r="AP150" s="523">
        <f>INT(ROUND(Хронология[[#This Row],[Начало]], 3))</f>
        <v>46177</v>
      </c>
      <c r="AQ150" s="524">
        <f>Хронология[[#This Row],[Начало]]-INT(Хронология[[#This Row],[Начало]])</f>
        <v>0.66666666658420581</v>
      </c>
      <c r="AR150" s="523">
        <f>INT(ROUND(Хронология[[#This Row],[Окончание]], 3))</f>
        <v>46177</v>
      </c>
      <c r="AS150" s="524">
        <f>Хронология[[#This Row],[Окончание]]-INT(Хронология[[#This Row],[Окончание]])</f>
        <v>0.83333333324844716</v>
      </c>
      <c r="AT150" s="524" t="str">
        <f>Хронология[[#This Row],[Мастер]] &amp; CHAR(10) &amp; Хронология[[#This Row],[Помощник мастера]] &amp; CHAR(10) &amp; Хронология[[#This Row],[Бурильщик]]</f>
        <v xml:space="preserve">
Шипунов С.И.</v>
      </c>
      <c r="AU150"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600 ОК– ПР Приготовление раствора Раствор глушения </v>
      </c>
      <c r="AV150" s="518" t="str">
        <f>Хронология[[#This Row],[Результат]]&amp;":  "&amp;Хронология[[#This Row],[Событие]]&amp; CHAR(10) &amp;Хронология[[#This Row],[Вид работ]]&amp;"  "&amp;Хронология[[#This Row],[Объект работ]]</f>
        <v>ПВ:  
Приготовление раствора  Раствор глушения</v>
      </c>
      <c r="AW150" s="601">
        <f>SUMIF($AU$2:AU150, Хронология[[#This Row],[Ключ]], $AH$2:AH150)</f>
        <v>0.83333333333333326</v>
      </c>
      <c r="AX150" s="516" t="str">
        <f>Хронология[[#This Row],[Вид работ]] &amp; " " &amp; Хронология[[#This Row],[Объект работ]]</f>
        <v>Приготовление раствора Раствор глушения</v>
      </c>
    </row>
    <row r="151" spans="1:50" ht="50.5" customHeight="1">
      <c r="A151" s="540" t="s">
        <v>50</v>
      </c>
      <c r="B151" s="541" t="s">
        <v>263</v>
      </c>
      <c r="C151" s="541" t="s">
        <v>264</v>
      </c>
      <c r="D151" s="542" t="s">
        <v>265</v>
      </c>
      <c r="E151" s="517" t="s">
        <v>266</v>
      </c>
      <c r="F151" s="515"/>
      <c r="G151" s="517"/>
      <c r="H151" s="517" t="s">
        <v>267</v>
      </c>
      <c r="I151" s="518">
        <v>11</v>
      </c>
      <c r="J151" s="517" t="s">
        <v>302</v>
      </c>
      <c r="K151" s="515"/>
      <c r="L151" s="516" t="s">
        <v>59</v>
      </c>
      <c r="M151" s="516" t="s">
        <v>58</v>
      </c>
      <c r="N151" s="516"/>
      <c r="O151" s="516" t="s">
        <v>169</v>
      </c>
      <c r="P151" s="516" t="s">
        <v>293</v>
      </c>
      <c r="Q151" s="516" t="s">
        <v>137</v>
      </c>
      <c r="R151" s="516" t="s">
        <v>294</v>
      </c>
      <c r="S151" s="516"/>
      <c r="T151" s="514" t="s">
        <v>303</v>
      </c>
      <c r="U151" s="516">
        <v>4</v>
      </c>
      <c r="V151" s="516">
        <v>2758.16</v>
      </c>
      <c r="W151" s="516" t="s">
        <v>64</v>
      </c>
      <c r="X151" s="516"/>
      <c r="Y151" s="516"/>
      <c r="Z151" s="516"/>
      <c r="AA151" s="516"/>
      <c r="AB151" s="516"/>
      <c r="AC151" s="516"/>
      <c r="AD151" s="516"/>
      <c r="AE151" s="514">
        <f>IFERROR(IF(Хронология[[#This Row],[Забой, м]]-V150&lt;0, 0, Хронология[[#This Row],[Забой, м]]-V150), 0)</f>
        <v>0</v>
      </c>
      <c r="AF151" s="521">
        <f t="shared" si="2"/>
        <v>46177.833333333248</v>
      </c>
      <c r="AG151" s="521">
        <f>Хронология[[#This Row],[Начало]]+Хронология[[#This Row],[Сутки]]</f>
        <v>46177.999999999913</v>
      </c>
      <c r="AH151" s="522">
        <f>Хронология[[#This Row],[Часы]]/24</f>
        <v>0.16666666666666666</v>
      </c>
      <c r="AI151" s="522">
        <f>IFERROR(Хронология[[#This Row],[Сутки]]+AI150, Хронология[[#This Row],[Сутки]])</f>
        <v>33.166666666666657</v>
      </c>
      <c r="AJ151"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ПВ</v>
      </c>
      <c r="AK151"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4</v>
      </c>
      <c r="AL151"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v>
      </c>
      <c r="AM151" s="527">
        <f>IF(Хронология[[#This Row],[Результат]]="НПВ", Хронология[[#This Row],[Часы]], 0)</f>
        <v>0</v>
      </c>
      <c r="AN151" s="518">
        <f>SUMIFS(Хронология[НПВ], Хронология[Скважина], Хронология[[#This Row],[Скважина]], Хронология[Начало], "&lt;=" &amp; Хронология[[#This Row],[Начало]])</f>
        <v>8</v>
      </c>
      <c r="AO151" s="518">
        <f>SUMIFS(Хронология[ПНВ], Хронология[Скважина], Хронология[[#This Row],[Скважина]], Хронология[Начало], "&lt;=" &amp; Хронология[[#This Row],[Начало]])</f>
        <v>9.1700000000000017</v>
      </c>
      <c r="AP151" s="523">
        <f>INT(ROUND(Хронология[[#This Row],[Начало]], 3))</f>
        <v>46177</v>
      </c>
      <c r="AQ151" s="524">
        <f>Хронология[[#This Row],[Начало]]-INT(Хронология[[#This Row],[Начало]])</f>
        <v>0.83333333324844716</v>
      </c>
      <c r="AR151" s="523">
        <f>INT(ROUND(Хронология[[#This Row],[Окончание]], 3))</f>
        <v>46178</v>
      </c>
      <c r="AS151" s="524">
        <f>Хронология[[#This Row],[Окончание]]-INT(Хронология[[#This Row],[Окончание]])</f>
        <v>0.99999999991268851</v>
      </c>
      <c r="AT151" s="524" t="str">
        <f>Хронология[[#This Row],[Мастер]] &amp; CHAR(10) &amp; Хронология[[#This Row],[Помощник мастера]] &amp; CHAR(10) &amp; Хронология[[#This Row],[Бурильщик]]</f>
        <v xml:space="preserve">
Шипунов С.И.</v>
      </c>
      <c r="AU151"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600 ОК– ПР Приготовление раствора Раствор глушения </v>
      </c>
      <c r="AV151" s="518" t="str">
        <f>Хронология[[#This Row],[Результат]]&amp;":  "&amp;Хронология[[#This Row],[Событие]]&amp; CHAR(10) &amp;Хронология[[#This Row],[Вид работ]]&amp;"  "&amp;Хронология[[#This Row],[Объект работ]]</f>
        <v>ПВ:  
Приготовление раствора  Раствор глушения</v>
      </c>
      <c r="AW151" s="601">
        <f>SUMIF($AU$2:AU151, Хронология[[#This Row],[Ключ]], $AH$2:AH151)</f>
        <v>0.99999999999999989</v>
      </c>
      <c r="AX151" s="516" t="str">
        <f>Хронология[[#This Row],[Вид работ]] &amp; " " &amp; Хронология[[#This Row],[Объект работ]]</f>
        <v>Приготовление раствора Раствор глушения</v>
      </c>
    </row>
    <row r="152" spans="1:50" ht="50.5" customHeight="1">
      <c r="A152" s="540" t="s">
        <v>50</v>
      </c>
      <c r="B152" s="541" t="s">
        <v>263</v>
      </c>
      <c r="C152" s="541" t="s">
        <v>264</v>
      </c>
      <c r="D152" s="542" t="s">
        <v>265</v>
      </c>
      <c r="E152" s="517" t="s">
        <v>266</v>
      </c>
      <c r="F152" s="515" t="s">
        <v>207</v>
      </c>
      <c r="G152" s="517"/>
      <c r="H152" s="517" t="s">
        <v>278</v>
      </c>
      <c r="I152" s="518">
        <v>12</v>
      </c>
      <c r="J152" s="517" t="s">
        <v>304</v>
      </c>
      <c r="K152" s="515"/>
      <c r="L152" s="516" t="s">
        <v>59</v>
      </c>
      <c r="M152" s="516" t="s">
        <v>58</v>
      </c>
      <c r="N152" s="516"/>
      <c r="O152" s="516" t="s">
        <v>169</v>
      </c>
      <c r="P152" s="516" t="s">
        <v>293</v>
      </c>
      <c r="Q152" s="516" t="s">
        <v>137</v>
      </c>
      <c r="R152" s="516" t="s">
        <v>294</v>
      </c>
      <c r="S152" s="516"/>
      <c r="T152" s="514" t="s">
        <v>305</v>
      </c>
      <c r="U152" s="516">
        <v>7</v>
      </c>
      <c r="V152" s="516">
        <v>2758.16</v>
      </c>
      <c r="W152" s="516" t="s">
        <v>64</v>
      </c>
      <c r="X152" s="516"/>
      <c r="Y152" s="516"/>
      <c r="Z152" s="516"/>
      <c r="AA152" s="516"/>
      <c r="AB152" s="516"/>
      <c r="AC152" s="516"/>
      <c r="AD152" s="516"/>
      <c r="AE152" s="514">
        <f>IFERROR(IF(Хронология[[#This Row],[Забой, м]]-V151&lt;0, 0, Хронология[[#This Row],[Забой, м]]-V151), 0)</f>
        <v>0</v>
      </c>
      <c r="AF152" s="521">
        <f t="shared" si="2"/>
        <v>46177.999999999913</v>
      </c>
      <c r="AG152" s="521">
        <f>Хронология[[#This Row],[Начало]]+Хронология[[#This Row],[Сутки]]</f>
        <v>46178.291666666577</v>
      </c>
      <c r="AH152" s="522">
        <f>Хронология[[#This Row],[Часы]]/24</f>
        <v>0.29166666666666669</v>
      </c>
      <c r="AI152" s="522">
        <f>IFERROR(Хронология[[#This Row],[Сутки]]+AI151, Хронология[[#This Row],[Сутки]])</f>
        <v>33.458333333333321</v>
      </c>
      <c r="AJ152"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ПВ</v>
      </c>
      <c r="AK152"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7</v>
      </c>
      <c r="AL152"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v>
      </c>
      <c r="AM152" s="527">
        <f>IF(Хронология[[#This Row],[Результат]]="НПВ", Хронология[[#This Row],[Часы]], 0)</f>
        <v>0</v>
      </c>
      <c r="AN152" s="518">
        <f>SUMIFS(Хронология[НПВ], Хронология[Скважина], Хронология[[#This Row],[Скважина]], Хронология[Начало], "&lt;=" &amp; Хронология[[#This Row],[Начало]])</f>
        <v>8</v>
      </c>
      <c r="AO152" s="518">
        <f>SUMIFS(Хронология[ПНВ], Хронология[Скважина], Хронология[[#This Row],[Скважина]], Хронология[Начало], "&lt;=" &amp; Хронология[[#This Row],[Начало]])</f>
        <v>9.1700000000000017</v>
      </c>
      <c r="AP152" s="523">
        <f>INT(ROUND(Хронология[[#This Row],[Начало]], 3))</f>
        <v>46178</v>
      </c>
      <c r="AQ152" s="524">
        <f>Хронология[[#This Row],[Начало]]-INT(Хронология[[#This Row],[Начало]])</f>
        <v>0.99999999991268851</v>
      </c>
      <c r="AR152" s="523">
        <f>INT(ROUND(Хронология[[#This Row],[Окончание]], 3))</f>
        <v>46178</v>
      </c>
      <c r="AS152" s="524">
        <f>Хронология[[#This Row],[Окончание]]-INT(Хронология[[#This Row],[Окончание]])</f>
        <v>0.29166666657692986</v>
      </c>
      <c r="AT152" s="524" t="str">
        <f>Хронология[[#This Row],[Мастер]] &amp; CHAR(10) &amp; Хронология[[#This Row],[Помощник мастера]] &amp; CHAR(10) &amp; Хронология[[#This Row],[Бурильщик]]</f>
        <v>Епифанов Д.Б.
Хохряков В.Я.</v>
      </c>
      <c r="AU152"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600 ОК– ПР Приготовление раствора Раствор глушения </v>
      </c>
      <c r="AV152" s="518" t="str">
        <f>Хронология[[#This Row],[Результат]]&amp;":  "&amp;Хронология[[#This Row],[Событие]]&amp; CHAR(10) &amp;Хронология[[#This Row],[Вид работ]]&amp;"  "&amp;Хронология[[#This Row],[Объект работ]]</f>
        <v>ПВ:  
Приготовление раствора  Раствор глушения</v>
      </c>
      <c r="AW152" s="601">
        <f>SUMIF($AU$2:AU152, Хронология[[#This Row],[Ключ]], $AH$2:AH152)</f>
        <v>1.2916666666666665</v>
      </c>
      <c r="AX152" s="516" t="str">
        <f>Хронология[[#This Row],[Вид работ]] &amp; " " &amp; Хронология[[#This Row],[Объект работ]]</f>
        <v>Приготовление раствора Раствор глушения</v>
      </c>
    </row>
    <row r="153" spans="1:50" ht="50.5" customHeight="1">
      <c r="A153" s="540" t="s">
        <v>50</v>
      </c>
      <c r="B153" s="541" t="s">
        <v>263</v>
      </c>
      <c r="C153" s="541" t="s">
        <v>264</v>
      </c>
      <c r="D153" s="542" t="s">
        <v>265</v>
      </c>
      <c r="E153" s="517" t="s">
        <v>266</v>
      </c>
      <c r="F153" s="515" t="s">
        <v>207</v>
      </c>
      <c r="G153" s="517"/>
      <c r="H153" s="517" t="s">
        <v>267</v>
      </c>
      <c r="I153" s="518">
        <v>12</v>
      </c>
      <c r="J153" s="517" t="s">
        <v>306</v>
      </c>
      <c r="K153" s="515"/>
      <c r="L153" s="516" t="s">
        <v>59</v>
      </c>
      <c r="M153" s="516" t="s">
        <v>58</v>
      </c>
      <c r="N153" s="516"/>
      <c r="O153" s="516" t="s">
        <v>169</v>
      </c>
      <c r="P153" s="516" t="s">
        <v>293</v>
      </c>
      <c r="Q153" s="516" t="s">
        <v>137</v>
      </c>
      <c r="R153" s="516" t="s">
        <v>294</v>
      </c>
      <c r="S153" s="516"/>
      <c r="T153" s="514" t="s">
        <v>307</v>
      </c>
      <c r="U153" s="516">
        <v>5</v>
      </c>
      <c r="V153" s="516">
        <v>2758.16</v>
      </c>
      <c r="W153" s="516" t="s">
        <v>64</v>
      </c>
      <c r="X153" s="516"/>
      <c r="Y153" s="516"/>
      <c r="Z153" s="516"/>
      <c r="AA153" s="516"/>
      <c r="AB153" s="516"/>
      <c r="AC153" s="516"/>
      <c r="AD153" s="516"/>
      <c r="AE153" s="514">
        <f>IFERROR(IF(Хронология[[#This Row],[Забой, м]]-V152&lt;0, 0, Хронология[[#This Row],[Забой, м]]-V152), 0)</f>
        <v>0</v>
      </c>
      <c r="AF153" s="521">
        <f t="shared" si="2"/>
        <v>46178.291666666577</v>
      </c>
      <c r="AG153" s="521">
        <f>Хронология[[#This Row],[Начало]]+Хронология[[#This Row],[Сутки]]</f>
        <v>46178.499999999913</v>
      </c>
      <c r="AH153" s="522">
        <f>Хронология[[#This Row],[Часы]]/24</f>
        <v>0.20833333333333334</v>
      </c>
      <c r="AI153" s="522">
        <f>IFERROR(Хронология[[#This Row],[Сутки]]+AI152, Хронология[[#This Row],[Сутки]])</f>
        <v>33.666666666666657</v>
      </c>
      <c r="AJ153"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ПВ</v>
      </c>
      <c r="AK153"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5</v>
      </c>
      <c r="AL153"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v>
      </c>
      <c r="AM153" s="527">
        <f>IF(Хронология[[#This Row],[Результат]]="НПВ", Хронология[[#This Row],[Часы]], 0)</f>
        <v>0</v>
      </c>
      <c r="AN153" s="518">
        <f>SUMIFS(Хронология[НПВ], Хронология[Скважина], Хронология[[#This Row],[Скважина]], Хронология[Начало], "&lt;=" &amp; Хронология[[#This Row],[Начало]])</f>
        <v>8</v>
      </c>
      <c r="AO153" s="518">
        <f>SUMIFS(Хронология[ПНВ], Хронология[Скважина], Хронология[[#This Row],[Скважина]], Хронология[Начало], "&lt;=" &amp; Хронология[[#This Row],[Начало]])</f>
        <v>9.1700000000000017</v>
      </c>
      <c r="AP153" s="523">
        <f>INT(ROUND(Хронология[[#This Row],[Начало]], 3))</f>
        <v>46178</v>
      </c>
      <c r="AQ153" s="524">
        <f>Хронология[[#This Row],[Начало]]-INT(Хронология[[#This Row],[Начало]])</f>
        <v>0.29166666657692986</v>
      </c>
      <c r="AR153" s="523">
        <f>INT(ROUND(Хронология[[#This Row],[Окончание]], 3))</f>
        <v>46178</v>
      </c>
      <c r="AS153" s="524">
        <f>Хронология[[#This Row],[Окончание]]-INT(Хронология[[#This Row],[Окончание]])</f>
        <v>0.49999999991268851</v>
      </c>
      <c r="AT153" s="524" t="str">
        <f>Хронология[[#This Row],[Мастер]] &amp; CHAR(10) &amp; Хронология[[#This Row],[Помощник мастера]] &amp; CHAR(10) &amp; Хронология[[#This Row],[Бурильщик]]</f>
        <v>Епифанов Д.Б.
Шипунов С.И.</v>
      </c>
      <c r="AU153"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600 ОК– ПР Приготовление раствора Раствор глушения </v>
      </c>
      <c r="AV153" s="518" t="str">
        <f>Хронология[[#This Row],[Результат]]&amp;":  "&amp;Хронология[[#This Row],[Событие]]&amp; CHAR(10) &amp;Хронология[[#This Row],[Вид работ]]&amp;"  "&amp;Хронология[[#This Row],[Объект работ]]</f>
        <v>ПВ:  
Приготовление раствора  Раствор глушения</v>
      </c>
      <c r="AW153" s="601">
        <f>SUMIF($AU$2:AU153, Хронология[[#This Row],[Ключ]], $AH$2:AH153)</f>
        <v>1.4999999999999998</v>
      </c>
      <c r="AX153" s="516" t="str">
        <f>Хронология[[#This Row],[Вид работ]] &amp; " " &amp; Хронология[[#This Row],[Объект работ]]</f>
        <v>Приготовление раствора Раствор глушения</v>
      </c>
    </row>
    <row r="154" spans="1:50" ht="50.5" customHeight="1">
      <c r="A154" s="540" t="s">
        <v>50</v>
      </c>
      <c r="B154" s="541" t="s">
        <v>263</v>
      </c>
      <c r="C154" s="541" t="s">
        <v>264</v>
      </c>
      <c r="D154" s="542" t="s">
        <v>265</v>
      </c>
      <c r="E154" s="517" t="s">
        <v>266</v>
      </c>
      <c r="F154" s="515" t="s">
        <v>207</v>
      </c>
      <c r="G154" s="517"/>
      <c r="H154" s="517" t="s">
        <v>267</v>
      </c>
      <c r="I154" s="518">
        <v>12</v>
      </c>
      <c r="J154" s="517" t="s">
        <v>308</v>
      </c>
      <c r="K154" s="515"/>
      <c r="L154" s="516" t="s">
        <v>59</v>
      </c>
      <c r="M154" s="516" t="s">
        <v>58</v>
      </c>
      <c r="N154" s="516"/>
      <c r="O154" s="516" t="s">
        <v>169</v>
      </c>
      <c r="P154" s="516" t="s">
        <v>293</v>
      </c>
      <c r="Q154" s="516" t="s">
        <v>137</v>
      </c>
      <c r="R154" s="516" t="s">
        <v>294</v>
      </c>
      <c r="S154" s="516"/>
      <c r="T154" s="514" t="s">
        <v>309</v>
      </c>
      <c r="U154" s="516">
        <v>4</v>
      </c>
      <c r="V154" s="516">
        <v>2758.16</v>
      </c>
      <c r="W154" s="516" t="s">
        <v>64</v>
      </c>
      <c r="X154" s="516"/>
      <c r="Y154" s="516"/>
      <c r="Z154" s="516"/>
      <c r="AA154" s="516"/>
      <c r="AB154" s="516"/>
      <c r="AC154" s="516"/>
      <c r="AD154" s="516"/>
      <c r="AE154" s="514">
        <f>IFERROR(IF(Хронология[[#This Row],[Забой, м]]-V153&lt;0, 0, Хронология[[#This Row],[Забой, м]]-V153), 0)</f>
        <v>0</v>
      </c>
      <c r="AF154" s="521">
        <f t="shared" si="2"/>
        <v>46178.499999999913</v>
      </c>
      <c r="AG154" s="521">
        <f>Хронология[[#This Row],[Начало]]+Хронология[[#This Row],[Сутки]]</f>
        <v>46178.666666666577</v>
      </c>
      <c r="AH154" s="522">
        <f>Хронология[[#This Row],[Часы]]/24</f>
        <v>0.16666666666666666</v>
      </c>
      <c r="AI154" s="522">
        <f>IFERROR(Хронология[[#This Row],[Сутки]]+AI153, Хронология[[#This Row],[Сутки]])</f>
        <v>33.833333333333321</v>
      </c>
      <c r="AJ154"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ПВ</v>
      </c>
      <c r="AK154"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4</v>
      </c>
      <c r="AL154"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v>
      </c>
      <c r="AM154" s="527">
        <f>IF(Хронология[[#This Row],[Результат]]="НПВ", Хронология[[#This Row],[Часы]], 0)</f>
        <v>0</v>
      </c>
      <c r="AN154" s="518">
        <f>SUMIFS(Хронология[НПВ], Хронология[Скважина], Хронология[[#This Row],[Скважина]], Хронология[Начало], "&lt;=" &amp; Хронология[[#This Row],[Начало]])</f>
        <v>8</v>
      </c>
      <c r="AO154" s="518">
        <f>SUMIFS(Хронология[ПНВ], Хронология[Скважина], Хронология[[#This Row],[Скважина]], Хронология[Начало], "&lt;=" &amp; Хронология[[#This Row],[Начало]])</f>
        <v>9.1700000000000017</v>
      </c>
      <c r="AP154" s="523">
        <f>INT(ROUND(Хронология[[#This Row],[Начало]], 3))</f>
        <v>46178</v>
      </c>
      <c r="AQ154" s="524">
        <f>Хронология[[#This Row],[Начало]]-INT(Хронология[[#This Row],[Начало]])</f>
        <v>0.49999999991268851</v>
      </c>
      <c r="AR154" s="523">
        <f>INT(ROUND(Хронология[[#This Row],[Окончание]], 3))</f>
        <v>46178</v>
      </c>
      <c r="AS154" s="524">
        <f>Хронология[[#This Row],[Окончание]]-INT(Хронология[[#This Row],[Окончание]])</f>
        <v>0.66666666657692986</v>
      </c>
      <c r="AT154" s="524" t="str">
        <f>Хронология[[#This Row],[Мастер]] &amp; CHAR(10) &amp; Хронология[[#This Row],[Помощник мастера]] &amp; CHAR(10) &amp; Хронология[[#This Row],[Бурильщик]]</f>
        <v>Епифанов Д.Б.
Шипунов С.И.</v>
      </c>
      <c r="AU154"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600 ОК– ПР Приготовление раствора Раствор глушения </v>
      </c>
      <c r="AV154" s="518" t="str">
        <f>Хронология[[#This Row],[Результат]]&amp;":  "&amp;Хронология[[#This Row],[Событие]]&amp; CHAR(10) &amp;Хронология[[#This Row],[Вид работ]]&amp;"  "&amp;Хронология[[#This Row],[Объект работ]]</f>
        <v>ПВ:  
Приготовление раствора  Раствор глушения</v>
      </c>
      <c r="AW154" s="601">
        <f>SUMIF($AU$2:AU154, Хронология[[#This Row],[Ключ]], $AH$2:AH154)</f>
        <v>1.6666666666666665</v>
      </c>
      <c r="AX154" s="516" t="str">
        <f>Хронология[[#This Row],[Вид работ]] &amp; " " &amp; Хронология[[#This Row],[Объект работ]]</f>
        <v>Приготовление раствора Раствор глушения</v>
      </c>
    </row>
    <row r="155" spans="1:50" ht="50.5" customHeight="1">
      <c r="A155" s="540" t="s">
        <v>50</v>
      </c>
      <c r="B155" s="541" t="s">
        <v>263</v>
      </c>
      <c r="C155" s="541" t="s">
        <v>264</v>
      </c>
      <c r="D155" s="542" t="s">
        <v>265</v>
      </c>
      <c r="E155" s="517" t="s">
        <v>266</v>
      </c>
      <c r="F155" s="515" t="s">
        <v>207</v>
      </c>
      <c r="G155" s="517"/>
      <c r="H155" s="517" t="s">
        <v>267</v>
      </c>
      <c r="I155" s="518">
        <v>12</v>
      </c>
      <c r="J155" s="517" t="s">
        <v>310</v>
      </c>
      <c r="K155" s="515"/>
      <c r="L155" s="516" t="s">
        <v>51</v>
      </c>
      <c r="M155" s="516" t="s">
        <v>76</v>
      </c>
      <c r="N155" s="516" t="s">
        <v>77</v>
      </c>
      <c r="O155" s="516" t="s">
        <v>78</v>
      </c>
      <c r="P155" s="516" t="s">
        <v>285</v>
      </c>
      <c r="Q155" s="516" t="s">
        <v>61</v>
      </c>
      <c r="R155" s="516" t="s">
        <v>286</v>
      </c>
      <c r="S155" s="516"/>
      <c r="T155" s="514" t="s">
        <v>311</v>
      </c>
      <c r="U155" s="516">
        <v>4</v>
      </c>
      <c r="V155" s="516">
        <v>2758.16</v>
      </c>
      <c r="W155" s="516" t="s">
        <v>64</v>
      </c>
      <c r="X155" s="516"/>
      <c r="Y155" s="516"/>
      <c r="Z155" s="516"/>
      <c r="AA155" s="516"/>
      <c r="AB155" s="516"/>
      <c r="AC155" s="516"/>
      <c r="AD155" s="516"/>
      <c r="AE155" s="514">
        <f>IFERROR(IF(Хронология[[#This Row],[Забой, м]]-V154&lt;0, 0, Хронология[[#This Row],[Забой, м]]-V154), 0)</f>
        <v>0</v>
      </c>
      <c r="AF155" s="521">
        <f t="shared" si="2"/>
        <v>46178.666666666577</v>
      </c>
      <c r="AG155" s="521">
        <f>Хронология[[#This Row],[Начало]]+Хронология[[#This Row],[Сутки]]</f>
        <v>46178.833333333241</v>
      </c>
      <c r="AH155" s="522">
        <f>Хронология[[#This Row],[Часы]]/24</f>
        <v>0.16666666666666666</v>
      </c>
      <c r="AI155" s="522">
        <f>IFERROR(Хронология[[#This Row],[Сутки]]+AI154, Хронология[[#This Row],[Сутки]])</f>
        <v>33.999999999999986</v>
      </c>
      <c r="AJ155"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НПВ</v>
      </c>
      <c r="AK155"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v>
      </c>
      <c r="AL155"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v>
      </c>
      <c r="AM155" s="527">
        <f>IF(Хронология[[#This Row],[Результат]]="НПВ", Хронология[[#This Row],[Часы]], 0)</f>
        <v>4</v>
      </c>
      <c r="AN155" s="518">
        <f>SUMIFS(Хронология[НПВ], Хронология[Скважина], Хронология[[#This Row],[Скважина]], Хронология[Начало], "&lt;=" &amp; Хронология[[#This Row],[Начало]])</f>
        <v>12</v>
      </c>
      <c r="AO155" s="518">
        <f>SUMIFS(Хронология[ПНВ], Хронология[Скважина], Хронология[[#This Row],[Скважина]], Хронология[Начало], "&lt;=" &amp; Хронология[[#This Row],[Начало]])</f>
        <v>9.1700000000000017</v>
      </c>
      <c r="AP155" s="523">
        <f>INT(ROUND(Хронология[[#This Row],[Начало]], 3))</f>
        <v>46178</v>
      </c>
      <c r="AQ155" s="524">
        <f>Хронология[[#This Row],[Начало]]-INT(Хронология[[#This Row],[Начало]])</f>
        <v>0.66666666657692986</v>
      </c>
      <c r="AR155" s="523">
        <f>INT(ROUND(Хронология[[#This Row],[Окончание]], 3))</f>
        <v>46178</v>
      </c>
      <c r="AS155" s="524">
        <f>Хронология[[#This Row],[Окончание]]-INT(Хронология[[#This Row],[Окончание]])</f>
        <v>0.8333333332411712</v>
      </c>
      <c r="AT155" s="524" t="str">
        <f>Хронология[[#This Row],[Мастер]] &amp; CHAR(10) &amp; Хронология[[#This Row],[Помощник мастера]] &amp; CHAR(10) &amp; Хронология[[#This Row],[Бурильщик]]</f>
        <v>Епифанов Д.Б.
Шипунов С.И.</v>
      </c>
      <c r="AU155"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600 ОК– КРС Орг_простой Ожидание разрешения Тех. дежурство Бригада КРС </v>
      </c>
      <c r="AV155" s="518" t="str">
        <f>Хронология[[#This Row],[Результат]]&amp;":  "&amp;Хронология[[#This Row],[Событие]]&amp; CHAR(10) &amp;Хронология[[#This Row],[Вид работ]]&amp;"  "&amp;Хронология[[#This Row],[Объект работ]]</f>
        <v>НПВ:  Ожидание разрешения
Тех. дежурство  Бригада КРС</v>
      </c>
      <c r="AW155" s="601">
        <f>SUMIF($AU$2:AU155, Хронология[[#This Row],[Ключ]], $AH$2:AH155)</f>
        <v>0.5</v>
      </c>
      <c r="AX155" s="516" t="str">
        <f>Хронология[[#This Row],[Вид работ]] &amp; " " &amp; Хронология[[#This Row],[Объект работ]]</f>
        <v>Тех. дежурство Бригада КРС</v>
      </c>
    </row>
    <row r="156" spans="1:50" ht="50.5" customHeight="1">
      <c r="A156" s="540" t="s">
        <v>50</v>
      </c>
      <c r="B156" s="541" t="s">
        <v>263</v>
      </c>
      <c r="C156" s="541" t="s">
        <v>264</v>
      </c>
      <c r="D156" s="542" t="s">
        <v>265</v>
      </c>
      <c r="E156" s="517" t="s">
        <v>266</v>
      </c>
      <c r="F156" s="515" t="s">
        <v>207</v>
      </c>
      <c r="G156" s="517"/>
      <c r="H156" s="517" t="s">
        <v>267</v>
      </c>
      <c r="I156" s="518">
        <v>12</v>
      </c>
      <c r="J156" s="517" t="s">
        <v>312</v>
      </c>
      <c r="K156" s="515"/>
      <c r="L156" s="516" t="s">
        <v>51</v>
      </c>
      <c r="M156" s="516" t="s">
        <v>76</v>
      </c>
      <c r="N156" s="516" t="s">
        <v>77</v>
      </c>
      <c r="O156" s="516" t="s">
        <v>78</v>
      </c>
      <c r="P156" s="516" t="s">
        <v>285</v>
      </c>
      <c r="Q156" s="516" t="s">
        <v>61</v>
      </c>
      <c r="R156" s="516" t="s">
        <v>286</v>
      </c>
      <c r="S156" s="516"/>
      <c r="T156" s="514" t="s">
        <v>313</v>
      </c>
      <c r="U156" s="516">
        <v>4</v>
      </c>
      <c r="V156" s="516">
        <v>2758.16</v>
      </c>
      <c r="W156" s="516" t="s">
        <v>64</v>
      </c>
      <c r="X156" s="516"/>
      <c r="Y156" s="516"/>
      <c r="Z156" s="516"/>
      <c r="AA156" s="516"/>
      <c r="AB156" s="516"/>
      <c r="AC156" s="516"/>
      <c r="AD156" s="516"/>
      <c r="AE156" s="514">
        <f>IFERROR(IF(Хронология[[#This Row],[Забой, м]]-V155&lt;0, 0, Хронология[[#This Row],[Забой, м]]-V155), 0)</f>
        <v>0</v>
      </c>
      <c r="AF156" s="521">
        <f t="shared" si="2"/>
        <v>46178.833333333241</v>
      </c>
      <c r="AG156" s="521">
        <f>Хронология[[#This Row],[Начало]]+Хронология[[#This Row],[Сутки]]</f>
        <v>46178.999999999905</v>
      </c>
      <c r="AH156" s="522">
        <f>Хронология[[#This Row],[Часы]]/24</f>
        <v>0.16666666666666666</v>
      </c>
      <c r="AI156" s="522">
        <f>IFERROR(Хронология[[#This Row],[Сутки]]+AI155, Хронология[[#This Row],[Сутки]])</f>
        <v>34.16666666666665</v>
      </c>
      <c r="AJ156"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НПВ</v>
      </c>
      <c r="AK156"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v>
      </c>
      <c r="AL156"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v>
      </c>
      <c r="AM156" s="527">
        <f>IF(Хронология[[#This Row],[Результат]]="НПВ", Хронология[[#This Row],[Часы]], 0)</f>
        <v>4</v>
      </c>
      <c r="AN156" s="518">
        <f>SUMIFS(Хронология[НПВ], Хронология[Скважина], Хронология[[#This Row],[Скважина]], Хронология[Начало], "&lt;=" &amp; Хронология[[#This Row],[Начало]])</f>
        <v>16</v>
      </c>
      <c r="AO156" s="518">
        <f>SUMIFS(Хронология[ПНВ], Хронология[Скважина], Хронология[[#This Row],[Скважина]], Хронология[Начало], "&lt;=" &amp; Хронология[[#This Row],[Начало]])</f>
        <v>9.1700000000000017</v>
      </c>
      <c r="AP156" s="523">
        <f>INT(ROUND(Хронология[[#This Row],[Начало]], 3))</f>
        <v>46178</v>
      </c>
      <c r="AQ156" s="524">
        <f>Хронология[[#This Row],[Начало]]-INT(Хронология[[#This Row],[Начало]])</f>
        <v>0.8333333332411712</v>
      </c>
      <c r="AR156" s="523">
        <f>INT(ROUND(Хронология[[#This Row],[Окончание]], 3))</f>
        <v>46179</v>
      </c>
      <c r="AS156" s="524">
        <f>Хронология[[#This Row],[Окончание]]-INT(Хронология[[#This Row],[Окончание]])</f>
        <v>0.99999999990541255</v>
      </c>
      <c r="AT156" s="524" t="str">
        <f>Хронология[[#This Row],[Мастер]] &amp; CHAR(10) &amp; Хронология[[#This Row],[Помощник мастера]] &amp; CHAR(10) &amp; Хронология[[#This Row],[Бурильщик]]</f>
        <v>Епифанов Д.Б.
Шипунов С.И.</v>
      </c>
      <c r="AU156"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600 ОК– КРС Орг_простой Ожидание разрешения Тех. дежурство Бригада КРС </v>
      </c>
      <c r="AV156" s="518" t="str">
        <f>Хронология[[#This Row],[Результат]]&amp;":  "&amp;Хронология[[#This Row],[Событие]]&amp; CHAR(10) &amp;Хронология[[#This Row],[Вид работ]]&amp;"  "&amp;Хронология[[#This Row],[Объект работ]]</f>
        <v>НПВ:  Ожидание разрешения
Тех. дежурство  Бригада КРС</v>
      </c>
      <c r="AW156" s="601">
        <f>SUMIF($AU$2:AU156, Хронология[[#This Row],[Ключ]], $AH$2:AH156)</f>
        <v>0.66666666666666663</v>
      </c>
      <c r="AX156" s="516" t="str">
        <f>Хронология[[#This Row],[Вид работ]] &amp; " " &amp; Хронология[[#This Row],[Объект работ]]</f>
        <v>Тех. дежурство Бригада КРС</v>
      </c>
    </row>
    <row r="157" spans="1:50" ht="50.5" customHeight="1">
      <c r="A157" s="540" t="s">
        <v>50</v>
      </c>
      <c r="B157" s="541" t="s">
        <v>263</v>
      </c>
      <c r="C157" s="541" t="s">
        <v>264</v>
      </c>
      <c r="D157" s="542" t="s">
        <v>265</v>
      </c>
      <c r="E157" s="517" t="s">
        <v>266</v>
      </c>
      <c r="F157" s="515"/>
      <c r="G157" s="517"/>
      <c r="H157" s="517" t="s">
        <v>278</v>
      </c>
      <c r="I157" s="518">
        <v>13</v>
      </c>
      <c r="J157" s="517" t="s">
        <v>314</v>
      </c>
      <c r="K157" s="515"/>
      <c r="L157" s="516" t="s">
        <v>51</v>
      </c>
      <c r="M157" s="516" t="s">
        <v>76</v>
      </c>
      <c r="N157" s="516" t="s">
        <v>77</v>
      </c>
      <c r="O157" s="516" t="s">
        <v>78</v>
      </c>
      <c r="P157" s="516" t="s">
        <v>285</v>
      </c>
      <c r="Q157" s="516" t="s">
        <v>61</v>
      </c>
      <c r="R157" s="516" t="s">
        <v>286</v>
      </c>
      <c r="S157" s="516"/>
      <c r="T157" s="514" t="s">
        <v>313</v>
      </c>
      <c r="U157" s="516">
        <v>7</v>
      </c>
      <c r="V157" s="516">
        <v>2758.16</v>
      </c>
      <c r="W157" s="516" t="s">
        <v>64</v>
      </c>
      <c r="X157" s="516"/>
      <c r="Y157" s="516"/>
      <c r="Z157" s="516"/>
      <c r="AA157" s="516"/>
      <c r="AB157" s="516"/>
      <c r="AC157" s="516"/>
      <c r="AD157" s="516"/>
      <c r="AE157" s="514">
        <f>IFERROR(IF(Хронология[[#This Row],[Забой, м]]-V156&lt;0, 0, Хронология[[#This Row],[Забой, м]]-V156), 0)</f>
        <v>0</v>
      </c>
      <c r="AF157" s="521">
        <f t="shared" si="2"/>
        <v>46178.999999999905</v>
      </c>
      <c r="AG157" s="521">
        <f>Хронология[[#This Row],[Начало]]+Хронология[[#This Row],[Сутки]]</f>
        <v>46179.29166666657</v>
      </c>
      <c r="AH157" s="522">
        <f>Хронология[[#This Row],[Часы]]/24</f>
        <v>0.29166666666666669</v>
      </c>
      <c r="AI157" s="522">
        <f>IFERROR(Хронология[[#This Row],[Сутки]]+AI156, Хронология[[#This Row],[Сутки]])</f>
        <v>34.458333333333314</v>
      </c>
      <c r="AJ157"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НПВ</v>
      </c>
      <c r="AK157"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v>
      </c>
      <c r="AL157"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v>
      </c>
      <c r="AM157" s="527">
        <f>IF(Хронология[[#This Row],[Результат]]="НПВ", Хронология[[#This Row],[Часы]], 0)</f>
        <v>7</v>
      </c>
      <c r="AN157" s="518">
        <f>SUMIFS(Хронология[НПВ], Хронология[Скважина], Хронология[[#This Row],[Скважина]], Хронология[Начало], "&lt;=" &amp; Хронология[[#This Row],[Начало]])</f>
        <v>23</v>
      </c>
      <c r="AO157" s="518">
        <f>SUMIFS(Хронология[ПНВ], Хронология[Скважина], Хронология[[#This Row],[Скважина]], Хронология[Начало], "&lt;=" &amp; Хронология[[#This Row],[Начало]])</f>
        <v>9.1700000000000017</v>
      </c>
      <c r="AP157" s="523">
        <f>INT(ROUND(Хронология[[#This Row],[Начало]], 3))</f>
        <v>46179</v>
      </c>
      <c r="AQ157" s="524">
        <f>Хронология[[#This Row],[Начало]]-INT(Хронология[[#This Row],[Начало]])</f>
        <v>0.99999999990541255</v>
      </c>
      <c r="AR157" s="523">
        <f>INT(ROUND(Хронология[[#This Row],[Окончание]], 3))</f>
        <v>46179</v>
      </c>
      <c r="AS157" s="524">
        <f>Хронология[[#This Row],[Окончание]]-INT(Хронология[[#This Row],[Окончание]])</f>
        <v>0.2916666665696539</v>
      </c>
      <c r="AT157" s="524" t="str">
        <f>Хронология[[#This Row],[Мастер]] &amp; CHAR(10) &amp; Хронология[[#This Row],[Помощник мастера]] &amp; CHAR(10) &amp; Хронология[[#This Row],[Бурильщик]]</f>
        <v xml:space="preserve">
Хохряков В.Я.</v>
      </c>
      <c r="AU157"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600 ОК– КРС Орг_простой Ожидание разрешения Тех. дежурство Бригада КРС </v>
      </c>
      <c r="AV157" s="518" t="str">
        <f>Хронология[[#This Row],[Результат]]&amp;":  "&amp;Хронология[[#This Row],[Событие]]&amp; CHAR(10) &amp;Хронология[[#This Row],[Вид работ]]&amp;"  "&amp;Хронология[[#This Row],[Объект работ]]</f>
        <v>НПВ:  Ожидание разрешения
Тех. дежурство  Бригада КРС</v>
      </c>
      <c r="AW157" s="601">
        <f>SUMIF($AU$2:AU157, Хронология[[#This Row],[Ключ]], $AH$2:AH157)</f>
        <v>0.95833333333333326</v>
      </c>
      <c r="AX157" s="516" t="str">
        <f>Хронология[[#This Row],[Вид работ]] &amp; " " &amp; Хронология[[#This Row],[Объект работ]]</f>
        <v>Тех. дежурство Бригада КРС</v>
      </c>
    </row>
    <row r="158" spans="1:50" ht="50.5" customHeight="1">
      <c r="A158" s="540" t="s">
        <v>50</v>
      </c>
      <c r="B158" s="541" t="s">
        <v>263</v>
      </c>
      <c r="C158" s="541" t="s">
        <v>264</v>
      </c>
      <c r="D158" s="542" t="s">
        <v>265</v>
      </c>
      <c r="E158" s="517" t="s">
        <v>266</v>
      </c>
      <c r="F158" s="515"/>
      <c r="G158" s="517"/>
      <c r="H158" s="517" t="s">
        <v>267</v>
      </c>
      <c r="I158" s="518">
        <v>13</v>
      </c>
      <c r="J158" s="517" t="s">
        <v>315</v>
      </c>
      <c r="K158" s="515"/>
      <c r="L158" s="516" t="s">
        <v>51</v>
      </c>
      <c r="M158" s="516" t="s">
        <v>76</v>
      </c>
      <c r="N158" s="516" t="s">
        <v>77</v>
      </c>
      <c r="O158" s="516" t="s">
        <v>78</v>
      </c>
      <c r="P158" s="516" t="s">
        <v>285</v>
      </c>
      <c r="Q158" s="516" t="s">
        <v>61</v>
      </c>
      <c r="R158" s="516" t="s">
        <v>286</v>
      </c>
      <c r="S158" s="516"/>
      <c r="T158" s="514" t="s">
        <v>316</v>
      </c>
      <c r="U158" s="516">
        <v>5</v>
      </c>
      <c r="V158" s="516">
        <v>2758.16</v>
      </c>
      <c r="W158" s="516" t="s">
        <v>64</v>
      </c>
      <c r="X158" s="516"/>
      <c r="Y158" s="516"/>
      <c r="Z158" s="516"/>
      <c r="AA158" s="516"/>
      <c r="AB158" s="516"/>
      <c r="AC158" s="516"/>
      <c r="AD158" s="516"/>
      <c r="AE158" s="514">
        <f>IFERROR(IF(Хронология[[#This Row],[Забой, м]]-V157&lt;0, 0, Хронология[[#This Row],[Забой, м]]-V157), 0)</f>
        <v>0</v>
      </c>
      <c r="AF158" s="521">
        <f t="shared" si="2"/>
        <v>46179.29166666657</v>
      </c>
      <c r="AG158" s="521">
        <f>Хронология[[#This Row],[Начало]]+Хронология[[#This Row],[Сутки]]</f>
        <v>46179.499999999905</v>
      </c>
      <c r="AH158" s="522">
        <f>Хронология[[#This Row],[Часы]]/24</f>
        <v>0.20833333333333334</v>
      </c>
      <c r="AI158" s="522">
        <f>IFERROR(Хронология[[#This Row],[Сутки]]+AI157, Хронология[[#This Row],[Сутки]])</f>
        <v>34.66666666666665</v>
      </c>
      <c r="AJ158"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НПВ</v>
      </c>
      <c r="AK158"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v>
      </c>
      <c r="AL158"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v>
      </c>
      <c r="AM158" s="527">
        <f>IF(Хронология[[#This Row],[Результат]]="НПВ", Хронология[[#This Row],[Часы]], 0)</f>
        <v>5</v>
      </c>
      <c r="AN158" s="518">
        <f>SUMIFS(Хронология[НПВ], Хронология[Скважина], Хронология[[#This Row],[Скважина]], Хронология[Начало], "&lt;=" &amp; Хронология[[#This Row],[Начало]])</f>
        <v>28</v>
      </c>
      <c r="AO158" s="518">
        <f>SUMIFS(Хронология[ПНВ], Хронология[Скважина], Хронология[[#This Row],[Скважина]], Хронология[Начало], "&lt;=" &amp; Хронология[[#This Row],[Начало]])</f>
        <v>9.1700000000000017</v>
      </c>
      <c r="AP158" s="523">
        <f>INT(ROUND(Хронология[[#This Row],[Начало]], 3))</f>
        <v>46179</v>
      </c>
      <c r="AQ158" s="524">
        <f>Хронология[[#This Row],[Начало]]-INT(Хронология[[#This Row],[Начало]])</f>
        <v>0.2916666665696539</v>
      </c>
      <c r="AR158" s="523">
        <f>INT(ROUND(Хронология[[#This Row],[Окончание]], 3))</f>
        <v>46179</v>
      </c>
      <c r="AS158" s="524">
        <f>Хронология[[#This Row],[Окончание]]-INT(Хронология[[#This Row],[Окончание]])</f>
        <v>0.49999999990541255</v>
      </c>
      <c r="AT158" s="524" t="str">
        <f>Хронология[[#This Row],[Мастер]] &amp; CHAR(10) &amp; Хронология[[#This Row],[Помощник мастера]] &amp; CHAR(10) &amp; Хронология[[#This Row],[Бурильщик]]</f>
        <v xml:space="preserve">
Шипунов С.И.</v>
      </c>
      <c r="AU158"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600 ОК– КРС Орг_простой Ожидание разрешения Тех. дежурство Бригада КРС </v>
      </c>
      <c r="AV158" s="518" t="str">
        <f>Хронология[[#This Row],[Результат]]&amp;":  "&amp;Хронология[[#This Row],[Событие]]&amp; CHAR(10) &amp;Хронология[[#This Row],[Вид работ]]&amp;"  "&amp;Хронология[[#This Row],[Объект работ]]</f>
        <v>НПВ:  Ожидание разрешения
Тех. дежурство  Бригада КРС</v>
      </c>
      <c r="AW158" s="601">
        <f>SUMIF($AU$2:AU158, Хронология[[#This Row],[Ключ]], $AH$2:AH158)</f>
        <v>1.1666666666666665</v>
      </c>
      <c r="AX158" s="516" t="str">
        <f>Хронология[[#This Row],[Вид работ]] &amp; " " &amp; Хронология[[#This Row],[Объект работ]]</f>
        <v>Тех. дежурство Бригада КРС</v>
      </c>
    </row>
    <row r="159" spans="1:50" ht="50.5" customHeight="1">
      <c r="A159" s="540" t="s">
        <v>50</v>
      </c>
      <c r="B159" s="541" t="s">
        <v>263</v>
      </c>
      <c r="C159" s="541" t="s">
        <v>264</v>
      </c>
      <c r="D159" s="542" t="s">
        <v>265</v>
      </c>
      <c r="E159" s="517" t="s">
        <v>266</v>
      </c>
      <c r="F159" s="515"/>
      <c r="G159" s="517"/>
      <c r="H159" s="517" t="s">
        <v>267</v>
      </c>
      <c r="I159" s="518">
        <v>13</v>
      </c>
      <c r="J159" s="517" t="s">
        <v>317</v>
      </c>
      <c r="K159" s="515"/>
      <c r="L159" s="516" t="s">
        <v>51</v>
      </c>
      <c r="M159" s="516" t="s">
        <v>76</v>
      </c>
      <c r="N159" s="516" t="s">
        <v>77</v>
      </c>
      <c r="O159" s="516" t="s">
        <v>78</v>
      </c>
      <c r="P159" s="516" t="s">
        <v>285</v>
      </c>
      <c r="Q159" s="516" t="s">
        <v>61</v>
      </c>
      <c r="R159" s="516" t="s">
        <v>286</v>
      </c>
      <c r="S159" s="516"/>
      <c r="T159" s="514" t="s">
        <v>316</v>
      </c>
      <c r="U159" s="516">
        <v>4</v>
      </c>
      <c r="V159" s="516">
        <v>2758.16</v>
      </c>
      <c r="W159" s="516" t="s">
        <v>64</v>
      </c>
      <c r="X159" s="516"/>
      <c r="Y159" s="516"/>
      <c r="Z159" s="516"/>
      <c r="AA159" s="516"/>
      <c r="AB159" s="516"/>
      <c r="AC159" s="516"/>
      <c r="AD159" s="516"/>
      <c r="AE159" s="514">
        <f>IFERROR(IF(Хронология[[#This Row],[Забой, м]]-V158&lt;0, 0, Хронология[[#This Row],[Забой, м]]-V158), 0)</f>
        <v>0</v>
      </c>
      <c r="AF159" s="521">
        <f t="shared" si="2"/>
        <v>46179.499999999905</v>
      </c>
      <c r="AG159" s="521">
        <f>Хронология[[#This Row],[Начало]]+Хронология[[#This Row],[Сутки]]</f>
        <v>46179.66666666657</v>
      </c>
      <c r="AH159" s="522">
        <f>Хронология[[#This Row],[Часы]]/24</f>
        <v>0.16666666666666666</v>
      </c>
      <c r="AI159" s="522">
        <f>IFERROR(Хронология[[#This Row],[Сутки]]+AI158, Хронология[[#This Row],[Сутки]])</f>
        <v>34.833333333333314</v>
      </c>
      <c r="AJ159"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НПВ</v>
      </c>
      <c r="AK159"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v>
      </c>
      <c r="AL159"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v>
      </c>
      <c r="AM159" s="527">
        <f>IF(Хронология[[#This Row],[Результат]]="НПВ", Хронология[[#This Row],[Часы]], 0)</f>
        <v>4</v>
      </c>
      <c r="AN159" s="518">
        <f>SUMIFS(Хронология[НПВ], Хронология[Скважина], Хронология[[#This Row],[Скважина]], Хронология[Начало], "&lt;=" &amp; Хронология[[#This Row],[Начало]])</f>
        <v>32</v>
      </c>
      <c r="AO159" s="518">
        <f>SUMIFS(Хронология[ПНВ], Хронология[Скважина], Хронология[[#This Row],[Скважина]], Хронология[Начало], "&lt;=" &amp; Хронология[[#This Row],[Начало]])</f>
        <v>9.1700000000000017</v>
      </c>
      <c r="AP159" s="523">
        <f>INT(ROUND(Хронология[[#This Row],[Начало]], 3))</f>
        <v>46179</v>
      </c>
      <c r="AQ159" s="524">
        <f>Хронология[[#This Row],[Начало]]-INT(Хронология[[#This Row],[Начало]])</f>
        <v>0.49999999990541255</v>
      </c>
      <c r="AR159" s="523">
        <f>INT(ROUND(Хронология[[#This Row],[Окончание]], 3))</f>
        <v>46179</v>
      </c>
      <c r="AS159" s="524">
        <f>Хронология[[#This Row],[Окончание]]-INT(Хронология[[#This Row],[Окончание]])</f>
        <v>0.6666666665696539</v>
      </c>
      <c r="AT159" s="524" t="str">
        <f>Хронология[[#This Row],[Мастер]] &amp; CHAR(10) &amp; Хронология[[#This Row],[Помощник мастера]] &amp; CHAR(10) &amp; Хронология[[#This Row],[Бурильщик]]</f>
        <v xml:space="preserve">
Шипунов С.И.</v>
      </c>
      <c r="AU159"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600 ОК– КРС Орг_простой Ожидание разрешения Тех. дежурство Бригада КРС </v>
      </c>
      <c r="AV159" s="518" t="str">
        <f>Хронология[[#This Row],[Результат]]&amp;":  "&amp;Хронология[[#This Row],[Событие]]&amp; CHAR(10) &amp;Хронология[[#This Row],[Вид работ]]&amp;"  "&amp;Хронология[[#This Row],[Объект работ]]</f>
        <v>НПВ:  Ожидание разрешения
Тех. дежурство  Бригада КРС</v>
      </c>
      <c r="AW159" s="601">
        <f>SUMIF($AU$2:AU159, Хронология[[#This Row],[Ключ]], $AH$2:AH159)</f>
        <v>1.3333333333333333</v>
      </c>
      <c r="AX159" s="516" t="str">
        <f>Хронология[[#This Row],[Вид работ]] &amp; " " &amp; Хронология[[#This Row],[Объект работ]]</f>
        <v>Тех. дежурство Бригада КРС</v>
      </c>
    </row>
    <row r="160" spans="1:50" ht="50.5" customHeight="1">
      <c r="A160" s="540" t="s">
        <v>50</v>
      </c>
      <c r="B160" s="541" t="s">
        <v>263</v>
      </c>
      <c r="C160" s="541" t="s">
        <v>264</v>
      </c>
      <c r="D160" s="542" t="s">
        <v>265</v>
      </c>
      <c r="E160" s="517" t="s">
        <v>266</v>
      </c>
      <c r="F160" s="515"/>
      <c r="G160" s="517"/>
      <c r="H160" s="517" t="s">
        <v>267</v>
      </c>
      <c r="I160" s="518">
        <v>13</v>
      </c>
      <c r="J160" s="517" t="s">
        <v>318</v>
      </c>
      <c r="K160" s="515"/>
      <c r="L160" s="516" t="s">
        <v>51</v>
      </c>
      <c r="M160" s="516" t="s">
        <v>76</v>
      </c>
      <c r="N160" s="516" t="s">
        <v>77</v>
      </c>
      <c r="O160" s="516" t="s">
        <v>78</v>
      </c>
      <c r="P160" s="516" t="s">
        <v>285</v>
      </c>
      <c r="Q160" s="516" t="s">
        <v>61</v>
      </c>
      <c r="R160" s="516" t="s">
        <v>286</v>
      </c>
      <c r="S160" s="516"/>
      <c r="T160" s="514" t="s">
        <v>319</v>
      </c>
      <c r="U160" s="516">
        <v>4</v>
      </c>
      <c r="V160" s="516">
        <v>2758.16</v>
      </c>
      <c r="W160" s="516" t="s">
        <v>64</v>
      </c>
      <c r="X160" s="516"/>
      <c r="Y160" s="516"/>
      <c r="Z160" s="516"/>
      <c r="AA160" s="516"/>
      <c r="AB160" s="516"/>
      <c r="AC160" s="516"/>
      <c r="AD160" s="516"/>
      <c r="AE160" s="514">
        <f>IFERROR(IF(Хронология[[#This Row],[Забой, м]]-V159&lt;0, 0, Хронология[[#This Row],[Забой, м]]-V159), 0)</f>
        <v>0</v>
      </c>
      <c r="AF160" s="521">
        <f t="shared" si="2"/>
        <v>46179.66666666657</v>
      </c>
      <c r="AG160" s="521">
        <f>Хронология[[#This Row],[Начало]]+Хронология[[#This Row],[Сутки]]</f>
        <v>46179.833333333234</v>
      </c>
      <c r="AH160" s="522">
        <f>Хронология[[#This Row],[Часы]]/24</f>
        <v>0.16666666666666666</v>
      </c>
      <c r="AI160" s="522">
        <f>IFERROR(Хронология[[#This Row],[Сутки]]+AI159, Хронология[[#This Row],[Сутки]])</f>
        <v>34.999999999999979</v>
      </c>
      <c r="AJ160"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НПВ</v>
      </c>
      <c r="AK160"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v>
      </c>
      <c r="AL160"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v>
      </c>
      <c r="AM160" s="527">
        <f>IF(Хронология[[#This Row],[Результат]]="НПВ", Хронология[[#This Row],[Часы]], 0)</f>
        <v>4</v>
      </c>
      <c r="AN160" s="518">
        <f>SUMIFS(Хронология[НПВ], Хронология[Скважина], Хронология[[#This Row],[Скважина]], Хронология[Начало], "&lt;=" &amp; Хронология[[#This Row],[Начало]])</f>
        <v>36</v>
      </c>
      <c r="AO160" s="518">
        <f>SUMIFS(Хронология[ПНВ], Хронология[Скважина], Хронология[[#This Row],[Скважина]], Хронология[Начало], "&lt;=" &amp; Хронология[[#This Row],[Начало]])</f>
        <v>9.1700000000000017</v>
      </c>
      <c r="AP160" s="523">
        <f>INT(ROUND(Хронология[[#This Row],[Начало]], 3))</f>
        <v>46179</v>
      </c>
      <c r="AQ160" s="524">
        <f>Хронология[[#This Row],[Начало]]-INT(Хронология[[#This Row],[Начало]])</f>
        <v>0.6666666665696539</v>
      </c>
      <c r="AR160" s="523">
        <f>INT(ROUND(Хронология[[#This Row],[Окончание]], 3))</f>
        <v>46179</v>
      </c>
      <c r="AS160" s="524">
        <f>Хронология[[#This Row],[Окончание]]-INT(Хронология[[#This Row],[Окончание]])</f>
        <v>0.83333333323389525</v>
      </c>
      <c r="AT160" s="524" t="str">
        <f>Хронология[[#This Row],[Мастер]] &amp; CHAR(10) &amp; Хронология[[#This Row],[Помощник мастера]] &amp; CHAR(10) &amp; Хронология[[#This Row],[Бурильщик]]</f>
        <v xml:space="preserve">
Шипунов С.И.</v>
      </c>
      <c r="AU160"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600 ОК– КРС Орг_простой Ожидание разрешения Тех. дежурство Бригада КРС </v>
      </c>
      <c r="AV160" s="518" t="str">
        <f>Хронология[[#This Row],[Результат]]&amp;":  "&amp;Хронология[[#This Row],[Событие]]&amp; CHAR(10) &amp;Хронология[[#This Row],[Вид работ]]&amp;"  "&amp;Хронология[[#This Row],[Объект работ]]</f>
        <v>НПВ:  Ожидание разрешения
Тех. дежурство  Бригада КРС</v>
      </c>
      <c r="AW160" s="601">
        <f>SUMIF($AU$2:AU160, Хронология[[#This Row],[Ключ]], $AH$2:AH160)</f>
        <v>1.5</v>
      </c>
      <c r="AX160" s="516" t="str">
        <f>Хронология[[#This Row],[Вид работ]] &amp; " " &amp; Хронология[[#This Row],[Объект работ]]</f>
        <v>Тех. дежурство Бригада КРС</v>
      </c>
    </row>
    <row r="161" spans="1:50" ht="50.5" customHeight="1">
      <c r="A161" s="540" t="s">
        <v>50</v>
      </c>
      <c r="B161" s="541" t="s">
        <v>263</v>
      </c>
      <c r="C161" s="541" t="s">
        <v>264</v>
      </c>
      <c r="D161" s="542" t="s">
        <v>265</v>
      </c>
      <c r="E161" s="517" t="s">
        <v>266</v>
      </c>
      <c r="F161" s="515"/>
      <c r="G161" s="517"/>
      <c r="H161" s="517" t="s">
        <v>267</v>
      </c>
      <c r="I161" s="518">
        <v>13</v>
      </c>
      <c r="J161" s="517" t="s">
        <v>320</v>
      </c>
      <c r="K161" s="515"/>
      <c r="L161" s="516" t="s">
        <v>59</v>
      </c>
      <c r="M161" s="516" t="s">
        <v>58</v>
      </c>
      <c r="N161" s="516"/>
      <c r="O161" s="516" t="s">
        <v>69</v>
      </c>
      <c r="P161" s="516" t="s">
        <v>70</v>
      </c>
      <c r="Q161" s="516" t="s">
        <v>86</v>
      </c>
      <c r="R161" s="516" t="s">
        <v>321</v>
      </c>
      <c r="S161" s="516"/>
      <c r="T161" s="514" t="s">
        <v>322</v>
      </c>
      <c r="U161" s="516">
        <v>4</v>
      </c>
      <c r="V161" s="516">
        <v>2758.16</v>
      </c>
      <c r="W161" s="516" t="s">
        <v>64</v>
      </c>
      <c r="X161" s="516"/>
      <c r="Y161" s="516"/>
      <c r="Z161" s="516"/>
      <c r="AA161" s="516"/>
      <c r="AB161" s="516"/>
      <c r="AC161" s="516"/>
      <c r="AD161" s="516"/>
      <c r="AE161" s="514">
        <f>IFERROR(IF(Хронология[[#This Row],[Забой, м]]-V160&lt;0, 0, Хронология[[#This Row],[Забой, м]]-V160), 0)</f>
        <v>0</v>
      </c>
      <c r="AF161" s="521">
        <f t="shared" si="2"/>
        <v>46179.833333333234</v>
      </c>
      <c r="AG161" s="521">
        <f>Хронология[[#This Row],[Начало]]+Хронология[[#This Row],[Сутки]]</f>
        <v>46179.999999999898</v>
      </c>
      <c r="AH161" s="522">
        <f>Хронология[[#This Row],[Часы]]/24</f>
        <v>0.16666666666666666</v>
      </c>
      <c r="AI161" s="522">
        <f>IFERROR(Хронология[[#This Row],[Сутки]]+AI160, Хронология[[#This Row],[Сутки]])</f>
        <v>35.166666666666643</v>
      </c>
      <c r="AJ161"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ПВ</v>
      </c>
      <c r="AK161"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4</v>
      </c>
      <c r="AL161"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v>
      </c>
      <c r="AM161" s="527">
        <f>IF(Хронология[[#This Row],[Результат]]="НПВ", Хронология[[#This Row],[Часы]], 0)</f>
        <v>0</v>
      </c>
      <c r="AN161" s="518">
        <f>SUMIFS(Хронология[НПВ], Хронология[Скважина], Хронология[[#This Row],[Скважина]], Хронология[Начало], "&lt;=" &amp; Хронология[[#This Row],[Начало]])</f>
        <v>36</v>
      </c>
      <c r="AO161" s="518">
        <f>SUMIFS(Хронология[ПНВ], Хронология[Скважина], Хронология[[#This Row],[Скважина]], Хронология[Начало], "&lt;=" &amp; Хронология[[#This Row],[Начало]])</f>
        <v>9.1700000000000017</v>
      </c>
      <c r="AP161" s="523">
        <f>INT(ROUND(Хронология[[#This Row],[Начало]], 3))</f>
        <v>46179</v>
      </c>
      <c r="AQ161" s="524">
        <f>Хронология[[#This Row],[Начало]]-INT(Хронология[[#This Row],[Начало]])</f>
        <v>0.83333333323389525</v>
      </c>
      <c r="AR161" s="523">
        <f>INT(ROUND(Хронология[[#This Row],[Окончание]], 3))</f>
        <v>46180</v>
      </c>
      <c r="AS161" s="524">
        <f>Хронология[[#This Row],[Окончание]]-INT(Хронология[[#This Row],[Окончание]])</f>
        <v>0.99999999989813659</v>
      </c>
      <c r="AT161" s="524" t="str">
        <f>Хронология[[#This Row],[Мастер]] &amp; CHAR(10) &amp; Хронология[[#This Row],[Помощник мастера]] &amp; CHAR(10) &amp; Хронология[[#This Row],[Бурильщик]]</f>
        <v xml:space="preserve">
Шипунов С.И.</v>
      </c>
      <c r="AU161"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600 ОК– ПР Монтаж Блок дросселирования </v>
      </c>
      <c r="AV161" s="518" t="str">
        <f>Хронология[[#This Row],[Результат]]&amp;":  "&amp;Хронология[[#This Row],[Событие]]&amp; CHAR(10) &amp;Хронология[[#This Row],[Вид работ]]&amp;"  "&amp;Хронология[[#This Row],[Объект работ]]</f>
        <v>ПВ:  
Монтаж  Блок дросселирования</v>
      </c>
      <c r="AW161" s="601">
        <f>SUMIF($AU$2:AU161, Хронология[[#This Row],[Ключ]], $AH$2:AH161)</f>
        <v>0.16666666666666666</v>
      </c>
      <c r="AX161" s="516" t="str">
        <f>Хронология[[#This Row],[Вид работ]] &amp; " " &amp; Хронология[[#This Row],[Объект работ]]</f>
        <v>Монтаж Блок дросселирования</v>
      </c>
    </row>
    <row r="162" spans="1:50" ht="50.5" customHeight="1">
      <c r="A162" s="540" t="s">
        <v>50</v>
      </c>
      <c r="B162" s="541" t="s">
        <v>263</v>
      </c>
      <c r="C162" s="541" t="s">
        <v>264</v>
      </c>
      <c r="D162" s="542" t="s">
        <v>265</v>
      </c>
      <c r="E162" s="517" t="s">
        <v>266</v>
      </c>
      <c r="F162" s="515" t="s">
        <v>207</v>
      </c>
      <c r="G162" s="517"/>
      <c r="H162" s="517" t="s">
        <v>278</v>
      </c>
      <c r="I162" s="518">
        <v>14</v>
      </c>
      <c r="J162" s="517" t="s">
        <v>323</v>
      </c>
      <c r="K162" s="515"/>
      <c r="L162" s="516" t="s">
        <v>59</v>
      </c>
      <c r="M162" s="516" t="s">
        <v>58</v>
      </c>
      <c r="N162" s="516"/>
      <c r="O162" s="516" t="s">
        <v>69</v>
      </c>
      <c r="P162" s="516" t="s">
        <v>70</v>
      </c>
      <c r="Q162" s="516" t="s">
        <v>86</v>
      </c>
      <c r="R162" s="516" t="s">
        <v>321</v>
      </c>
      <c r="S162" s="516"/>
      <c r="T162" s="514" t="s">
        <v>324</v>
      </c>
      <c r="U162" s="516">
        <v>7</v>
      </c>
      <c r="V162" s="516">
        <v>2758.16</v>
      </c>
      <c r="W162" s="516" t="s">
        <v>64</v>
      </c>
      <c r="X162" s="516"/>
      <c r="Y162" s="516"/>
      <c r="Z162" s="516"/>
      <c r="AA162" s="516"/>
      <c r="AB162" s="516"/>
      <c r="AC162" s="516"/>
      <c r="AD162" s="516"/>
      <c r="AE162" s="514">
        <f>IFERROR(IF(Хронология[[#This Row],[Забой, м]]-V161&lt;0, 0, Хронология[[#This Row],[Забой, м]]-V161), 0)</f>
        <v>0</v>
      </c>
      <c r="AF162" s="521">
        <f t="shared" si="2"/>
        <v>46179.999999999898</v>
      </c>
      <c r="AG162" s="521">
        <f>Хронология[[#This Row],[Начало]]+Хронология[[#This Row],[Сутки]]</f>
        <v>46180.291666666562</v>
      </c>
      <c r="AH162" s="522">
        <f>Хронология[[#This Row],[Часы]]/24</f>
        <v>0.29166666666666669</v>
      </c>
      <c r="AI162" s="522">
        <f>IFERROR(Хронология[[#This Row],[Сутки]]+AI161, Хронология[[#This Row],[Сутки]])</f>
        <v>35.458333333333307</v>
      </c>
      <c r="AJ162"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ПВ</v>
      </c>
      <c r="AK162"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7</v>
      </c>
      <c r="AL162"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v>
      </c>
      <c r="AM162" s="527">
        <f>IF(Хронология[[#This Row],[Результат]]="НПВ", Хронология[[#This Row],[Часы]], 0)</f>
        <v>0</v>
      </c>
      <c r="AN162" s="518">
        <f>SUMIFS(Хронология[НПВ], Хронология[Скважина], Хронология[[#This Row],[Скважина]], Хронология[Начало], "&lt;=" &amp; Хронология[[#This Row],[Начало]])</f>
        <v>36</v>
      </c>
      <c r="AO162" s="518">
        <f>SUMIFS(Хронология[ПНВ], Хронология[Скважина], Хронология[[#This Row],[Скважина]], Хронология[Начало], "&lt;=" &amp; Хронология[[#This Row],[Начало]])</f>
        <v>9.1700000000000017</v>
      </c>
      <c r="AP162" s="523">
        <f>INT(ROUND(Хронология[[#This Row],[Начало]], 3))</f>
        <v>46180</v>
      </c>
      <c r="AQ162" s="524">
        <f>Хронология[[#This Row],[Начало]]-INT(Хронология[[#This Row],[Начало]])</f>
        <v>0.99999999989813659</v>
      </c>
      <c r="AR162" s="523">
        <f>INT(ROUND(Хронология[[#This Row],[Окончание]], 3))</f>
        <v>46180</v>
      </c>
      <c r="AS162" s="524">
        <f>Хронология[[#This Row],[Окончание]]-INT(Хронология[[#This Row],[Окончание]])</f>
        <v>0.29166666656237794</v>
      </c>
      <c r="AT162" s="524" t="str">
        <f>Хронология[[#This Row],[Мастер]] &amp; CHAR(10) &amp; Хронология[[#This Row],[Помощник мастера]] &amp; CHAR(10) &amp; Хронология[[#This Row],[Бурильщик]]</f>
        <v>Епифанов Д.Б.
Хохряков В.Я.</v>
      </c>
      <c r="AU162"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600 ОК– ПР Монтаж Блок дросселирования </v>
      </c>
      <c r="AV162" s="518" t="str">
        <f>Хронология[[#This Row],[Результат]]&amp;":  "&amp;Хронология[[#This Row],[Событие]]&amp; CHAR(10) &amp;Хронология[[#This Row],[Вид работ]]&amp;"  "&amp;Хронология[[#This Row],[Объект работ]]</f>
        <v>ПВ:  
Монтаж  Блок дросселирования</v>
      </c>
      <c r="AW162" s="601">
        <f>SUMIF($AU$2:AU162, Хронология[[#This Row],[Ключ]], $AH$2:AH162)</f>
        <v>0.45833333333333337</v>
      </c>
      <c r="AX162" s="516" t="str">
        <f>Хронология[[#This Row],[Вид работ]] &amp; " " &amp; Хронология[[#This Row],[Объект работ]]</f>
        <v>Монтаж Блок дросселирования</v>
      </c>
    </row>
    <row r="163" spans="1:50" ht="50.5" customHeight="1">
      <c r="A163" s="540" t="s">
        <v>50</v>
      </c>
      <c r="B163" s="541" t="s">
        <v>263</v>
      </c>
      <c r="C163" s="541" t="s">
        <v>264</v>
      </c>
      <c r="D163" s="542" t="s">
        <v>265</v>
      </c>
      <c r="E163" s="517" t="s">
        <v>266</v>
      </c>
      <c r="F163" s="515" t="s">
        <v>207</v>
      </c>
      <c r="G163" s="517"/>
      <c r="H163" s="517" t="s">
        <v>267</v>
      </c>
      <c r="I163" s="518">
        <v>14</v>
      </c>
      <c r="J163" s="517" t="s">
        <v>325</v>
      </c>
      <c r="K163" s="515"/>
      <c r="L163" s="516" t="s">
        <v>59</v>
      </c>
      <c r="M163" s="516" t="s">
        <v>58</v>
      </c>
      <c r="N163" s="516"/>
      <c r="O163" s="516" t="s">
        <v>69</v>
      </c>
      <c r="P163" s="516" t="s">
        <v>70</v>
      </c>
      <c r="Q163" s="516" t="s">
        <v>86</v>
      </c>
      <c r="R163" s="516" t="s">
        <v>321</v>
      </c>
      <c r="S163" s="516"/>
      <c r="T163" s="514" t="s">
        <v>326</v>
      </c>
      <c r="U163" s="516">
        <v>5</v>
      </c>
      <c r="V163" s="516">
        <v>2758.16</v>
      </c>
      <c r="W163" s="516" t="s">
        <v>64</v>
      </c>
      <c r="X163" s="516"/>
      <c r="Y163" s="516"/>
      <c r="Z163" s="516"/>
      <c r="AA163" s="516"/>
      <c r="AB163" s="516"/>
      <c r="AC163" s="516"/>
      <c r="AD163" s="516"/>
      <c r="AE163" s="514">
        <f>IFERROR(IF(Хронология[[#This Row],[Забой, м]]-V162&lt;0, 0, Хронология[[#This Row],[Забой, м]]-V162), 0)</f>
        <v>0</v>
      </c>
      <c r="AF163" s="521">
        <f t="shared" si="2"/>
        <v>46180.291666666562</v>
      </c>
      <c r="AG163" s="521">
        <f>Хронология[[#This Row],[Начало]]+Хронология[[#This Row],[Сутки]]</f>
        <v>46180.499999999898</v>
      </c>
      <c r="AH163" s="522">
        <f>Хронология[[#This Row],[Часы]]/24</f>
        <v>0.20833333333333334</v>
      </c>
      <c r="AI163" s="522">
        <f>IFERROR(Хронология[[#This Row],[Сутки]]+AI162, Хронология[[#This Row],[Сутки]])</f>
        <v>35.666666666666643</v>
      </c>
      <c r="AJ163"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ПВ</v>
      </c>
      <c r="AK163"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5</v>
      </c>
      <c r="AL163"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v>
      </c>
      <c r="AM163" s="527">
        <f>IF(Хронология[[#This Row],[Результат]]="НПВ", Хронология[[#This Row],[Часы]], 0)</f>
        <v>0</v>
      </c>
      <c r="AN163" s="518">
        <f>SUMIFS(Хронология[НПВ], Хронология[Скважина], Хронология[[#This Row],[Скважина]], Хронология[Начало], "&lt;=" &amp; Хронология[[#This Row],[Начало]])</f>
        <v>36</v>
      </c>
      <c r="AO163" s="518">
        <f>SUMIFS(Хронология[ПНВ], Хронология[Скважина], Хронология[[#This Row],[Скважина]], Хронология[Начало], "&lt;=" &amp; Хронология[[#This Row],[Начало]])</f>
        <v>9.1700000000000017</v>
      </c>
      <c r="AP163" s="523">
        <f>INT(ROUND(Хронология[[#This Row],[Начало]], 3))</f>
        <v>46180</v>
      </c>
      <c r="AQ163" s="524">
        <f>Хронология[[#This Row],[Начало]]-INT(Хронология[[#This Row],[Начало]])</f>
        <v>0.29166666656237794</v>
      </c>
      <c r="AR163" s="523">
        <f>INT(ROUND(Хронология[[#This Row],[Окончание]], 3))</f>
        <v>46180</v>
      </c>
      <c r="AS163" s="524">
        <f>Хронология[[#This Row],[Окончание]]-INT(Хронология[[#This Row],[Окончание]])</f>
        <v>0.49999999989813659</v>
      </c>
      <c r="AT163" s="524" t="str">
        <f>Хронология[[#This Row],[Мастер]] &amp; CHAR(10) &amp; Хронология[[#This Row],[Помощник мастера]] &amp; CHAR(10) &amp; Хронология[[#This Row],[Бурильщик]]</f>
        <v>Епифанов Д.Б.
Шипунов С.И.</v>
      </c>
      <c r="AU163"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600 ОК– ПР Монтаж Блок дросселирования </v>
      </c>
      <c r="AV163" s="518" t="str">
        <f>Хронология[[#This Row],[Результат]]&amp;":  "&amp;Хронология[[#This Row],[Событие]]&amp; CHAR(10) &amp;Хронология[[#This Row],[Вид работ]]&amp;"  "&amp;Хронология[[#This Row],[Объект работ]]</f>
        <v>ПВ:  
Монтаж  Блок дросселирования</v>
      </c>
      <c r="AW163" s="601">
        <f>SUMIF($AU$2:AU163, Хронология[[#This Row],[Ключ]], $AH$2:AH163)</f>
        <v>0.66666666666666674</v>
      </c>
      <c r="AX163" s="516" t="str">
        <f>Хронология[[#This Row],[Вид работ]] &amp; " " &amp; Хронология[[#This Row],[Объект работ]]</f>
        <v>Монтаж Блок дросселирования</v>
      </c>
    </row>
    <row r="164" spans="1:50" ht="50.5" customHeight="1">
      <c r="A164" s="540" t="s">
        <v>50</v>
      </c>
      <c r="B164" s="541" t="s">
        <v>263</v>
      </c>
      <c r="C164" s="541" t="s">
        <v>264</v>
      </c>
      <c r="D164" s="542" t="s">
        <v>265</v>
      </c>
      <c r="E164" s="517" t="s">
        <v>266</v>
      </c>
      <c r="F164" s="515" t="s">
        <v>207</v>
      </c>
      <c r="G164" s="517"/>
      <c r="H164" s="517" t="s">
        <v>267</v>
      </c>
      <c r="I164" s="518">
        <v>14</v>
      </c>
      <c r="J164" s="517" t="s">
        <v>327</v>
      </c>
      <c r="K164" s="515"/>
      <c r="L164" s="516" t="s">
        <v>59</v>
      </c>
      <c r="M164" s="516" t="s">
        <v>58</v>
      </c>
      <c r="N164" s="516"/>
      <c r="O164" s="516" t="s">
        <v>69</v>
      </c>
      <c r="P164" s="516" t="s">
        <v>70</v>
      </c>
      <c r="Q164" s="516" t="s">
        <v>86</v>
      </c>
      <c r="R164" s="516" t="s">
        <v>321</v>
      </c>
      <c r="S164" s="516"/>
      <c r="T164" s="514" t="s">
        <v>328</v>
      </c>
      <c r="U164" s="516">
        <v>4</v>
      </c>
      <c r="V164" s="516">
        <v>2758.16</v>
      </c>
      <c r="W164" s="516" t="s">
        <v>64</v>
      </c>
      <c r="X164" s="516"/>
      <c r="Y164" s="516"/>
      <c r="Z164" s="516"/>
      <c r="AA164" s="516"/>
      <c r="AB164" s="516"/>
      <c r="AC164" s="516"/>
      <c r="AD164" s="516"/>
      <c r="AE164" s="514">
        <f>IFERROR(IF(Хронология[[#This Row],[Забой, м]]-V163&lt;0, 0, Хронология[[#This Row],[Забой, м]]-V163), 0)</f>
        <v>0</v>
      </c>
      <c r="AF164" s="521">
        <f t="shared" si="2"/>
        <v>46180.499999999898</v>
      </c>
      <c r="AG164" s="521">
        <f>Хронология[[#This Row],[Начало]]+Хронология[[#This Row],[Сутки]]</f>
        <v>46180.666666666562</v>
      </c>
      <c r="AH164" s="522">
        <f>Хронология[[#This Row],[Часы]]/24</f>
        <v>0.16666666666666666</v>
      </c>
      <c r="AI164" s="522">
        <f>IFERROR(Хронология[[#This Row],[Сутки]]+AI163, Хронология[[#This Row],[Сутки]])</f>
        <v>35.833333333333307</v>
      </c>
      <c r="AJ164"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ПНВ</v>
      </c>
      <c r="AK164"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3.0000000000001137E-2</v>
      </c>
      <c r="AL164"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3.9699999999999989</v>
      </c>
      <c r="AM164" s="527">
        <f>IF(Хронология[[#This Row],[Результат]]="НПВ", Хронология[[#This Row],[Часы]], 0)</f>
        <v>0</v>
      </c>
      <c r="AN164" s="518">
        <f>SUMIFS(Хронология[НПВ], Хронология[Скважина], Хронология[[#This Row],[Скважина]], Хронология[Начало], "&lt;=" &amp; Хронология[[#This Row],[Начало]])</f>
        <v>36</v>
      </c>
      <c r="AO164" s="518">
        <f>SUMIFS(Хронология[ПНВ], Хронология[Скважина], Хронология[[#This Row],[Скважина]], Хронология[Начало], "&lt;=" &amp; Хронология[[#This Row],[Начало]])</f>
        <v>13.14</v>
      </c>
      <c r="AP164" s="523">
        <f>INT(ROUND(Хронология[[#This Row],[Начало]], 3))</f>
        <v>46180</v>
      </c>
      <c r="AQ164" s="524">
        <f>Хронология[[#This Row],[Начало]]-INT(Хронология[[#This Row],[Начало]])</f>
        <v>0.49999999989813659</v>
      </c>
      <c r="AR164" s="523">
        <f>INT(ROUND(Хронология[[#This Row],[Окончание]], 3))</f>
        <v>46180</v>
      </c>
      <c r="AS164" s="524">
        <f>Хронология[[#This Row],[Окончание]]-INT(Хронология[[#This Row],[Окончание]])</f>
        <v>0.66666666656237794</v>
      </c>
      <c r="AT164" s="524" t="str">
        <f>Хронология[[#This Row],[Мастер]] &amp; CHAR(10) &amp; Хронология[[#This Row],[Помощник мастера]] &amp; CHAR(10) &amp; Хронология[[#This Row],[Бурильщик]]</f>
        <v>Епифанов Д.Б.
Шипунов С.И.</v>
      </c>
      <c r="AU164"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600 ОК– ПР Монтаж Блок дросселирования </v>
      </c>
      <c r="AV164" s="518" t="str">
        <f>Хронология[[#This Row],[Результат]]&amp;":  "&amp;Хронология[[#This Row],[Событие]]&amp; CHAR(10) &amp;Хронология[[#This Row],[Вид работ]]&amp;"  "&amp;Хронология[[#This Row],[Объект работ]]</f>
        <v>ПНВ:  
Монтаж  Блок дросселирования</v>
      </c>
      <c r="AW164" s="601">
        <f>SUMIF($AU$2:AU164, Хронология[[#This Row],[Ключ]], $AH$2:AH164)</f>
        <v>0.83333333333333337</v>
      </c>
      <c r="AX164" s="516" t="str">
        <f>Хронология[[#This Row],[Вид работ]] &amp; " " &amp; Хронология[[#This Row],[Объект работ]]</f>
        <v>Монтаж Блок дросселирования</v>
      </c>
    </row>
    <row r="165" spans="1:50" ht="50.5" customHeight="1">
      <c r="A165" s="540" t="s">
        <v>50</v>
      </c>
      <c r="B165" s="541" t="s">
        <v>263</v>
      </c>
      <c r="C165" s="541" t="s">
        <v>264</v>
      </c>
      <c r="D165" s="542" t="s">
        <v>265</v>
      </c>
      <c r="E165" s="517" t="s">
        <v>266</v>
      </c>
      <c r="F165" s="515" t="s">
        <v>207</v>
      </c>
      <c r="G165" s="517"/>
      <c r="H165" s="517" t="s">
        <v>267</v>
      </c>
      <c r="I165" s="518">
        <v>14</v>
      </c>
      <c r="J165" s="517" t="s">
        <v>329</v>
      </c>
      <c r="K165" s="515"/>
      <c r="L165" s="516" t="s">
        <v>59</v>
      </c>
      <c r="M165" s="516" t="s">
        <v>58</v>
      </c>
      <c r="N165" s="516"/>
      <c r="O165" s="516" t="s">
        <v>69</v>
      </c>
      <c r="P165" s="516" t="s">
        <v>70</v>
      </c>
      <c r="Q165" s="516" t="s">
        <v>86</v>
      </c>
      <c r="R165" s="516" t="s">
        <v>321</v>
      </c>
      <c r="S165" s="516"/>
      <c r="T165" s="514" t="s">
        <v>330</v>
      </c>
      <c r="U165" s="516">
        <v>4</v>
      </c>
      <c r="V165" s="516">
        <v>2758.16</v>
      </c>
      <c r="W165" s="516" t="s">
        <v>64</v>
      </c>
      <c r="X165" s="516"/>
      <c r="Y165" s="516"/>
      <c r="Z165" s="516"/>
      <c r="AA165" s="516"/>
      <c r="AB165" s="516"/>
      <c r="AC165" s="516"/>
      <c r="AD165" s="516"/>
      <c r="AE165" s="514">
        <f>IFERROR(IF(Хронология[[#This Row],[Забой, м]]-V164&lt;0, 0, Хронология[[#This Row],[Забой, м]]-V164), 0)</f>
        <v>0</v>
      </c>
      <c r="AF165" s="521">
        <f t="shared" si="2"/>
        <v>46180.666666666562</v>
      </c>
      <c r="AG165" s="521">
        <f>Хронология[[#This Row],[Начало]]+Хронология[[#This Row],[Сутки]]</f>
        <v>46180.833333333227</v>
      </c>
      <c r="AH165" s="522">
        <f>Хронология[[#This Row],[Часы]]/24</f>
        <v>0.16666666666666666</v>
      </c>
      <c r="AI165" s="522">
        <f>IFERROR(Хронология[[#This Row],[Сутки]]+AI164, Хронология[[#This Row],[Сутки]])</f>
        <v>35.999999999999972</v>
      </c>
      <c r="AJ165"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ПНВ</v>
      </c>
      <c r="AK165"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v>
      </c>
      <c r="AL165"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4</v>
      </c>
      <c r="AM165" s="527">
        <f>IF(Хронология[[#This Row],[Результат]]="НПВ", Хронология[[#This Row],[Часы]], 0)</f>
        <v>0</v>
      </c>
      <c r="AN165" s="518">
        <f>SUMIFS(Хронология[НПВ], Хронология[Скважина], Хронология[[#This Row],[Скважина]], Хронология[Начало], "&lt;=" &amp; Хронология[[#This Row],[Начало]])</f>
        <v>36</v>
      </c>
      <c r="AO165" s="518">
        <f>SUMIFS(Хронология[ПНВ], Хронология[Скважина], Хронология[[#This Row],[Скважина]], Хронология[Начало], "&lt;=" &amp; Хронология[[#This Row],[Начало]])</f>
        <v>17.14</v>
      </c>
      <c r="AP165" s="523">
        <f>INT(ROUND(Хронология[[#This Row],[Начало]], 3))</f>
        <v>46180</v>
      </c>
      <c r="AQ165" s="524">
        <f>Хронология[[#This Row],[Начало]]-INT(Хронология[[#This Row],[Начало]])</f>
        <v>0.66666666656237794</v>
      </c>
      <c r="AR165" s="523">
        <f>INT(ROUND(Хронология[[#This Row],[Окончание]], 3))</f>
        <v>46180</v>
      </c>
      <c r="AS165" s="524">
        <f>Хронология[[#This Row],[Окончание]]-INT(Хронология[[#This Row],[Окончание]])</f>
        <v>0.83333333322661929</v>
      </c>
      <c r="AT165" s="524" t="str">
        <f>Хронология[[#This Row],[Мастер]] &amp; CHAR(10) &amp; Хронология[[#This Row],[Помощник мастера]] &amp; CHAR(10) &amp; Хронология[[#This Row],[Бурильщик]]</f>
        <v>Епифанов Д.Б.
Шипунов С.И.</v>
      </c>
      <c r="AU165"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600 ОК– ПР Монтаж Блок дросселирования </v>
      </c>
      <c r="AV165" s="518" t="str">
        <f>Хронология[[#This Row],[Результат]]&amp;":  "&amp;Хронология[[#This Row],[Событие]]&amp; CHAR(10) &amp;Хронология[[#This Row],[Вид работ]]&amp;"  "&amp;Хронология[[#This Row],[Объект работ]]</f>
        <v>ПНВ:  
Монтаж  Блок дросселирования</v>
      </c>
      <c r="AW165" s="601">
        <f>SUMIF($AU$2:AU165, Хронология[[#This Row],[Ключ]], $AH$2:AH165)</f>
        <v>1</v>
      </c>
      <c r="AX165" s="516" t="str">
        <f>Хронология[[#This Row],[Вид работ]] &amp; " " &amp; Хронология[[#This Row],[Объект работ]]</f>
        <v>Монтаж Блок дросселирования</v>
      </c>
    </row>
    <row r="166" spans="1:50" ht="50.5" customHeight="1">
      <c r="A166" s="540" t="s">
        <v>50</v>
      </c>
      <c r="B166" s="541" t="s">
        <v>263</v>
      </c>
      <c r="C166" s="541" t="s">
        <v>264</v>
      </c>
      <c r="D166" s="542" t="s">
        <v>265</v>
      </c>
      <c r="E166" s="517" t="s">
        <v>266</v>
      </c>
      <c r="F166" s="515" t="s">
        <v>207</v>
      </c>
      <c r="G166" s="517"/>
      <c r="H166" s="517" t="s">
        <v>267</v>
      </c>
      <c r="I166" s="518">
        <v>14</v>
      </c>
      <c r="J166" s="517" t="s">
        <v>331</v>
      </c>
      <c r="K166" s="515"/>
      <c r="L166" s="516" t="s">
        <v>59</v>
      </c>
      <c r="M166" s="516" t="s">
        <v>58</v>
      </c>
      <c r="N166" s="516"/>
      <c r="O166" s="516" t="s">
        <v>69</v>
      </c>
      <c r="P166" s="516" t="s">
        <v>70</v>
      </c>
      <c r="Q166" s="516" t="s">
        <v>86</v>
      </c>
      <c r="R166" s="516" t="s">
        <v>321</v>
      </c>
      <c r="S166" s="516"/>
      <c r="T166" s="514" t="s">
        <v>332</v>
      </c>
      <c r="U166" s="516">
        <v>4</v>
      </c>
      <c r="V166" s="516">
        <v>2758.16</v>
      </c>
      <c r="W166" s="516" t="s">
        <v>64</v>
      </c>
      <c r="X166" s="516"/>
      <c r="Y166" s="516"/>
      <c r="Z166" s="516"/>
      <c r="AA166" s="516"/>
      <c r="AB166" s="516"/>
      <c r="AC166" s="516"/>
      <c r="AD166" s="516"/>
      <c r="AE166" s="514">
        <f>IFERROR(IF(Хронология[[#This Row],[Забой, м]]-V165&lt;0, 0, Хронология[[#This Row],[Забой, м]]-V165), 0)</f>
        <v>0</v>
      </c>
      <c r="AF166" s="521">
        <f t="shared" si="2"/>
        <v>46180.833333333227</v>
      </c>
      <c r="AG166" s="521">
        <f>Хронология[[#This Row],[Начало]]+Хронология[[#This Row],[Сутки]]</f>
        <v>46180.999999999891</v>
      </c>
      <c r="AH166" s="522">
        <f>Хронология[[#This Row],[Часы]]/24</f>
        <v>0.16666666666666666</v>
      </c>
      <c r="AI166" s="522">
        <f>IFERROR(Хронология[[#This Row],[Сутки]]+AI165, Хронология[[#This Row],[Сутки]])</f>
        <v>36.166666666666636</v>
      </c>
      <c r="AJ166"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ПНВ</v>
      </c>
      <c r="AK166"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v>
      </c>
      <c r="AL166"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4</v>
      </c>
      <c r="AM166" s="527">
        <f>IF(Хронология[[#This Row],[Результат]]="НПВ", Хронология[[#This Row],[Часы]], 0)</f>
        <v>0</v>
      </c>
      <c r="AN166" s="518">
        <f>SUMIFS(Хронология[НПВ], Хронология[Скважина], Хронология[[#This Row],[Скважина]], Хронология[Начало], "&lt;=" &amp; Хронология[[#This Row],[Начало]])</f>
        <v>36</v>
      </c>
      <c r="AO166" s="518">
        <f>SUMIFS(Хронология[ПНВ], Хронология[Скважина], Хронология[[#This Row],[Скважина]], Хронология[Начало], "&lt;=" &amp; Хронология[[#This Row],[Начало]])</f>
        <v>21.14</v>
      </c>
      <c r="AP166" s="523">
        <f>INT(ROUND(Хронология[[#This Row],[Начало]], 3))</f>
        <v>46180</v>
      </c>
      <c r="AQ166" s="524">
        <f>Хронология[[#This Row],[Начало]]-INT(Хронология[[#This Row],[Начало]])</f>
        <v>0.83333333322661929</v>
      </c>
      <c r="AR166" s="523">
        <f>INT(ROUND(Хронология[[#This Row],[Окончание]], 3))</f>
        <v>46181</v>
      </c>
      <c r="AS166" s="524">
        <f>Хронология[[#This Row],[Окончание]]-INT(Хронология[[#This Row],[Окончание]])</f>
        <v>0.99999999989086064</v>
      </c>
      <c r="AT166" s="524" t="str">
        <f>Хронология[[#This Row],[Мастер]] &amp; CHAR(10) &amp; Хронология[[#This Row],[Помощник мастера]] &amp; CHAR(10) &amp; Хронология[[#This Row],[Бурильщик]]</f>
        <v>Епифанов Д.Б.
Шипунов С.И.</v>
      </c>
      <c r="AU166"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600 ОК– ПР Монтаж Блок дросселирования </v>
      </c>
      <c r="AV166" s="518" t="str">
        <f>Хронология[[#This Row],[Результат]]&amp;":  "&amp;Хронология[[#This Row],[Событие]]&amp; CHAR(10) &amp;Хронология[[#This Row],[Вид работ]]&amp;"  "&amp;Хронология[[#This Row],[Объект работ]]</f>
        <v>ПНВ:  
Монтаж  Блок дросселирования</v>
      </c>
      <c r="AW166" s="601">
        <f>SUMIF($AU$2:AU166, Хронология[[#This Row],[Ключ]], $AH$2:AH166)</f>
        <v>1.1666666666666667</v>
      </c>
      <c r="AX166" s="516" t="str">
        <f>Хронология[[#This Row],[Вид работ]] &amp; " " &amp; Хронология[[#This Row],[Объект работ]]</f>
        <v>Монтаж Блок дросселирования</v>
      </c>
    </row>
    <row r="167" spans="1:50" ht="50.5" customHeight="1">
      <c r="A167" s="540" t="s">
        <v>50</v>
      </c>
      <c r="B167" s="541" t="s">
        <v>263</v>
      </c>
      <c r="C167" s="541" t="s">
        <v>264</v>
      </c>
      <c r="D167" s="542" t="s">
        <v>265</v>
      </c>
      <c r="E167" s="517" t="s">
        <v>266</v>
      </c>
      <c r="F167" s="515"/>
      <c r="G167" s="517"/>
      <c r="H167" s="517" t="s">
        <v>278</v>
      </c>
      <c r="I167" s="518">
        <v>15</v>
      </c>
      <c r="J167" s="517" t="s">
        <v>333</v>
      </c>
      <c r="K167" s="515"/>
      <c r="L167" s="516" t="s">
        <v>59</v>
      </c>
      <c r="M167" s="516" t="s">
        <v>58</v>
      </c>
      <c r="N167" s="516"/>
      <c r="O167" s="516" t="s">
        <v>169</v>
      </c>
      <c r="P167" s="516" t="s">
        <v>150</v>
      </c>
      <c r="Q167" s="516" t="s">
        <v>86</v>
      </c>
      <c r="R167" s="516" t="s">
        <v>321</v>
      </c>
      <c r="S167" s="516"/>
      <c r="T167" s="514" t="s">
        <v>334</v>
      </c>
      <c r="U167" s="516">
        <v>7</v>
      </c>
      <c r="V167" s="516">
        <v>2758.16</v>
      </c>
      <c r="W167" s="516" t="s">
        <v>64</v>
      </c>
      <c r="X167" s="516"/>
      <c r="Y167" s="516"/>
      <c r="Z167" s="516"/>
      <c r="AA167" s="516"/>
      <c r="AB167" s="516"/>
      <c r="AC167" s="516"/>
      <c r="AD167" s="516"/>
      <c r="AE167" s="514">
        <f>IFERROR(IF(Хронология[[#This Row],[Забой, м]]-V166&lt;0, 0, Хронология[[#This Row],[Забой, м]]-V166), 0)</f>
        <v>0</v>
      </c>
      <c r="AF167" s="521">
        <f t="shared" si="2"/>
        <v>46180.999999999891</v>
      </c>
      <c r="AG167" s="521">
        <f>Хронология[[#This Row],[Начало]]+Хронология[[#This Row],[Сутки]]</f>
        <v>46181.291666666555</v>
      </c>
      <c r="AH167" s="522">
        <f>Хронология[[#This Row],[Часы]]/24</f>
        <v>0.29166666666666669</v>
      </c>
      <c r="AI167" s="522">
        <f>IFERROR(Хронология[[#This Row],[Сутки]]+AI166, Хронология[[#This Row],[Сутки]])</f>
        <v>36.4583333333333</v>
      </c>
      <c r="AJ167"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НПВ</v>
      </c>
      <c r="AK167"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v>
      </c>
      <c r="AL167"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v>
      </c>
      <c r="AM167" s="527">
        <f>IF(Хронология[[#This Row],[Результат]]="НПВ", Хронология[[#This Row],[Часы]], 0)</f>
        <v>7</v>
      </c>
      <c r="AN167" s="518">
        <f>SUMIFS(Хронология[НПВ], Хронология[Скважина], Хронология[[#This Row],[Скважина]], Хронология[Начало], "&lt;=" &amp; Хронология[[#This Row],[Начало]])</f>
        <v>43</v>
      </c>
      <c r="AO167" s="518">
        <f>SUMIFS(Хронология[ПНВ], Хронология[Скважина], Хронология[[#This Row],[Скважина]], Хронология[Начало], "&lt;=" &amp; Хронология[[#This Row],[Начало]])</f>
        <v>21.14</v>
      </c>
      <c r="AP167" s="523">
        <f>INT(ROUND(Хронология[[#This Row],[Начало]], 3))</f>
        <v>46181</v>
      </c>
      <c r="AQ167" s="524">
        <f>Хронология[[#This Row],[Начало]]-INT(Хронология[[#This Row],[Начало]])</f>
        <v>0.99999999989086064</v>
      </c>
      <c r="AR167" s="523">
        <f>INT(ROUND(Хронология[[#This Row],[Окончание]], 3))</f>
        <v>46181</v>
      </c>
      <c r="AS167" s="524">
        <f>Хронология[[#This Row],[Окончание]]-INT(Хронология[[#This Row],[Окончание]])</f>
        <v>0.29166666655510198</v>
      </c>
      <c r="AT167" s="524" t="str">
        <f>Хронология[[#This Row],[Мастер]] &amp; CHAR(10) &amp; Хронология[[#This Row],[Помощник мастера]] &amp; CHAR(10) &amp; Хронология[[#This Row],[Бурильщик]]</f>
        <v xml:space="preserve">
Хохряков В.Я.</v>
      </c>
      <c r="AU167"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600 ОК– ПР Опрессовка Блок дросселирования </v>
      </c>
      <c r="AV167" s="518" t="str">
        <f>Хронология[[#This Row],[Результат]]&amp;":  "&amp;Хронология[[#This Row],[Событие]]&amp; CHAR(10) &amp;Хронология[[#This Row],[Вид работ]]&amp;"  "&amp;Хронология[[#This Row],[Объект работ]]</f>
        <v>НПВ:  
Опрессовка  Блок дросселирования</v>
      </c>
      <c r="AW167" s="601">
        <f>SUMIF($AU$2:AU167, Хронология[[#This Row],[Ключ]], $AH$2:AH167)</f>
        <v>0.29166666666666669</v>
      </c>
      <c r="AX167" s="516" t="str">
        <f>Хронология[[#This Row],[Вид работ]] &amp; " " &amp; Хронология[[#This Row],[Объект работ]]</f>
        <v>Опрессовка Блок дросселирования</v>
      </c>
    </row>
    <row r="168" spans="1:50" ht="50.5" customHeight="1">
      <c r="A168" s="540" t="s">
        <v>50</v>
      </c>
      <c r="B168" s="541" t="s">
        <v>263</v>
      </c>
      <c r="C168" s="541" t="s">
        <v>264</v>
      </c>
      <c r="D168" s="542" t="s">
        <v>265</v>
      </c>
      <c r="E168" s="517" t="s">
        <v>266</v>
      </c>
      <c r="F168" s="515"/>
      <c r="G168" s="517"/>
      <c r="H168" s="517" t="s">
        <v>267</v>
      </c>
      <c r="I168" s="518">
        <v>15</v>
      </c>
      <c r="J168" s="517" t="s">
        <v>335</v>
      </c>
      <c r="K168" s="515"/>
      <c r="L168" s="516" t="s">
        <v>59</v>
      </c>
      <c r="M168" s="516" t="s">
        <v>58</v>
      </c>
      <c r="N168" s="516"/>
      <c r="O168" s="516" t="s">
        <v>69</v>
      </c>
      <c r="P168" s="516" t="s">
        <v>70</v>
      </c>
      <c r="Q168" s="516" t="s">
        <v>86</v>
      </c>
      <c r="R168" s="516" t="s">
        <v>321</v>
      </c>
      <c r="S168" s="516"/>
      <c r="T168" s="514" t="s">
        <v>332</v>
      </c>
      <c r="U168" s="516">
        <v>5</v>
      </c>
      <c r="V168" s="516">
        <v>2758.16</v>
      </c>
      <c r="W168" s="516" t="s">
        <v>64</v>
      </c>
      <c r="X168" s="516"/>
      <c r="Y168" s="516"/>
      <c r="Z168" s="516"/>
      <c r="AA168" s="516"/>
      <c r="AB168" s="516"/>
      <c r="AC168" s="516"/>
      <c r="AD168" s="516"/>
      <c r="AE168" s="514">
        <f>IFERROR(IF(Хронология[[#This Row],[Забой, м]]-V167&lt;0, 0, Хронология[[#This Row],[Забой, м]]-V167), 0)</f>
        <v>0</v>
      </c>
      <c r="AF168" s="521">
        <f t="shared" si="2"/>
        <v>46181.291666666555</v>
      </c>
      <c r="AG168" s="521">
        <f>Хронология[[#This Row],[Начало]]+Хронология[[#This Row],[Сутки]]</f>
        <v>46181.499999999891</v>
      </c>
      <c r="AH168" s="522">
        <f>Хронология[[#This Row],[Часы]]/24</f>
        <v>0.20833333333333334</v>
      </c>
      <c r="AI168" s="522">
        <f>IFERROR(Хронология[[#This Row],[Сутки]]+AI167, Хронология[[#This Row],[Сутки]])</f>
        <v>36.666666666666636</v>
      </c>
      <c r="AJ168"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ПНВ</v>
      </c>
      <c r="AK168"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v>
      </c>
      <c r="AL168"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5</v>
      </c>
      <c r="AM168" s="527">
        <f>IF(Хронология[[#This Row],[Результат]]="НПВ", Хронология[[#This Row],[Часы]], 0)</f>
        <v>0</v>
      </c>
      <c r="AN168" s="518">
        <f>SUMIFS(Хронология[НПВ], Хронология[Скважина], Хронология[[#This Row],[Скважина]], Хронология[Начало], "&lt;=" &amp; Хронология[[#This Row],[Начало]])</f>
        <v>43</v>
      </c>
      <c r="AO168" s="518">
        <f>SUMIFS(Хронология[ПНВ], Хронология[Скважина], Хронология[[#This Row],[Скважина]], Хронология[Начало], "&lt;=" &amp; Хронология[[#This Row],[Начало]])</f>
        <v>26.14</v>
      </c>
      <c r="AP168" s="523">
        <f>INT(ROUND(Хронология[[#This Row],[Начало]], 3))</f>
        <v>46181</v>
      </c>
      <c r="AQ168" s="524">
        <f>Хронология[[#This Row],[Начало]]-INT(Хронология[[#This Row],[Начало]])</f>
        <v>0.29166666655510198</v>
      </c>
      <c r="AR168" s="523">
        <f>INT(ROUND(Хронология[[#This Row],[Окончание]], 3))</f>
        <v>46181</v>
      </c>
      <c r="AS168" s="524">
        <f>Хронология[[#This Row],[Окончание]]-INT(Хронология[[#This Row],[Окончание]])</f>
        <v>0.49999999989086064</v>
      </c>
      <c r="AT168" s="524" t="str">
        <f>Хронология[[#This Row],[Мастер]] &amp; CHAR(10) &amp; Хронология[[#This Row],[Помощник мастера]] &amp; CHAR(10) &amp; Хронология[[#This Row],[Бурильщик]]</f>
        <v xml:space="preserve">
Шипунов С.И.</v>
      </c>
      <c r="AU168"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600 ОК– ПР Монтаж Блок дросселирования </v>
      </c>
      <c r="AV168" s="518" t="str">
        <f>Хронология[[#This Row],[Результат]]&amp;":  "&amp;Хронология[[#This Row],[Событие]]&amp; CHAR(10) &amp;Хронология[[#This Row],[Вид работ]]&amp;"  "&amp;Хронология[[#This Row],[Объект работ]]</f>
        <v>ПНВ:  
Монтаж  Блок дросселирования</v>
      </c>
      <c r="AW168" s="601">
        <f>SUMIF($AU$2:AU168, Хронология[[#This Row],[Ключ]], $AH$2:AH168)</f>
        <v>1.375</v>
      </c>
      <c r="AX168" s="516" t="str">
        <f>Хронология[[#This Row],[Вид работ]] &amp; " " &amp; Хронология[[#This Row],[Объект работ]]</f>
        <v>Монтаж Блок дросселирования</v>
      </c>
    </row>
    <row r="169" spans="1:50" ht="50.5" customHeight="1">
      <c r="A169" s="540" t="s">
        <v>50</v>
      </c>
      <c r="B169" s="541" t="s">
        <v>263</v>
      </c>
      <c r="C169" s="541" t="s">
        <v>264</v>
      </c>
      <c r="D169" s="542" t="s">
        <v>265</v>
      </c>
      <c r="E169" s="517" t="s">
        <v>266</v>
      </c>
      <c r="F169" s="515"/>
      <c r="G169" s="517"/>
      <c r="H169" s="517" t="s">
        <v>267</v>
      </c>
      <c r="I169" s="518">
        <v>15</v>
      </c>
      <c r="J169" s="517" t="s">
        <v>336</v>
      </c>
      <c r="K169" s="515"/>
      <c r="L169" s="516" t="s">
        <v>59</v>
      </c>
      <c r="M169" s="516" t="s">
        <v>58</v>
      </c>
      <c r="N169" s="516"/>
      <c r="O169" s="516" t="s">
        <v>69</v>
      </c>
      <c r="P169" s="516" t="s">
        <v>70</v>
      </c>
      <c r="Q169" s="516" t="s">
        <v>86</v>
      </c>
      <c r="R169" s="516" t="s">
        <v>321</v>
      </c>
      <c r="S169" s="516"/>
      <c r="T169" s="514" t="s">
        <v>332</v>
      </c>
      <c r="U169" s="516">
        <v>4</v>
      </c>
      <c r="V169" s="516">
        <v>2758.16</v>
      </c>
      <c r="W169" s="516" t="s">
        <v>64</v>
      </c>
      <c r="X169" s="516"/>
      <c r="Y169" s="516"/>
      <c r="Z169" s="516"/>
      <c r="AA169" s="516"/>
      <c r="AB169" s="516"/>
      <c r="AC169" s="516"/>
      <c r="AD169" s="516"/>
      <c r="AE169" s="514">
        <f>IFERROR(IF(Хронология[[#This Row],[Забой, м]]-V168&lt;0, 0, Хронология[[#This Row],[Забой, м]]-V168), 0)</f>
        <v>0</v>
      </c>
      <c r="AF169" s="521">
        <f t="shared" si="2"/>
        <v>46181.499999999891</v>
      </c>
      <c r="AG169" s="521">
        <f>Хронология[[#This Row],[Начало]]+Хронология[[#This Row],[Сутки]]</f>
        <v>46181.666666666555</v>
      </c>
      <c r="AH169" s="522">
        <f>Хронология[[#This Row],[Часы]]/24</f>
        <v>0.16666666666666666</v>
      </c>
      <c r="AI169" s="522">
        <f>IFERROR(Хронология[[#This Row],[Сутки]]+AI168, Хронология[[#This Row],[Сутки]])</f>
        <v>36.8333333333333</v>
      </c>
      <c r="AJ169"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ПНВ</v>
      </c>
      <c r="AK169"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v>
      </c>
      <c r="AL169"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4</v>
      </c>
      <c r="AM169" s="527">
        <f>IF(Хронология[[#This Row],[Результат]]="НПВ", Хронология[[#This Row],[Часы]], 0)</f>
        <v>0</v>
      </c>
      <c r="AN169" s="518">
        <f>SUMIFS(Хронология[НПВ], Хронология[Скважина], Хронология[[#This Row],[Скважина]], Хронология[Начало], "&lt;=" &amp; Хронология[[#This Row],[Начало]])</f>
        <v>43</v>
      </c>
      <c r="AO169" s="518">
        <f>SUMIFS(Хронология[ПНВ], Хронология[Скважина], Хронология[[#This Row],[Скважина]], Хронология[Начало], "&lt;=" &amp; Хронология[[#This Row],[Начало]])</f>
        <v>30.14</v>
      </c>
      <c r="AP169" s="523">
        <f>INT(ROUND(Хронология[[#This Row],[Начало]], 3))</f>
        <v>46181</v>
      </c>
      <c r="AQ169" s="524">
        <f>Хронология[[#This Row],[Начало]]-INT(Хронология[[#This Row],[Начало]])</f>
        <v>0.49999999989086064</v>
      </c>
      <c r="AR169" s="523">
        <f>INT(ROUND(Хронология[[#This Row],[Окончание]], 3))</f>
        <v>46181</v>
      </c>
      <c r="AS169" s="524">
        <f>Хронология[[#This Row],[Окончание]]-INT(Хронология[[#This Row],[Окончание]])</f>
        <v>0.66666666655510198</v>
      </c>
      <c r="AT169" s="524" t="str">
        <f>Хронология[[#This Row],[Мастер]] &amp; CHAR(10) &amp; Хронология[[#This Row],[Помощник мастера]] &amp; CHAR(10) &amp; Хронология[[#This Row],[Бурильщик]]</f>
        <v xml:space="preserve">
Шипунов С.И.</v>
      </c>
      <c r="AU169"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600 ОК– ПР Монтаж Блок дросселирования </v>
      </c>
      <c r="AV169" s="518" t="str">
        <f>Хронология[[#This Row],[Результат]]&amp;":  "&amp;Хронология[[#This Row],[Событие]]&amp; CHAR(10) &amp;Хронология[[#This Row],[Вид работ]]&amp;"  "&amp;Хронология[[#This Row],[Объект работ]]</f>
        <v>ПНВ:  
Монтаж  Блок дросселирования</v>
      </c>
      <c r="AW169" s="601">
        <f>SUMIF($AU$2:AU169, Хронология[[#This Row],[Ключ]], $AH$2:AH169)</f>
        <v>1.5416666666666667</v>
      </c>
      <c r="AX169" s="516" t="str">
        <f>Хронология[[#This Row],[Вид работ]] &amp; " " &amp; Хронология[[#This Row],[Объект работ]]</f>
        <v>Монтаж Блок дросселирования</v>
      </c>
    </row>
    <row r="170" spans="1:50" ht="50.5" customHeight="1">
      <c r="A170" s="540" t="s">
        <v>50</v>
      </c>
      <c r="B170" s="541" t="s">
        <v>263</v>
      </c>
      <c r="C170" s="541" t="s">
        <v>264</v>
      </c>
      <c r="D170" s="542" t="s">
        <v>265</v>
      </c>
      <c r="E170" s="517" t="s">
        <v>266</v>
      </c>
      <c r="F170" s="515"/>
      <c r="G170" s="517"/>
      <c r="H170" s="517" t="s">
        <v>267</v>
      </c>
      <c r="I170" s="518">
        <v>15</v>
      </c>
      <c r="J170" s="517" t="s">
        <v>337</v>
      </c>
      <c r="K170" s="515"/>
      <c r="L170" s="516" t="s">
        <v>59</v>
      </c>
      <c r="M170" s="516" t="s">
        <v>58</v>
      </c>
      <c r="N170" s="516"/>
      <c r="O170" s="516" t="s">
        <v>69</v>
      </c>
      <c r="P170" s="516" t="s">
        <v>70</v>
      </c>
      <c r="Q170" s="516" t="s">
        <v>86</v>
      </c>
      <c r="R170" s="516" t="s">
        <v>321</v>
      </c>
      <c r="S170" s="516"/>
      <c r="T170" s="514" t="s">
        <v>332</v>
      </c>
      <c r="U170" s="516">
        <v>4</v>
      </c>
      <c r="V170" s="516">
        <v>2758.16</v>
      </c>
      <c r="W170" s="516" t="s">
        <v>64</v>
      </c>
      <c r="X170" s="516"/>
      <c r="Y170" s="516"/>
      <c r="Z170" s="516"/>
      <c r="AA170" s="516"/>
      <c r="AB170" s="516"/>
      <c r="AC170" s="516"/>
      <c r="AD170" s="516"/>
      <c r="AE170" s="514">
        <f>IFERROR(IF(Хронология[[#This Row],[Забой, м]]-V169&lt;0, 0, Хронология[[#This Row],[Забой, м]]-V169), 0)</f>
        <v>0</v>
      </c>
      <c r="AF170" s="521">
        <f t="shared" si="2"/>
        <v>46181.666666666555</v>
      </c>
      <c r="AG170" s="521">
        <f>Хронология[[#This Row],[Начало]]+Хронология[[#This Row],[Сутки]]</f>
        <v>46181.833333333219</v>
      </c>
      <c r="AH170" s="522">
        <f>Хронология[[#This Row],[Часы]]/24</f>
        <v>0.16666666666666666</v>
      </c>
      <c r="AI170" s="522">
        <f>IFERROR(Хронология[[#This Row],[Сутки]]+AI169, Хронология[[#This Row],[Сутки]])</f>
        <v>36.999999999999964</v>
      </c>
      <c r="AJ170"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ПНВ</v>
      </c>
      <c r="AK170"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v>
      </c>
      <c r="AL170"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4</v>
      </c>
      <c r="AM170" s="527">
        <f>IF(Хронология[[#This Row],[Результат]]="НПВ", Хронология[[#This Row],[Часы]], 0)</f>
        <v>0</v>
      </c>
      <c r="AN170" s="518">
        <f>SUMIFS(Хронология[НПВ], Хронология[Скважина], Хронология[[#This Row],[Скважина]], Хронология[Начало], "&lt;=" &amp; Хронология[[#This Row],[Начало]])</f>
        <v>43</v>
      </c>
      <c r="AO170" s="518">
        <f>SUMIFS(Хронология[ПНВ], Хронология[Скважина], Хронология[[#This Row],[Скважина]], Хронология[Начало], "&lt;=" &amp; Хронология[[#This Row],[Начало]])</f>
        <v>34.14</v>
      </c>
      <c r="AP170" s="523">
        <f>INT(ROUND(Хронология[[#This Row],[Начало]], 3))</f>
        <v>46181</v>
      </c>
      <c r="AQ170" s="524">
        <f>Хронология[[#This Row],[Начало]]-INT(Хронология[[#This Row],[Начало]])</f>
        <v>0.66666666655510198</v>
      </c>
      <c r="AR170" s="523">
        <f>INT(ROUND(Хронология[[#This Row],[Окончание]], 3))</f>
        <v>46181</v>
      </c>
      <c r="AS170" s="524">
        <f>Хронология[[#This Row],[Окончание]]-INT(Хронология[[#This Row],[Окончание]])</f>
        <v>0.83333333321934333</v>
      </c>
      <c r="AT170" s="524" t="str">
        <f>Хронология[[#This Row],[Мастер]] &amp; CHAR(10) &amp; Хронология[[#This Row],[Помощник мастера]] &amp; CHAR(10) &amp; Хронология[[#This Row],[Бурильщик]]</f>
        <v xml:space="preserve">
Шипунов С.И.</v>
      </c>
      <c r="AU170"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600 ОК– ПР Монтаж Блок дросселирования </v>
      </c>
      <c r="AV170" s="518" t="str">
        <f>Хронология[[#This Row],[Результат]]&amp;":  "&amp;Хронология[[#This Row],[Событие]]&amp; CHAR(10) &amp;Хронология[[#This Row],[Вид работ]]&amp;"  "&amp;Хронология[[#This Row],[Объект работ]]</f>
        <v>ПНВ:  
Монтаж  Блок дросселирования</v>
      </c>
      <c r="AW170" s="601">
        <f>SUMIF($AU$2:AU170, Хронология[[#This Row],[Ключ]], $AH$2:AH170)</f>
        <v>1.7083333333333335</v>
      </c>
      <c r="AX170" s="516" t="str">
        <f>Хронология[[#This Row],[Вид работ]] &amp; " " &amp; Хронология[[#This Row],[Объект работ]]</f>
        <v>Монтаж Блок дросселирования</v>
      </c>
    </row>
    <row r="171" spans="1:50" ht="50.5" customHeight="1">
      <c r="A171" s="540" t="s">
        <v>50</v>
      </c>
      <c r="B171" s="541" t="s">
        <v>263</v>
      </c>
      <c r="C171" s="541" t="s">
        <v>264</v>
      </c>
      <c r="D171" s="542" t="s">
        <v>265</v>
      </c>
      <c r="E171" s="517" t="s">
        <v>266</v>
      </c>
      <c r="F171" s="515"/>
      <c r="G171" s="517"/>
      <c r="H171" s="517" t="s">
        <v>267</v>
      </c>
      <c r="I171" s="518">
        <v>15</v>
      </c>
      <c r="J171" s="517" t="s">
        <v>338</v>
      </c>
      <c r="K171" s="515"/>
      <c r="L171" s="516" t="s">
        <v>59</v>
      </c>
      <c r="M171" s="516" t="s">
        <v>58</v>
      </c>
      <c r="N171" s="516"/>
      <c r="O171" s="516" t="s">
        <v>69</v>
      </c>
      <c r="P171" s="516" t="s">
        <v>70</v>
      </c>
      <c r="Q171" s="516" t="s">
        <v>86</v>
      </c>
      <c r="R171" s="516" t="s">
        <v>321</v>
      </c>
      <c r="S171" s="516"/>
      <c r="T171" s="514" t="s">
        <v>332</v>
      </c>
      <c r="U171" s="516">
        <v>4</v>
      </c>
      <c r="V171" s="516">
        <v>2758.16</v>
      </c>
      <c r="W171" s="516" t="s">
        <v>64</v>
      </c>
      <c r="X171" s="516"/>
      <c r="Y171" s="516"/>
      <c r="Z171" s="516"/>
      <c r="AA171" s="516"/>
      <c r="AB171" s="516"/>
      <c r="AC171" s="516"/>
      <c r="AD171" s="516"/>
      <c r="AE171" s="514">
        <f>IFERROR(IF(Хронология[[#This Row],[Забой, м]]-V170&lt;0, 0, Хронология[[#This Row],[Забой, м]]-V170), 0)</f>
        <v>0</v>
      </c>
      <c r="AF171" s="521">
        <f t="shared" si="2"/>
        <v>46181.833333333219</v>
      </c>
      <c r="AG171" s="521">
        <f>Хронология[[#This Row],[Начало]]+Хронология[[#This Row],[Сутки]]</f>
        <v>46181.999999999884</v>
      </c>
      <c r="AH171" s="522">
        <f>Хронология[[#This Row],[Часы]]/24</f>
        <v>0.16666666666666666</v>
      </c>
      <c r="AI171" s="522">
        <f>IFERROR(Хронология[[#This Row],[Сутки]]+AI170, Хронология[[#This Row],[Сутки]])</f>
        <v>37.166666666666629</v>
      </c>
      <c r="AJ171"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ПНВ</v>
      </c>
      <c r="AK171"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v>
      </c>
      <c r="AL171"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4</v>
      </c>
      <c r="AM171" s="527">
        <f>IF(Хронология[[#This Row],[Результат]]="НПВ", Хронология[[#This Row],[Часы]], 0)</f>
        <v>0</v>
      </c>
      <c r="AN171" s="518">
        <f>SUMIFS(Хронология[НПВ], Хронология[Скважина], Хронология[[#This Row],[Скважина]], Хронология[Начало], "&lt;=" &amp; Хронология[[#This Row],[Начало]])</f>
        <v>43</v>
      </c>
      <c r="AO171" s="518">
        <f>SUMIFS(Хронология[ПНВ], Хронология[Скважина], Хронология[[#This Row],[Скважина]], Хронология[Начало], "&lt;=" &amp; Хронология[[#This Row],[Начало]])</f>
        <v>38.14</v>
      </c>
      <c r="AP171" s="523">
        <f>INT(ROUND(Хронология[[#This Row],[Начало]], 3))</f>
        <v>46181</v>
      </c>
      <c r="AQ171" s="524">
        <f>Хронология[[#This Row],[Начало]]-INT(Хронология[[#This Row],[Начало]])</f>
        <v>0.83333333321934333</v>
      </c>
      <c r="AR171" s="523">
        <f>INT(ROUND(Хронология[[#This Row],[Окончание]], 3))</f>
        <v>46182</v>
      </c>
      <c r="AS171" s="524">
        <f>Хронология[[#This Row],[Окончание]]-INT(Хронология[[#This Row],[Окончание]])</f>
        <v>0.99999999988358468</v>
      </c>
      <c r="AT171" s="524" t="str">
        <f>Хронология[[#This Row],[Мастер]] &amp; CHAR(10) &amp; Хронология[[#This Row],[Помощник мастера]] &amp; CHAR(10) &amp; Хронология[[#This Row],[Бурильщик]]</f>
        <v xml:space="preserve">
Шипунов С.И.</v>
      </c>
      <c r="AU171"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600 ОК– ПР Монтаж Блок дросселирования </v>
      </c>
      <c r="AV171" s="518" t="str">
        <f>Хронология[[#This Row],[Результат]]&amp;":  "&amp;Хронология[[#This Row],[Событие]]&amp; CHAR(10) &amp;Хронология[[#This Row],[Вид работ]]&amp;"  "&amp;Хронология[[#This Row],[Объект работ]]</f>
        <v>ПНВ:  
Монтаж  Блок дросселирования</v>
      </c>
      <c r="AW171" s="601">
        <f>SUMIF($AU$2:AU171, Хронология[[#This Row],[Ключ]], $AH$2:AH171)</f>
        <v>1.8750000000000002</v>
      </c>
      <c r="AX171" s="516" t="str">
        <f>Хронология[[#This Row],[Вид работ]] &amp; " " &amp; Хронология[[#This Row],[Объект работ]]</f>
        <v>Монтаж Блок дросселирования</v>
      </c>
    </row>
    <row r="172" spans="1:50" ht="50.5" customHeight="1">
      <c r="A172" s="540" t="s">
        <v>50</v>
      </c>
      <c r="B172" s="541" t="s">
        <v>263</v>
      </c>
      <c r="C172" s="541" t="s">
        <v>264</v>
      </c>
      <c r="D172" s="542" t="s">
        <v>265</v>
      </c>
      <c r="E172" s="517" t="s">
        <v>266</v>
      </c>
      <c r="F172" s="515" t="s">
        <v>207</v>
      </c>
      <c r="G172" s="517"/>
      <c r="H172" s="517" t="s">
        <v>278</v>
      </c>
      <c r="I172" s="518">
        <v>16</v>
      </c>
      <c r="J172" s="517" t="s">
        <v>339</v>
      </c>
      <c r="K172" s="515"/>
      <c r="L172" s="516" t="s">
        <v>59</v>
      </c>
      <c r="M172" s="516" t="s">
        <v>58</v>
      </c>
      <c r="N172" s="516"/>
      <c r="O172" s="516" t="s">
        <v>69</v>
      </c>
      <c r="P172" s="516" t="s">
        <v>70</v>
      </c>
      <c r="Q172" s="516" t="s">
        <v>86</v>
      </c>
      <c r="R172" s="516" t="s">
        <v>321</v>
      </c>
      <c r="S172" s="516"/>
      <c r="T172" s="514" t="s">
        <v>332</v>
      </c>
      <c r="U172" s="516">
        <v>7</v>
      </c>
      <c r="V172" s="516">
        <v>2758.16</v>
      </c>
      <c r="W172" s="516" t="s">
        <v>64</v>
      </c>
      <c r="X172" s="516"/>
      <c r="Y172" s="516"/>
      <c r="Z172" s="516"/>
      <c r="AA172" s="516"/>
      <c r="AB172" s="516"/>
      <c r="AC172" s="516"/>
      <c r="AD172" s="516"/>
      <c r="AE172" s="514">
        <f>IFERROR(IF(Хронология[[#This Row],[Забой, м]]-V171&lt;0, 0, Хронология[[#This Row],[Забой, м]]-V171), 0)</f>
        <v>0</v>
      </c>
      <c r="AF172" s="521">
        <f t="shared" si="2"/>
        <v>46181.999999999884</v>
      </c>
      <c r="AG172" s="521">
        <f>Хронология[[#This Row],[Начало]]+Хронология[[#This Row],[Сутки]]</f>
        <v>46182.291666666548</v>
      </c>
      <c r="AH172" s="522">
        <f>Хронология[[#This Row],[Часы]]/24</f>
        <v>0.29166666666666669</v>
      </c>
      <c r="AI172" s="522">
        <f>IFERROR(Хронология[[#This Row],[Сутки]]+AI171, Хронология[[#This Row],[Сутки]])</f>
        <v>37.458333333333293</v>
      </c>
      <c r="AJ172"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ПНВ</v>
      </c>
      <c r="AK172"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v>
      </c>
      <c r="AL172"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7</v>
      </c>
      <c r="AM172" s="527">
        <f>IF(Хронология[[#This Row],[Результат]]="НПВ", Хронология[[#This Row],[Часы]], 0)</f>
        <v>0</v>
      </c>
      <c r="AN172" s="518">
        <f>SUMIFS(Хронология[НПВ], Хронология[Скважина], Хронология[[#This Row],[Скважина]], Хронология[Начало], "&lt;=" &amp; Хронология[[#This Row],[Начало]])</f>
        <v>43</v>
      </c>
      <c r="AO172" s="518">
        <f>SUMIFS(Хронология[ПНВ], Хронология[Скважина], Хронология[[#This Row],[Скважина]], Хронология[Начало], "&lt;=" &amp; Хронология[[#This Row],[Начало]])</f>
        <v>45.14</v>
      </c>
      <c r="AP172" s="523">
        <f>INT(ROUND(Хронология[[#This Row],[Начало]], 3))</f>
        <v>46182</v>
      </c>
      <c r="AQ172" s="524">
        <f>Хронология[[#This Row],[Начало]]-INT(Хронология[[#This Row],[Начало]])</f>
        <v>0.99999999988358468</v>
      </c>
      <c r="AR172" s="523">
        <f>INT(ROUND(Хронология[[#This Row],[Окончание]], 3))</f>
        <v>46182</v>
      </c>
      <c r="AS172" s="524">
        <f>Хронология[[#This Row],[Окончание]]-INT(Хронология[[#This Row],[Окончание]])</f>
        <v>0.29166666654782603</v>
      </c>
      <c r="AT172" s="524" t="str">
        <f>Хронология[[#This Row],[Мастер]] &amp; CHAR(10) &amp; Хронология[[#This Row],[Помощник мастера]] &amp; CHAR(10) &amp; Хронология[[#This Row],[Бурильщик]]</f>
        <v>Епифанов Д.Б.
Хохряков В.Я.</v>
      </c>
      <c r="AU172"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600 ОК– ПР Монтаж Блок дросселирования </v>
      </c>
      <c r="AV172" s="518" t="str">
        <f>Хронология[[#This Row],[Результат]]&amp;":  "&amp;Хронология[[#This Row],[Событие]]&amp; CHAR(10) &amp;Хронология[[#This Row],[Вид работ]]&amp;"  "&amp;Хронология[[#This Row],[Объект работ]]</f>
        <v>ПНВ:  
Монтаж  Блок дросселирования</v>
      </c>
      <c r="AW172" s="601">
        <f>SUMIF($AU$2:AU172, Хронология[[#This Row],[Ключ]], $AH$2:AH172)</f>
        <v>2.166666666666667</v>
      </c>
      <c r="AX172" s="516" t="str">
        <f>Хронология[[#This Row],[Вид работ]] &amp; " " &amp; Хронология[[#This Row],[Объект работ]]</f>
        <v>Монтаж Блок дросселирования</v>
      </c>
    </row>
    <row r="173" spans="1:50" ht="50.5" customHeight="1">
      <c r="A173" s="540" t="s">
        <v>50</v>
      </c>
      <c r="B173" s="541" t="s">
        <v>263</v>
      </c>
      <c r="C173" s="541" t="s">
        <v>264</v>
      </c>
      <c r="D173" s="542" t="s">
        <v>265</v>
      </c>
      <c r="E173" s="517" t="s">
        <v>266</v>
      </c>
      <c r="F173" s="515" t="s">
        <v>207</v>
      </c>
      <c r="G173" s="517"/>
      <c r="H173" s="517" t="s">
        <v>267</v>
      </c>
      <c r="I173" s="518">
        <v>16</v>
      </c>
      <c r="J173" s="517" t="s">
        <v>340</v>
      </c>
      <c r="K173" s="515"/>
      <c r="L173" s="516" t="s">
        <v>59</v>
      </c>
      <c r="M173" s="516" t="s">
        <v>58</v>
      </c>
      <c r="N173" s="516"/>
      <c r="O173" s="516" t="s">
        <v>69</v>
      </c>
      <c r="P173" s="516" t="s">
        <v>70</v>
      </c>
      <c r="Q173" s="516" t="s">
        <v>86</v>
      </c>
      <c r="R173" s="516" t="s">
        <v>321</v>
      </c>
      <c r="S173" s="516"/>
      <c r="T173" s="514" t="s">
        <v>332</v>
      </c>
      <c r="U173" s="516">
        <v>5</v>
      </c>
      <c r="V173" s="516">
        <v>2758.16</v>
      </c>
      <c r="W173" s="516" t="s">
        <v>64</v>
      </c>
      <c r="X173" s="516"/>
      <c r="Y173" s="516"/>
      <c r="Z173" s="516"/>
      <c r="AA173" s="516"/>
      <c r="AB173" s="516"/>
      <c r="AC173" s="516"/>
      <c r="AD173" s="516"/>
      <c r="AE173" s="514">
        <f>IFERROR(IF(Хронология[[#This Row],[Забой, м]]-V172&lt;0, 0, Хронология[[#This Row],[Забой, м]]-V172), 0)</f>
        <v>0</v>
      </c>
      <c r="AF173" s="521">
        <f t="shared" si="2"/>
        <v>46182.291666666548</v>
      </c>
      <c r="AG173" s="521">
        <f>Хронология[[#This Row],[Начало]]+Хронология[[#This Row],[Сутки]]</f>
        <v>46182.499999999884</v>
      </c>
      <c r="AH173" s="522">
        <f>Хронология[[#This Row],[Часы]]/24</f>
        <v>0.20833333333333334</v>
      </c>
      <c r="AI173" s="522">
        <f>IFERROR(Хронология[[#This Row],[Сутки]]+AI172, Хронология[[#This Row],[Сутки]])</f>
        <v>37.666666666666629</v>
      </c>
      <c r="AJ173"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ПНВ</v>
      </c>
      <c r="AK173"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v>
      </c>
      <c r="AL173"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5</v>
      </c>
      <c r="AM173" s="527">
        <f>IF(Хронология[[#This Row],[Результат]]="НПВ", Хронология[[#This Row],[Часы]], 0)</f>
        <v>0</v>
      </c>
      <c r="AN173" s="518">
        <f>SUMIFS(Хронология[НПВ], Хронология[Скважина], Хронология[[#This Row],[Скважина]], Хронология[Начало], "&lt;=" &amp; Хронология[[#This Row],[Начало]])</f>
        <v>43</v>
      </c>
      <c r="AO173" s="518">
        <f>SUMIFS(Хронология[ПНВ], Хронология[Скважина], Хронология[[#This Row],[Скважина]], Хронология[Начало], "&lt;=" &amp; Хронология[[#This Row],[Начало]])</f>
        <v>50.14</v>
      </c>
      <c r="AP173" s="523">
        <f>INT(ROUND(Хронология[[#This Row],[Начало]], 3))</f>
        <v>46182</v>
      </c>
      <c r="AQ173" s="524">
        <f>Хронология[[#This Row],[Начало]]-INT(Хронология[[#This Row],[Начало]])</f>
        <v>0.29166666654782603</v>
      </c>
      <c r="AR173" s="523">
        <f>INT(ROUND(Хронология[[#This Row],[Окончание]], 3))</f>
        <v>46182</v>
      </c>
      <c r="AS173" s="524">
        <f>Хронология[[#This Row],[Окончание]]-INT(Хронология[[#This Row],[Окончание]])</f>
        <v>0.49999999988358468</v>
      </c>
      <c r="AT173" s="524" t="str">
        <f>Хронология[[#This Row],[Мастер]] &amp; CHAR(10) &amp; Хронология[[#This Row],[Помощник мастера]] &amp; CHAR(10) &amp; Хронология[[#This Row],[Бурильщик]]</f>
        <v>Епифанов Д.Б.
Шипунов С.И.</v>
      </c>
      <c r="AU173"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600 ОК– ПР Монтаж Блок дросселирования </v>
      </c>
      <c r="AV173" s="518" t="str">
        <f>Хронология[[#This Row],[Результат]]&amp;":  "&amp;Хронология[[#This Row],[Событие]]&amp; CHAR(10) &amp;Хронология[[#This Row],[Вид работ]]&amp;"  "&amp;Хронология[[#This Row],[Объект работ]]</f>
        <v>ПНВ:  
Монтаж  Блок дросселирования</v>
      </c>
      <c r="AW173" s="601">
        <f>SUMIF($AU$2:AU173, Хронология[[#This Row],[Ключ]], $AH$2:AH173)</f>
        <v>2.3750000000000004</v>
      </c>
      <c r="AX173" s="516" t="str">
        <f>Хронология[[#This Row],[Вид работ]] &amp; " " &amp; Хронология[[#This Row],[Объект работ]]</f>
        <v>Монтаж Блок дросселирования</v>
      </c>
    </row>
    <row r="174" spans="1:50" ht="50.5" customHeight="1">
      <c r="A174" s="540" t="s">
        <v>50</v>
      </c>
      <c r="B174" s="541" t="s">
        <v>263</v>
      </c>
      <c r="C174" s="541" t="s">
        <v>264</v>
      </c>
      <c r="D174" s="542" t="s">
        <v>265</v>
      </c>
      <c r="E174" s="517" t="s">
        <v>266</v>
      </c>
      <c r="F174" s="515" t="s">
        <v>207</v>
      </c>
      <c r="G174" s="517"/>
      <c r="H174" s="517" t="s">
        <v>267</v>
      </c>
      <c r="I174" s="518">
        <v>16</v>
      </c>
      <c r="J174" s="517" t="s">
        <v>341</v>
      </c>
      <c r="K174" s="515"/>
      <c r="L174" s="516" t="s">
        <v>59</v>
      </c>
      <c r="M174" s="516" t="s">
        <v>58</v>
      </c>
      <c r="N174" s="516"/>
      <c r="O174" s="516" t="s">
        <v>69</v>
      </c>
      <c r="P174" s="516" t="s">
        <v>70</v>
      </c>
      <c r="Q174" s="516" t="s">
        <v>86</v>
      </c>
      <c r="R174" s="516" t="s">
        <v>321</v>
      </c>
      <c r="S174" s="516"/>
      <c r="T174" s="514" t="s">
        <v>332</v>
      </c>
      <c r="U174" s="516">
        <v>4</v>
      </c>
      <c r="V174" s="516">
        <v>2758.16</v>
      </c>
      <c r="W174" s="516" t="s">
        <v>64</v>
      </c>
      <c r="X174" s="516"/>
      <c r="Y174" s="516"/>
      <c r="Z174" s="516"/>
      <c r="AA174" s="516"/>
      <c r="AB174" s="516"/>
      <c r="AC174" s="516"/>
      <c r="AD174" s="516"/>
      <c r="AE174" s="514">
        <f>IFERROR(IF(Хронология[[#This Row],[Забой, м]]-V173&lt;0, 0, Хронология[[#This Row],[Забой, м]]-V173), 0)</f>
        <v>0</v>
      </c>
      <c r="AF174" s="521">
        <f t="shared" si="2"/>
        <v>46182.499999999884</v>
      </c>
      <c r="AG174" s="521">
        <f>Хронология[[#This Row],[Начало]]+Хронология[[#This Row],[Сутки]]</f>
        <v>46182.666666666548</v>
      </c>
      <c r="AH174" s="522">
        <f>Хронология[[#This Row],[Часы]]/24</f>
        <v>0.16666666666666666</v>
      </c>
      <c r="AI174" s="522">
        <f>IFERROR(Хронология[[#This Row],[Сутки]]+AI173, Хронология[[#This Row],[Сутки]])</f>
        <v>37.833333333333293</v>
      </c>
      <c r="AJ174"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ПНВ</v>
      </c>
      <c r="AK174"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v>
      </c>
      <c r="AL174"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4</v>
      </c>
      <c r="AM174" s="527">
        <f>IF(Хронология[[#This Row],[Результат]]="НПВ", Хронология[[#This Row],[Часы]], 0)</f>
        <v>0</v>
      </c>
      <c r="AN174" s="518">
        <f>SUMIFS(Хронология[НПВ], Хронология[Скважина], Хронология[[#This Row],[Скважина]], Хронология[Начало], "&lt;=" &amp; Хронология[[#This Row],[Начало]])</f>
        <v>43</v>
      </c>
      <c r="AO174" s="518">
        <f>SUMIFS(Хронология[ПНВ], Хронология[Скважина], Хронология[[#This Row],[Скважина]], Хронология[Начало], "&lt;=" &amp; Хронология[[#This Row],[Начало]])</f>
        <v>54.14</v>
      </c>
      <c r="AP174" s="523">
        <f>INT(ROUND(Хронология[[#This Row],[Начало]], 3))</f>
        <v>46182</v>
      </c>
      <c r="AQ174" s="524">
        <f>Хронология[[#This Row],[Начало]]-INT(Хронология[[#This Row],[Начало]])</f>
        <v>0.49999999988358468</v>
      </c>
      <c r="AR174" s="523">
        <f>INT(ROUND(Хронология[[#This Row],[Окончание]], 3))</f>
        <v>46182</v>
      </c>
      <c r="AS174" s="524">
        <f>Хронология[[#This Row],[Окончание]]-INT(Хронология[[#This Row],[Окончание]])</f>
        <v>0.66666666654782603</v>
      </c>
      <c r="AT174" s="524" t="str">
        <f>Хронология[[#This Row],[Мастер]] &amp; CHAR(10) &amp; Хронология[[#This Row],[Помощник мастера]] &amp; CHAR(10) &amp; Хронология[[#This Row],[Бурильщик]]</f>
        <v>Епифанов Д.Б.
Шипунов С.И.</v>
      </c>
      <c r="AU174"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600 ОК– ПР Монтаж Блок дросселирования </v>
      </c>
      <c r="AV174" s="518" t="str">
        <f>Хронология[[#This Row],[Результат]]&amp;":  "&amp;Хронология[[#This Row],[Событие]]&amp; CHAR(10) &amp;Хронология[[#This Row],[Вид работ]]&amp;"  "&amp;Хронология[[#This Row],[Объект работ]]</f>
        <v>ПНВ:  
Монтаж  Блок дросселирования</v>
      </c>
      <c r="AW174" s="601">
        <f>SUMIF($AU$2:AU174, Хронология[[#This Row],[Ключ]], $AH$2:AH174)</f>
        <v>2.541666666666667</v>
      </c>
      <c r="AX174" s="516" t="str">
        <f>Хронология[[#This Row],[Вид работ]] &amp; " " &amp; Хронология[[#This Row],[Объект работ]]</f>
        <v>Монтаж Блок дросселирования</v>
      </c>
    </row>
    <row r="175" spans="1:50" ht="50.5" customHeight="1">
      <c r="A175" s="540" t="s">
        <v>50</v>
      </c>
      <c r="B175" s="541" t="s">
        <v>263</v>
      </c>
      <c r="C175" s="541" t="s">
        <v>264</v>
      </c>
      <c r="D175" s="542" t="s">
        <v>265</v>
      </c>
      <c r="E175" s="517" t="s">
        <v>266</v>
      </c>
      <c r="F175" s="515" t="s">
        <v>207</v>
      </c>
      <c r="G175" s="517"/>
      <c r="H175" s="517" t="s">
        <v>267</v>
      </c>
      <c r="I175" s="518">
        <v>16</v>
      </c>
      <c r="J175" s="517" t="s">
        <v>342</v>
      </c>
      <c r="K175" s="515"/>
      <c r="L175" s="516" t="s">
        <v>59</v>
      </c>
      <c r="M175" s="516" t="s">
        <v>58</v>
      </c>
      <c r="N175" s="516"/>
      <c r="O175" s="516" t="s">
        <v>69</v>
      </c>
      <c r="P175" s="516" t="s">
        <v>70</v>
      </c>
      <c r="Q175" s="516" t="s">
        <v>86</v>
      </c>
      <c r="R175" s="516" t="s">
        <v>321</v>
      </c>
      <c r="S175" s="516"/>
      <c r="T175" s="514" t="s">
        <v>332</v>
      </c>
      <c r="U175" s="516">
        <v>4</v>
      </c>
      <c r="V175" s="516">
        <v>2758.16</v>
      </c>
      <c r="W175" s="516" t="s">
        <v>64</v>
      </c>
      <c r="X175" s="516"/>
      <c r="Y175" s="516"/>
      <c r="Z175" s="516"/>
      <c r="AA175" s="516"/>
      <c r="AB175" s="516"/>
      <c r="AC175" s="516"/>
      <c r="AD175" s="516"/>
      <c r="AE175" s="514">
        <f>IFERROR(IF(Хронология[[#This Row],[Забой, м]]-V174&lt;0, 0, Хронология[[#This Row],[Забой, м]]-V174), 0)</f>
        <v>0</v>
      </c>
      <c r="AF175" s="521">
        <f t="shared" si="2"/>
        <v>46182.666666666548</v>
      </c>
      <c r="AG175" s="521">
        <f>Хронология[[#This Row],[Начало]]+Хронология[[#This Row],[Сутки]]</f>
        <v>46182.833333333212</v>
      </c>
      <c r="AH175" s="522">
        <f>Хронология[[#This Row],[Часы]]/24</f>
        <v>0.16666666666666666</v>
      </c>
      <c r="AI175" s="522">
        <f>IFERROR(Хронология[[#This Row],[Сутки]]+AI174, Хронология[[#This Row],[Сутки]])</f>
        <v>37.999999999999957</v>
      </c>
      <c r="AJ175"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ПНВ</v>
      </c>
      <c r="AK175"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v>
      </c>
      <c r="AL175"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4</v>
      </c>
      <c r="AM175" s="527">
        <f>IF(Хронология[[#This Row],[Результат]]="НПВ", Хронология[[#This Row],[Часы]], 0)</f>
        <v>0</v>
      </c>
      <c r="AN175" s="518">
        <f>SUMIFS(Хронология[НПВ], Хронология[Скважина], Хронология[[#This Row],[Скважина]], Хронология[Начало], "&lt;=" &amp; Хронология[[#This Row],[Начало]])</f>
        <v>43</v>
      </c>
      <c r="AO175" s="518">
        <f>SUMIFS(Хронология[ПНВ], Хронология[Скважина], Хронология[[#This Row],[Скважина]], Хронология[Начало], "&lt;=" &amp; Хронология[[#This Row],[Начало]])</f>
        <v>58.14</v>
      </c>
      <c r="AP175" s="523">
        <f>INT(ROUND(Хронология[[#This Row],[Начало]], 3))</f>
        <v>46182</v>
      </c>
      <c r="AQ175" s="524">
        <f>Хронология[[#This Row],[Начало]]-INT(Хронология[[#This Row],[Начало]])</f>
        <v>0.66666666654782603</v>
      </c>
      <c r="AR175" s="523">
        <f>INT(ROUND(Хронология[[#This Row],[Окончание]], 3))</f>
        <v>46182</v>
      </c>
      <c r="AS175" s="524">
        <f>Хронология[[#This Row],[Окончание]]-INT(Хронология[[#This Row],[Окончание]])</f>
        <v>0.83333333321206737</v>
      </c>
      <c r="AT175" s="524" t="str">
        <f>Хронология[[#This Row],[Мастер]] &amp; CHAR(10) &amp; Хронология[[#This Row],[Помощник мастера]] &amp; CHAR(10) &amp; Хронология[[#This Row],[Бурильщик]]</f>
        <v>Епифанов Д.Б.
Шипунов С.И.</v>
      </c>
      <c r="AU175"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600 ОК– ПР Монтаж Блок дросселирования </v>
      </c>
      <c r="AV175" s="518" t="str">
        <f>Хронология[[#This Row],[Результат]]&amp;":  "&amp;Хронология[[#This Row],[Событие]]&amp; CHAR(10) &amp;Хронология[[#This Row],[Вид работ]]&amp;"  "&amp;Хронология[[#This Row],[Объект работ]]</f>
        <v>ПНВ:  
Монтаж  Блок дросселирования</v>
      </c>
      <c r="AW175" s="601">
        <f>SUMIF($AU$2:AU175, Хронология[[#This Row],[Ключ]], $AH$2:AH175)</f>
        <v>2.7083333333333335</v>
      </c>
      <c r="AX175" s="516" t="str">
        <f>Хронология[[#This Row],[Вид работ]] &amp; " " &amp; Хронология[[#This Row],[Объект работ]]</f>
        <v>Монтаж Блок дросселирования</v>
      </c>
    </row>
    <row r="176" spans="1:50" ht="50.5" customHeight="1">
      <c r="A176" s="540" t="s">
        <v>50</v>
      </c>
      <c r="B176" s="541" t="s">
        <v>263</v>
      </c>
      <c r="C176" s="541" t="s">
        <v>264</v>
      </c>
      <c r="D176" s="542" t="s">
        <v>265</v>
      </c>
      <c r="E176" s="517" t="s">
        <v>266</v>
      </c>
      <c r="F176" s="515" t="s">
        <v>207</v>
      </c>
      <c r="G176" s="517"/>
      <c r="H176" s="517" t="s">
        <v>267</v>
      </c>
      <c r="I176" s="518">
        <v>16</v>
      </c>
      <c r="J176" s="517" t="s">
        <v>343</v>
      </c>
      <c r="K176" s="515"/>
      <c r="L176" s="516" t="s">
        <v>51</v>
      </c>
      <c r="M176" s="516" t="s">
        <v>58</v>
      </c>
      <c r="N176" s="516"/>
      <c r="O176" s="516" t="s">
        <v>169</v>
      </c>
      <c r="P176" s="516" t="s">
        <v>170</v>
      </c>
      <c r="Q176" s="516" t="s">
        <v>137</v>
      </c>
      <c r="R176" s="516" t="s">
        <v>4</v>
      </c>
      <c r="S176" s="516"/>
      <c r="T176" s="514" t="s">
        <v>344</v>
      </c>
      <c r="U176" s="516">
        <v>4</v>
      </c>
      <c r="V176" s="516">
        <v>2758.16</v>
      </c>
      <c r="W176" s="516" t="s">
        <v>64</v>
      </c>
      <c r="X176" s="516"/>
      <c r="Y176" s="516"/>
      <c r="Z176" s="516"/>
      <c r="AA176" s="516"/>
      <c r="AB176" s="516"/>
      <c r="AC176" s="516"/>
      <c r="AD176" s="516"/>
      <c r="AE176" s="514">
        <f>IFERROR(IF(Хронология[[#This Row],[Забой, м]]-V175&lt;0, 0, Хронология[[#This Row],[Забой, м]]-V175), 0)</f>
        <v>0</v>
      </c>
      <c r="AF176" s="521">
        <f t="shared" si="2"/>
        <v>46182.833333333212</v>
      </c>
      <c r="AG176" s="521">
        <f>Хронология[[#This Row],[Начало]]+Хронология[[#This Row],[Сутки]]</f>
        <v>46182.999999999876</v>
      </c>
      <c r="AH176" s="522">
        <f>Хронология[[#This Row],[Часы]]/24</f>
        <v>0.16666666666666666</v>
      </c>
      <c r="AI176" s="522">
        <f>IFERROR(Хронология[[#This Row],[Сутки]]+AI175, Хронология[[#This Row],[Сутки]])</f>
        <v>38.166666666666622</v>
      </c>
      <c r="AJ176"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ПВ</v>
      </c>
      <c r="AK176"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4</v>
      </c>
      <c r="AL176"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v>
      </c>
      <c r="AM176" s="527">
        <f>IF(Хронология[[#This Row],[Результат]]="НПВ", Хронология[[#This Row],[Часы]], 0)</f>
        <v>0</v>
      </c>
      <c r="AN176" s="518">
        <f>SUMIFS(Хронология[НПВ], Хронология[Скважина], Хронология[[#This Row],[Скважина]], Хронология[Начало], "&lt;=" &amp; Хронология[[#This Row],[Начало]])</f>
        <v>43</v>
      </c>
      <c r="AO176" s="518">
        <f>SUMIFS(Хронология[ПНВ], Хронология[Скважина], Хронология[[#This Row],[Скважина]], Хронология[Начало], "&lt;=" &amp; Хронология[[#This Row],[Начало]])</f>
        <v>58.14</v>
      </c>
      <c r="AP176" s="523">
        <f>INT(ROUND(Хронология[[#This Row],[Начало]], 3))</f>
        <v>46182</v>
      </c>
      <c r="AQ176" s="524">
        <f>Хронология[[#This Row],[Начало]]-INT(Хронология[[#This Row],[Начало]])</f>
        <v>0.83333333321206737</v>
      </c>
      <c r="AR176" s="523">
        <f>INT(ROUND(Хронология[[#This Row],[Окончание]], 3))</f>
        <v>46183</v>
      </c>
      <c r="AS176" s="524">
        <f>Хронология[[#This Row],[Окончание]]-INT(Хронология[[#This Row],[Окончание]])</f>
        <v>0.99999999987630872</v>
      </c>
      <c r="AT176" s="524" t="str">
        <f>Хронология[[#This Row],[Мастер]] &amp; CHAR(10) &amp; Хронология[[#This Row],[Помощник мастера]] &amp; CHAR(10) &amp; Хронология[[#This Row],[Бурильщик]]</f>
        <v>Епифанов Д.Б.
Шипунов С.И.</v>
      </c>
      <c r="AU176"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600 ОК– КРС Глушение Скважина </v>
      </c>
      <c r="AV176" s="518" t="str">
        <f>Хронология[[#This Row],[Результат]]&amp;":  "&amp;Хронология[[#This Row],[Событие]]&amp; CHAR(10) &amp;Хронология[[#This Row],[Вид работ]]&amp;"  "&amp;Хронология[[#This Row],[Объект работ]]</f>
        <v>ПВ:  
Глушение  Скважина</v>
      </c>
      <c r="AW176" s="601">
        <f>SUMIF($AU$2:AU176, Хронология[[#This Row],[Ключ]], $AH$2:AH176)</f>
        <v>0.33333333333333331</v>
      </c>
      <c r="AX176" s="516" t="str">
        <f>Хронология[[#This Row],[Вид работ]] &amp; " " &amp; Хронология[[#This Row],[Объект работ]]</f>
        <v>Глушение Скважина</v>
      </c>
    </row>
    <row r="177" spans="1:50" ht="50.5" customHeight="1">
      <c r="A177" s="540" t="s">
        <v>50</v>
      </c>
      <c r="B177" s="541" t="s">
        <v>263</v>
      </c>
      <c r="C177" s="541" t="s">
        <v>264</v>
      </c>
      <c r="D177" s="542" t="s">
        <v>265</v>
      </c>
      <c r="E177" s="517" t="s">
        <v>266</v>
      </c>
      <c r="F177" s="515"/>
      <c r="G177" s="517"/>
      <c r="H177" s="517" t="s">
        <v>278</v>
      </c>
      <c r="I177" s="518">
        <v>17</v>
      </c>
      <c r="J177" s="517" t="s">
        <v>345</v>
      </c>
      <c r="K177" s="515"/>
      <c r="L177" s="516" t="s">
        <v>51</v>
      </c>
      <c r="M177" s="516" t="s">
        <v>58</v>
      </c>
      <c r="N177" s="516"/>
      <c r="O177" s="516" t="s">
        <v>169</v>
      </c>
      <c r="P177" s="516" t="s">
        <v>170</v>
      </c>
      <c r="Q177" s="516" t="s">
        <v>137</v>
      </c>
      <c r="R177" s="516" t="s">
        <v>4</v>
      </c>
      <c r="S177" s="516"/>
      <c r="T177" s="514" t="s">
        <v>346</v>
      </c>
      <c r="U177" s="516">
        <v>7</v>
      </c>
      <c r="V177" s="516">
        <v>2758.16</v>
      </c>
      <c r="W177" s="516" t="s">
        <v>64</v>
      </c>
      <c r="X177" s="516"/>
      <c r="Y177" s="516"/>
      <c r="Z177" s="516"/>
      <c r="AA177" s="516"/>
      <c r="AB177" s="516"/>
      <c r="AC177" s="516"/>
      <c r="AD177" s="516"/>
      <c r="AE177" s="514">
        <f>IFERROR(IF(Хронология[[#This Row],[Забой, м]]-V176&lt;0, 0, Хронология[[#This Row],[Забой, м]]-V176), 0)</f>
        <v>0</v>
      </c>
      <c r="AF177" s="521">
        <f t="shared" si="2"/>
        <v>46182.999999999876</v>
      </c>
      <c r="AG177" s="521">
        <f>Хронология[[#This Row],[Начало]]+Хронология[[#This Row],[Сутки]]</f>
        <v>46183.291666666541</v>
      </c>
      <c r="AH177" s="522">
        <f>Хронология[[#This Row],[Часы]]/24</f>
        <v>0.29166666666666669</v>
      </c>
      <c r="AI177" s="522">
        <f>IFERROR(Хронология[[#This Row],[Сутки]]+AI176, Хронология[[#This Row],[Сутки]])</f>
        <v>38.458333333333286</v>
      </c>
      <c r="AJ177"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ПНВ</v>
      </c>
      <c r="AK177"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1.3200000000000003</v>
      </c>
      <c r="AL177"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5.68</v>
      </c>
      <c r="AM177" s="527">
        <f>IF(Хронология[[#This Row],[Результат]]="НПВ", Хронология[[#This Row],[Часы]], 0)</f>
        <v>0</v>
      </c>
      <c r="AN177" s="518">
        <f>SUMIFS(Хронология[НПВ], Хронология[Скважина], Хронология[[#This Row],[Скважина]], Хронология[Начало], "&lt;=" &amp; Хронология[[#This Row],[Начало]])</f>
        <v>43</v>
      </c>
      <c r="AO177" s="518">
        <f>SUMIFS(Хронология[ПНВ], Хронология[Скважина], Хронология[[#This Row],[Скважина]], Хронология[Начало], "&lt;=" &amp; Хронология[[#This Row],[Начало]])</f>
        <v>63.82</v>
      </c>
      <c r="AP177" s="523">
        <f>INT(ROUND(Хронология[[#This Row],[Начало]], 3))</f>
        <v>46183</v>
      </c>
      <c r="AQ177" s="524">
        <f>Хронология[[#This Row],[Начало]]-INT(Хронология[[#This Row],[Начало]])</f>
        <v>0.99999999987630872</v>
      </c>
      <c r="AR177" s="523">
        <f>INT(ROUND(Хронология[[#This Row],[Окончание]], 3))</f>
        <v>46183</v>
      </c>
      <c r="AS177" s="524">
        <f>Хронология[[#This Row],[Окончание]]-INT(Хронология[[#This Row],[Окончание]])</f>
        <v>0.29166666654055007</v>
      </c>
      <c r="AT177" s="524" t="str">
        <f>Хронология[[#This Row],[Мастер]] &amp; CHAR(10) &amp; Хронология[[#This Row],[Помощник мастера]] &amp; CHAR(10) &amp; Хронология[[#This Row],[Бурильщик]]</f>
        <v xml:space="preserve">
Хохряков В.Я.</v>
      </c>
      <c r="AU177"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600 ОК– КРС Глушение Скважина </v>
      </c>
      <c r="AV177" s="518" t="str">
        <f>Хронология[[#This Row],[Результат]]&amp;":  "&amp;Хронология[[#This Row],[Событие]]&amp; CHAR(10) &amp;Хронология[[#This Row],[Вид работ]]&amp;"  "&amp;Хронология[[#This Row],[Объект работ]]</f>
        <v>ПНВ:  
Глушение  Скважина</v>
      </c>
      <c r="AW177" s="601">
        <f>SUMIF($AU$2:AU177, Хронология[[#This Row],[Ключ]], $AH$2:AH177)</f>
        <v>0.625</v>
      </c>
      <c r="AX177" s="516" t="str">
        <f>Хронология[[#This Row],[Вид работ]] &amp; " " &amp; Хронология[[#This Row],[Объект работ]]</f>
        <v>Глушение Скважина</v>
      </c>
    </row>
    <row r="178" spans="1:50" ht="50.5" customHeight="1">
      <c r="A178" s="540" t="s">
        <v>50</v>
      </c>
      <c r="B178" s="541" t="s">
        <v>263</v>
      </c>
      <c r="C178" s="541" t="s">
        <v>264</v>
      </c>
      <c r="D178" s="542" t="s">
        <v>265</v>
      </c>
      <c r="E178" s="517" t="s">
        <v>266</v>
      </c>
      <c r="F178" s="515"/>
      <c r="G178" s="517"/>
      <c r="H178" s="517" t="s">
        <v>278</v>
      </c>
      <c r="I178" s="518">
        <v>17</v>
      </c>
      <c r="J178" s="517" t="s">
        <v>347</v>
      </c>
      <c r="K178" s="515"/>
      <c r="L178" s="516" t="s">
        <v>51</v>
      </c>
      <c r="M178" s="516" t="s">
        <v>58</v>
      </c>
      <c r="N178" s="516"/>
      <c r="O178" s="516" t="s">
        <v>169</v>
      </c>
      <c r="P178" s="516" t="s">
        <v>170</v>
      </c>
      <c r="Q178" s="516" t="s">
        <v>137</v>
      </c>
      <c r="R178" s="516" t="s">
        <v>4</v>
      </c>
      <c r="S178" s="516"/>
      <c r="T178" s="514" t="s">
        <v>348</v>
      </c>
      <c r="U178" s="516">
        <v>5</v>
      </c>
      <c r="V178" s="516">
        <v>2758.16</v>
      </c>
      <c r="W178" s="516" t="s">
        <v>64</v>
      </c>
      <c r="X178" s="516"/>
      <c r="Y178" s="516"/>
      <c r="Z178" s="516"/>
      <c r="AA178" s="516"/>
      <c r="AB178" s="516"/>
      <c r="AC178" s="516"/>
      <c r="AD178" s="516"/>
      <c r="AE178" s="514">
        <f>IFERROR(IF(Хронология[[#This Row],[Забой, м]]-V177&lt;0, 0, Хронология[[#This Row],[Забой, м]]-V177), 0)</f>
        <v>0</v>
      </c>
      <c r="AF178" s="521">
        <f t="shared" si="2"/>
        <v>46183.291666666541</v>
      </c>
      <c r="AG178" s="521">
        <f>Хронология[[#This Row],[Начало]]+Хронология[[#This Row],[Сутки]]</f>
        <v>46183.499999999876</v>
      </c>
      <c r="AH178" s="522">
        <f>Хронология[[#This Row],[Часы]]/24</f>
        <v>0.20833333333333334</v>
      </c>
      <c r="AI178" s="522">
        <f>IFERROR(Хронология[[#This Row],[Сутки]]+AI177, Хронология[[#This Row],[Сутки]])</f>
        <v>38.666666666666622</v>
      </c>
      <c r="AJ178"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ПНВ</v>
      </c>
      <c r="AK178"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v>
      </c>
      <c r="AL178"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5</v>
      </c>
      <c r="AM178" s="527">
        <f>IF(Хронология[[#This Row],[Результат]]="НПВ", Хронология[[#This Row],[Часы]], 0)</f>
        <v>0</v>
      </c>
      <c r="AN178" s="518">
        <f>SUMIFS(Хронология[НПВ], Хронология[Скважина], Хронология[[#This Row],[Скважина]], Хронология[Начало], "&lt;=" &amp; Хронология[[#This Row],[Начало]])</f>
        <v>43</v>
      </c>
      <c r="AO178" s="518">
        <f>SUMIFS(Хронология[ПНВ], Хронология[Скважина], Хронология[[#This Row],[Скважина]], Хронология[Начало], "&lt;=" &amp; Хронология[[#This Row],[Начало]])</f>
        <v>68.819999999999993</v>
      </c>
      <c r="AP178" s="523">
        <f>INT(ROUND(Хронология[[#This Row],[Начало]], 3))</f>
        <v>46183</v>
      </c>
      <c r="AQ178" s="524">
        <f>Хронология[[#This Row],[Начало]]-INT(Хронология[[#This Row],[Начало]])</f>
        <v>0.29166666654055007</v>
      </c>
      <c r="AR178" s="523">
        <f>INT(ROUND(Хронология[[#This Row],[Окончание]], 3))</f>
        <v>46183</v>
      </c>
      <c r="AS178" s="524">
        <f>Хронология[[#This Row],[Окончание]]-INT(Хронология[[#This Row],[Окончание]])</f>
        <v>0.49999999987630872</v>
      </c>
      <c r="AT178" s="524" t="str">
        <f>Хронология[[#This Row],[Мастер]] &amp; CHAR(10) &amp; Хронология[[#This Row],[Помощник мастера]] &amp; CHAR(10) &amp; Хронология[[#This Row],[Бурильщик]]</f>
        <v xml:space="preserve">
Хохряков В.Я.</v>
      </c>
      <c r="AU178"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600 ОК– КРС Глушение Скважина </v>
      </c>
      <c r="AV178" s="518" t="str">
        <f>Хронология[[#This Row],[Результат]]&amp;":  "&amp;Хронология[[#This Row],[Событие]]&amp; CHAR(10) &amp;Хронология[[#This Row],[Вид работ]]&amp;"  "&amp;Хронология[[#This Row],[Объект работ]]</f>
        <v>ПНВ:  
Глушение  Скважина</v>
      </c>
      <c r="AW178" s="601">
        <f>SUMIF($AU$2:AU178, Хронология[[#This Row],[Ключ]], $AH$2:AH178)</f>
        <v>0.83333333333333337</v>
      </c>
      <c r="AX178" s="516" t="str">
        <f>Хронология[[#This Row],[Вид работ]] &amp; " " &amp; Хронология[[#This Row],[Объект работ]]</f>
        <v>Глушение Скважина</v>
      </c>
    </row>
    <row r="179" spans="1:50" ht="50.5" customHeight="1">
      <c r="A179" s="540" t="s">
        <v>50</v>
      </c>
      <c r="B179" s="541" t="s">
        <v>263</v>
      </c>
      <c r="C179" s="541" t="s">
        <v>264</v>
      </c>
      <c r="D179" s="542" t="s">
        <v>265</v>
      </c>
      <c r="E179" s="517" t="s">
        <v>266</v>
      </c>
      <c r="F179" s="515"/>
      <c r="G179" s="517"/>
      <c r="H179" s="517" t="s">
        <v>278</v>
      </c>
      <c r="I179" s="518">
        <v>17</v>
      </c>
      <c r="J179" s="517" t="s">
        <v>349</v>
      </c>
      <c r="K179" s="515"/>
      <c r="L179" s="516" t="s">
        <v>51</v>
      </c>
      <c r="M179" s="516" t="s">
        <v>58</v>
      </c>
      <c r="N179" s="516"/>
      <c r="O179" s="516" t="s">
        <v>169</v>
      </c>
      <c r="P179" s="516" t="s">
        <v>170</v>
      </c>
      <c r="Q179" s="516" t="s">
        <v>137</v>
      </c>
      <c r="R179" s="516" t="s">
        <v>4</v>
      </c>
      <c r="S179" s="516"/>
      <c r="T179" s="514" t="s">
        <v>350</v>
      </c>
      <c r="U179" s="516">
        <v>4</v>
      </c>
      <c r="V179" s="516">
        <v>2758.16</v>
      </c>
      <c r="W179" s="516" t="s">
        <v>64</v>
      </c>
      <c r="X179" s="516"/>
      <c r="Y179" s="516"/>
      <c r="Z179" s="516"/>
      <c r="AA179" s="516"/>
      <c r="AB179" s="516"/>
      <c r="AC179" s="516"/>
      <c r="AD179" s="516"/>
      <c r="AE179" s="514">
        <f>IFERROR(IF(Хронология[[#This Row],[Забой, м]]-V178&lt;0, 0, Хронология[[#This Row],[Забой, м]]-V178), 0)</f>
        <v>0</v>
      </c>
      <c r="AF179" s="521">
        <f t="shared" si="2"/>
        <v>46183.499999999876</v>
      </c>
      <c r="AG179" s="521">
        <f>Хронология[[#This Row],[Начало]]+Хронология[[#This Row],[Сутки]]</f>
        <v>46183.666666666541</v>
      </c>
      <c r="AH179" s="522">
        <f>Хронология[[#This Row],[Часы]]/24</f>
        <v>0.16666666666666666</v>
      </c>
      <c r="AI179" s="522">
        <f>IFERROR(Хронология[[#This Row],[Сутки]]+AI178, Хронология[[#This Row],[Сутки]])</f>
        <v>38.833333333333286</v>
      </c>
      <c r="AJ179"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ПНВ</v>
      </c>
      <c r="AK179"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v>
      </c>
      <c r="AL179"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4</v>
      </c>
      <c r="AM179" s="527">
        <f>IF(Хронология[[#This Row],[Результат]]="НПВ", Хронология[[#This Row],[Часы]], 0)</f>
        <v>0</v>
      </c>
      <c r="AN179" s="518">
        <f>SUMIFS(Хронология[НПВ], Хронология[Скважина], Хронология[[#This Row],[Скважина]], Хронология[Начало], "&lt;=" &amp; Хронология[[#This Row],[Начало]])</f>
        <v>43</v>
      </c>
      <c r="AO179" s="518">
        <f>SUMIFS(Хронология[ПНВ], Хронология[Скважина], Хронология[[#This Row],[Скважина]], Хронология[Начало], "&lt;=" &amp; Хронология[[#This Row],[Начало]])</f>
        <v>72.819999999999993</v>
      </c>
      <c r="AP179" s="523">
        <f>INT(ROUND(Хронология[[#This Row],[Начало]], 3))</f>
        <v>46183</v>
      </c>
      <c r="AQ179" s="524">
        <f>Хронология[[#This Row],[Начало]]-INT(Хронология[[#This Row],[Начало]])</f>
        <v>0.49999999987630872</v>
      </c>
      <c r="AR179" s="523">
        <f>INT(ROUND(Хронология[[#This Row],[Окончание]], 3))</f>
        <v>46183</v>
      </c>
      <c r="AS179" s="524">
        <f>Хронология[[#This Row],[Окончание]]-INT(Хронология[[#This Row],[Окончание]])</f>
        <v>0.66666666654055007</v>
      </c>
      <c r="AT179" s="524" t="str">
        <f>Хронология[[#This Row],[Мастер]] &amp; CHAR(10) &amp; Хронология[[#This Row],[Помощник мастера]] &amp; CHAR(10) &amp; Хронология[[#This Row],[Бурильщик]]</f>
        <v xml:space="preserve">
Хохряков В.Я.</v>
      </c>
      <c r="AU179"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600 ОК– КРС Глушение Скважина </v>
      </c>
      <c r="AV179" s="518" t="str">
        <f>Хронология[[#This Row],[Результат]]&amp;":  "&amp;Хронология[[#This Row],[Событие]]&amp; CHAR(10) &amp;Хронология[[#This Row],[Вид работ]]&amp;"  "&amp;Хронология[[#This Row],[Объект работ]]</f>
        <v>ПНВ:  
Глушение  Скважина</v>
      </c>
      <c r="AW179" s="601">
        <f>SUMIF($AU$2:AU179, Хронология[[#This Row],[Ключ]], $AH$2:AH179)</f>
        <v>1</v>
      </c>
      <c r="AX179" s="516" t="str">
        <f>Хронология[[#This Row],[Вид работ]] &amp; " " &amp; Хронология[[#This Row],[Объект работ]]</f>
        <v>Глушение Скважина</v>
      </c>
    </row>
    <row r="180" spans="1:50" ht="50.5" customHeight="1">
      <c r="A180" s="540" t="s">
        <v>50</v>
      </c>
      <c r="B180" s="541" t="s">
        <v>263</v>
      </c>
      <c r="C180" s="541" t="s">
        <v>264</v>
      </c>
      <c r="D180" s="542" t="s">
        <v>265</v>
      </c>
      <c r="E180" s="517" t="s">
        <v>266</v>
      </c>
      <c r="F180" s="515"/>
      <c r="G180" s="517"/>
      <c r="H180" s="517" t="s">
        <v>278</v>
      </c>
      <c r="I180" s="518">
        <v>17</v>
      </c>
      <c r="J180" s="517" t="s">
        <v>351</v>
      </c>
      <c r="K180" s="515"/>
      <c r="L180" s="516" t="s">
        <v>51</v>
      </c>
      <c r="M180" s="516" t="s">
        <v>58</v>
      </c>
      <c r="N180" s="516"/>
      <c r="O180" s="516" t="s">
        <v>169</v>
      </c>
      <c r="P180" s="516" t="s">
        <v>170</v>
      </c>
      <c r="Q180" s="516" t="s">
        <v>137</v>
      </c>
      <c r="R180" s="516" t="s">
        <v>4</v>
      </c>
      <c r="S180" s="516"/>
      <c r="T180" s="514" t="s">
        <v>352</v>
      </c>
      <c r="U180" s="516">
        <v>4</v>
      </c>
      <c r="V180" s="516">
        <v>2758.16</v>
      </c>
      <c r="W180" s="516" t="s">
        <v>64</v>
      </c>
      <c r="X180" s="516"/>
      <c r="Y180" s="516"/>
      <c r="Z180" s="516"/>
      <c r="AA180" s="516"/>
      <c r="AB180" s="516"/>
      <c r="AC180" s="516"/>
      <c r="AD180" s="516"/>
      <c r="AE180" s="514">
        <f>IFERROR(IF(Хронология[[#This Row],[Забой, м]]-V179&lt;0, 0, Хронология[[#This Row],[Забой, м]]-V179), 0)</f>
        <v>0</v>
      </c>
      <c r="AF180" s="521">
        <f t="shared" si="2"/>
        <v>46183.666666666541</v>
      </c>
      <c r="AG180" s="521">
        <f>Хронология[[#This Row],[Начало]]+Хронология[[#This Row],[Сутки]]</f>
        <v>46183.833333333205</v>
      </c>
      <c r="AH180" s="522">
        <f>Хронология[[#This Row],[Часы]]/24</f>
        <v>0.16666666666666666</v>
      </c>
      <c r="AI180" s="522">
        <f>IFERROR(Хронология[[#This Row],[Сутки]]+AI179, Хронология[[#This Row],[Сутки]])</f>
        <v>38.99999999999995</v>
      </c>
      <c r="AJ180"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ПНВ</v>
      </c>
      <c r="AK180"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v>
      </c>
      <c r="AL180"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4</v>
      </c>
      <c r="AM180" s="527">
        <f>IF(Хронология[[#This Row],[Результат]]="НПВ", Хронология[[#This Row],[Часы]], 0)</f>
        <v>0</v>
      </c>
      <c r="AN180" s="518">
        <f>SUMIFS(Хронология[НПВ], Хронология[Скважина], Хронология[[#This Row],[Скважина]], Хронология[Начало], "&lt;=" &amp; Хронология[[#This Row],[Начало]])</f>
        <v>43</v>
      </c>
      <c r="AO180" s="518">
        <f>SUMIFS(Хронология[ПНВ], Хронология[Скважина], Хронология[[#This Row],[Скважина]], Хронология[Начало], "&lt;=" &amp; Хронология[[#This Row],[Начало]])</f>
        <v>76.819999999999993</v>
      </c>
      <c r="AP180" s="523">
        <f>INT(ROUND(Хронология[[#This Row],[Начало]], 3))</f>
        <v>46183</v>
      </c>
      <c r="AQ180" s="524">
        <f>Хронология[[#This Row],[Начало]]-INT(Хронология[[#This Row],[Начало]])</f>
        <v>0.66666666654055007</v>
      </c>
      <c r="AR180" s="523">
        <f>INT(ROUND(Хронология[[#This Row],[Окончание]], 3))</f>
        <v>46183</v>
      </c>
      <c r="AS180" s="524">
        <f>Хронология[[#This Row],[Окончание]]-INT(Хронология[[#This Row],[Окончание]])</f>
        <v>0.83333333320479142</v>
      </c>
      <c r="AT180" s="524" t="str">
        <f>Хронология[[#This Row],[Мастер]] &amp; CHAR(10) &amp; Хронология[[#This Row],[Помощник мастера]] &amp; CHAR(10) &amp; Хронология[[#This Row],[Бурильщик]]</f>
        <v xml:space="preserve">
Хохряков В.Я.</v>
      </c>
      <c r="AU180"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600 ОК– КРС Глушение Скважина </v>
      </c>
      <c r="AV180" s="518" t="str">
        <f>Хронология[[#This Row],[Результат]]&amp;":  "&amp;Хронология[[#This Row],[Событие]]&amp; CHAR(10) &amp;Хронология[[#This Row],[Вид работ]]&amp;"  "&amp;Хронология[[#This Row],[Объект работ]]</f>
        <v>ПНВ:  
Глушение  Скважина</v>
      </c>
      <c r="AW180" s="601">
        <f>SUMIF($AU$2:AU180, Хронология[[#This Row],[Ключ]], $AH$2:AH180)</f>
        <v>1.1666666666666667</v>
      </c>
      <c r="AX180" s="516" t="str">
        <f>Хронология[[#This Row],[Вид работ]] &amp; " " &amp; Хронология[[#This Row],[Объект работ]]</f>
        <v>Глушение Скважина</v>
      </c>
    </row>
    <row r="181" spans="1:50" ht="50.5" customHeight="1">
      <c r="A181" s="540" t="s">
        <v>50</v>
      </c>
      <c r="B181" s="541" t="s">
        <v>263</v>
      </c>
      <c r="C181" s="541" t="s">
        <v>264</v>
      </c>
      <c r="D181" s="542" t="s">
        <v>265</v>
      </c>
      <c r="E181" s="517" t="s">
        <v>266</v>
      </c>
      <c r="F181" s="515"/>
      <c r="G181" s="517"/>
      <c r="H181" s="517" t="s">
        <v>278</v>
      </c>
      <c r="I181" s="518">
        <v>17</v>
      </c>
      <c r="J181" s="517" t="s">
        <v>353</v>
      </c>
      <c r="K181" s="515"/>
      <c r="L181" s="516" t="s">
        <v>51</v>
      </c>
      <c r="M181" s="516" t="s">
        <v>58</v>
      </c>
      <c r="N181" s="516"/>
      <c r="O181" s="516" t="s">
        <v>169</v>
      </c>
      <c r="P181" s="516" t="s">
        <v>170</v>
      </c>
      <c r="Q181" s="516" t="s">
        <v>137</v>
      </c>
      <c r="R181" s="516" t="s">
        <v>4</v>
      </c>
      <c r="S181" s="516"/>
      <c r="T181" s="514" t="s">
        <v>354</v>
      </c>
      <c r="U181" s="516">
        <v>4</v>
      </c>
      <c r="V181" s="516">
        <v>2758.16</v>
      </c>
      <c r="W181" s="516" t="s">
        <v>64</v>
      </c>
      <c r="X181" s="516"/>
      <c r="Y181" s="516"/>
      <c r="Z181" s="516"/>
      <c r="AA181" s="516"/>
      <c r="AB181" s="516"/>
      <c r="AC181" s="516"/>
      <c r="AD181" s="516"/>
      <c r="AE181" s="514">
        <f>IFERROR(IF(Хронология[[#This Row],[Забой, м]]-V180&lt;0, 0, Хронология[[#This Row],[Забой, м]]-V180), 0)</f>
        <v>0</v>
      </c>
      <c r="AF181" s="521">
        <f t="shared" si="2"/>
        <v>46183.833333333205</v>
      </c>
      <c r="AG181" s="521">
        <f>Хронология[[#This Row],[Начало]]+Хронология[[#This Row],[Сутки]]</f>
        <v>46183.999999999869</v>
      </c>
      <c r="AH181" s="522">
        <f>Хронология[[#This Row],[Часы]]/24</f>
        <v>0.16666666666666666</v>
      </c>
      <c r="AI181" s="522">
        <f>IFERROR(Хронология[[#This Row],[Сутки]]+AI180, Хронология[[#This Row],[Сутки]])</f>
        <v>39.166666666666615</v>
      </c>
      <c r="AJ181"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ПНВ</v>
      </c>
      <c r="AK181"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v>
      </c>
      <c r="AL181"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4</v>
      </c>
      <c r="AM181" s="527">
        <f>IF(Хронология[[#This Row],[Результат]]="НПВ", Хронология[[#This Row],[Часы]], 0)</f>
        <v>0</v>
      </c>
      <c r="AN181" s="518">
        <f>SUMIFS(Хронология[НПВ], Хронология[Скважина], Хронология[[#This Row],[Скважина]], Хронология[Начало], "&lt;=" &amp; Хронология[[#This Row],[Начало]])</f>
        <v>43</v>
      </c>
      <c r="AO181" s="518">
        <f>SUMIFS(Хронология[ПНВ], Хронология[Скважина], Хронология[[#This Row],[Скважина]], Хронология[Начало], "&lt;=" &amp; Хронология[[#This Row],[Начало]])</f>
        <v>80.819999999999993</v>
      </c>
      <c r="AP181" s="523">
        <f>INT(ROUND(Хронология[[#This Row],[Начало]], 3))</f>
        <v>46183</v>
      </c>
      <c r="AQ181" s="524">
        <f>Хронология[[#This Row],[Начало]]-INT(Хронология[[#This Row],[Начало]])</f>
        <v>0.83333333320479142</v>
      </c>
      <c r="AR181" s="523">
        <f>INT(ROUND(Хронология[[#This Row],[Окончание]], 3))</f>
        <v>46184</v>
      </c>
      <c r="AS181" s="524">
        <f>Хронология[[#This Row],[Окончание]]-INT(Хронология[[#This Row],[Окончание]])</f>
        <v>0.99999999986903276</v>
      </c>
      <c r="AT181" s="524" t="str">
        <f>Хронология[[#This Row],[Мастер]] &amp; CHAR(10) &amp; Хронология[[#This Row],[Помощник мастера]] &amp; CHAR(10) &amp; Хронология[[#This Row],[Бурильщик]]</f>
        <v xml:space="preserve">
Хохряков В.Я.</v>
      </c>
      <c r="AU181"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600 ОК– КРС Глушение Скважина </v>
      </c>
      <c r="AV181" s="518" t="str">
        <f>Хронология[[#This Row],[Результат]]&amp;":  "&amp;Хронология[[#This Row],[Событие]]&amp; CHAR(10) &amp;Хронология[[#This Row],[Вид работ]]&amp;"  "&amp;Хронология[[#This Row],[Объект работ]]</f>
        <v>ПНВ:  
Глушение  Скважина</v>
      </c>
      <c r="AW181" s="601">
        <f>SUMIF($AU$2:AU181, Хронология[[#This Row],[Ключ]], $AH$2:AH181)</f>
        <v>1.3333333333333335</v>
      </c>
      <c r="AX181" s="516" t="str">
        <f>Хронология[[#This Row],[Вид работ]] &amp; " " &amp; Хронология[[#This Row],[Объект работ]]</f>
        <v>Глушение Скважина</v>
      </c>
    </row>
    <row r="182" spans="1:50" ht="50.5" customHeight="1">
      <c r="A182" s="540" t="s">
        <v>50</v>
      </c>
      <c r="B182" s="541" t="s">
        <v>263</v>
      </c>
      <c r="C182" s="541" t="s">
        <v>264</v>
      </c>
      <c r="D182" s="542" t="s">
        <v>265</v>
      </c>
      <c r="E182" s="517" t="s">
        <v>266</v>
      </c>
      <c r="F182" s="515" t="s">
        <v>207</v>
      </c>
      <c r="G182" s="517"/>
      <c r="H182" s="517" t="s">
        <v>267</v>
      </c>
      <c r="I182" s="518">
        <v>18</v>
      </c>
      <c r="J182" s="517" t="s">
        <v>355</v>
      </c>
      <c r="K182" s="515"/>
      <c r="L182" s="516" t="s">
        <v>51</v>
      </c>
      <c r="M182" s="516" t="s">
        <v>58</v>
      </c>
      <c r="N182" s="516"/>
      <c r="O182" s="516" t="s">
        <v>169</v>
      </c>
      <c r="P182" s="516" t="s">
        <v>170</v>
      </c>
      <c r="Q182" s="516" t="s">
        <v>137</v>
      </c>
      <c r="R182" s="516" t="s">
        <v>4</v>
      </c>
      <c r="S182" s="516"/>
      <c r="T182" s="514" t="s">
        <v>356</v>
      </c>
      <c r="U182" s="516">
        <v>7</v>
      </c>
      <c r="V182" s="516">
        <v>2758.16</v>
      </c>
      <c r="W182" s="516" t="s">
        <v>64</v>
      </c>
      <c r="X182" s="516"/>
      <c r="Y182" s="516"/>
      <c r="Z182" s="516"/>
      <c r="AA182" s="516"/>
      <c r="AB182" s="516"/>
      <c r="AC182" s="516"/>
      <c r="AD182" s="516"/>
      <c r="AE182" s="514">
        <f>IFERROR(IF(Хронология[[#This Row],[Забой, м]]-V181&lt;0, 0, Хронология[[#This Row],[Забой, м]]-V181), 0)</f>
        <v>0</v>
      </c>
      <c r="AF182" s="521">
        <f t="shared" si="2"/>
        <v>46183.999999999869</v>
      </c>
      <c r="AG182" s="521">
        <f>Хронология[[#This Row],[Начало]]+Хронология[[#This Row],[Сутки]]</f>
        <v>46184.291666666533</v>
      </c>
      <c r="AH182" s="522">
        <f>Хронология[[#This Row],[Часы]]/24</f>
        <v>0.29166666666666669</v>
      </c>
      <c r="AI182" s="522">
        <f>IFERROR(Хронология[[#This Row],[Сутки]]+AI181, Хронология[[#This Row],[Сутки]])</f>
        <v>39.458333333333279</v>
      </c>
      <c r="AJ182"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ПНВ</v>
      </c>
      <c r="AK182"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v>
      </c>
      <c r="AL182"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7</v>
      </c>
      <c r="AM182" s="527">
        <f>IF(Хронология[[#This Row],[Результат]]="НПВ", Хронология[[#This Row],[Часы]], 0)</f>
        <v>0</v>
      </c>
      <c r="AN182" s="518">
        <f>SUMIFS(Хронология[НПВ], Хронология[Скважина], Хронология[[#This Row],[Скважина]], Хронология[Начало], "&lt;=" &amp; Хронология[[#This Row],[Начало]])</f>
        <v>43</v>
      </c>
      <c r="AO182" s="518">
        <f>SUMIFS(Хронология[ПНВ], Хронология[Скважина], Хронология[[#This Row],[Скважина]], Хронология[Начало], "&lt;=" &amp; Хронология[[#This Row],[Начало]])</f>
        <v>87.82</v>
      </c>
      <c r="AP182" s="523">
        <f>INT(ROUND(Хронология[[#This Row],[Начало]], 3))</f>
        <v>46184</v>
      </c>
      <c r="AQ182" s="524">
        <f>Хронология[[#This Row],[Начало]]-INT(Хронология[[#This Row],[Начало]])</f>
        <v>0.99999999986903276</v>
      </c>
      <c r="AR182" s="523">
        <f>INT(ROUND(Хронология[[#This Row],[Окончание]], 3))</f>
        <v>46184</v>
      </c>
      <c r="AS182" s="524">
        <f>Хронология[[#This Row],[Окончание]]-INT(Хронология[[#This Row],[Окончание]])</f>
        <v>0.29166666653327411</v>
      </c>
      <c r="AT182" s="524" t="str">
        <f>Хронология[[#This Row],[Мастер]] &amp; CHAR(10) &amp; Хронология[[#This Row],[Помощник мастера]] &amp; CHAR(10) &amp; Хронология[[#This Row],[Бурильщик]]</f>
        <v>Епифанов Д.Б.
Шипунов С.И.</v>
      </c>
      <c r="AU182"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600 ОК– КРС Глушение Скважина </v>
      </c>
      <c r="AV182" s="518" t="str">
        <f>Хронология[[#This Row],[Результат]]&amp;":  "&amp;Хронология[[#This Row],[Событие]]&amp; CHAR(10) &amp;Хронология[[#This Row],[Вид работ]]&amp;"  "&amp;Хронология[[#This Row],[Объект работ]]</f>
        <v>ПНВ:  
Глушение  Скважина</v>
      </c>
      <c r="AW182" s="601">
        <f>SUMIF($AU$2:AU182, Хронология[[#This Row],[Ключ]], $AH$2:AH182)</f>
        <v>1.6250000000000002</v>
      </c>
      <c r="AX182" s="516" t="str">
        <f>Хронология[[#This Row],[Вид работ]] &amp; " " &amp; Хронология[[#This Row],[Объект работ]]</f>
        <v>Глушение Скважина</v>
      </c>
    </row>
    <row r="183" spans="1:50" ht="50.5" customHeight="1">
      <c r="A183" s="540" t="s">
        <v>50</v>
      </c>
      <c r="B183" s="541" t="s">
        <v>263</v>
      </c>
      <c r="C183" s="541" t="s">
        <v>264</v>
      </c>
      <c r="D183" s="542" t="s">
        <v>265</v>
      </c>
      <c r="E183" s="517" t="s">
        <v>266</v>
      </c>
      <c r="F183" s="515" t="s">
        <v>207</v>
      </c>
      <c r="G183" s="517"/>
      <c r="H183" s="517" t="s">
        <v>278</v>
      </c>
      <c r="I183" s="518">
        <v>18</v>
      </c>
      <c r="J183" s="517" t="s">
        <v>357</v>
      </c>
      <c r="K183" s="515"/>
      <c r="L183" s="516" t="s">
        <v>51</v>
      </c>
      <c r="M183" s="516" t="s">
        <v>58</v>
      </c>
      <c r="N183" s="516"/>
      <c r="O183" s="516" t="s">
        <v>169</v>
      </c>
      <c r="P183" s="516" t="s">
        <v>170</v>
      </c>
      <c r="Q183" s="516" t="s">
        <v>137</v>
      </c>
      <c r="R183" s="516" t="s">
        <v>4</v>
      </c>
      <c r="S183" s="516"/>
      <c r="T183" s="514" t="s">
        <v>358</v>
      </c>
      <c r="U183" s="516">
        <v>5</v>
      </c>
      <c r="V183" s="516">
        <v>2758.16</v>
      </c>
      <c r="W183" s="516" t="s">
        <v>64</v>
      </c>
      <c r="X183" s="516"/>
      <c r="Y183" s="516"/>
      <c r="Z183" s="516"/>
      <c r="AA183" s="516"/>
      <c r="AB183" s="516"/>
      <c r="AC183" s="516"/>
      <c r="AD183" s="516"/>
      <c r="AE183" s="514">
        <f>IFERROR(IF(Хронология[[#This Row],[Забой, м]]-V182&lt;0, 0, Хронология[[#This Row],[Забой, м]]-V182), 0)</f>
        <v>0</v>
      </c>
      <c r="AF183" s="521">
        <f t="shared" si="2"/>
        <v>46184.291666666533</v>
      </c>
      <c r="AG183" s="521">
        <f>Хронология[[#This Row],[Начало]]+Хронология[[#This Row],[Сутки]]</f>
        <v>46184.499999999869</v>
      </c>
      <c r="AH183" s="522">
        <f>Хронология[[#This Row],[Часы]]/24</f>
        <v>0.20833333333333334</v>
      </c>
      <c r="AI183" s="522">
        <f>IFERROR(Хронология[[#This Row],[Сутки]]+AI182, Хронология[[#This Row],[Сутки]])</f>
        <v>39.666666666666615</v>
      </c>
      <c r="AJ183"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ПНВ</v>
      </c>
      <c r="AK183"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v>
      </c>
      <c r="AL183"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5</v>
      </c>
      <c r="AM183" s="527">
        <f>IF(Хронология[[#This Row],[Результат]]="НПВ", Хронология[[#This Row],[Часы]], 0)</f>
        <v>0</v>
      </c>
      <c r="AN183" s="518">
        <f>SUMIFS(Хронология[НПВ], Хронология[Скважина], Хронология[[#This Row],[Скважина]], Хронология[Начало], "&lt;=" &amp; Хронология[[#This Row],[Начало]])</f>
        <v>43</v>
      </c>
      <c r="AO183" s="518">
        <f>SUMIFS(Хронология[ПНВ], Хронология[Скважина], Хронология[[#This Row],[Скважина]], Хронология[Начало], "&lt;=" &amp; Хронология[[#This Row],[Начало]])</f>
        <v>92.82</v>
      </c>
      <c r="AP183" s="523">
        <f>INT(ROUND(Хронология[[#This Row],[Начало]], 3))</f>
        <v>46184</v>
      </c>
      <c r="AQ183" s="524">
        <f>Хронология[[#This Row],[Начало]]-INT(Хронология[[#This Row],[Начало]])</f>
        <v>0.29166666653327411</v>
      </c>
      <c r="AR183" s="523">
        <f>INT(ROUND(Хронология[[#This Row],[Окончание]], 3))</f>
        <v>46184</v>
      </c>
      <c r="AS183" s="524">
        <f>Хронология[[#This Row],[Окончание]]-INT(Хронология[[#This Row],[Окончание]])</f>
        <v>0.49999999986903276</v>
      </c>
      <c r="AT183" s="524" t="str">
        <f>Хронология[[#This Row],[Мастер]] &amp; CHAR(10) &amp; Хронология[[#This Row],[Помощник мастера]] &amp; CHAR(10) &amp; Хронология[[#This Row],[Бурильщик]]</f>
        <v>Епифанов Д.Б.
Хохряков В.Я.</v>
      </c>
      <c r="AU183"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600 ОК– КРС Глушение Скважина </v>
      </c>
      <c r="AV183" s="518" t="str">
        <f>Хронология[[#This Row],[Результат]]&amp;":  "&amp;Хронология[[#This Row],[Событие]]&amp; CHAR(10) &amp;Хронология[[#This Row],[Вид работ]]&amp;"  "&amp;Хронология[[#This Row],[Объект работ]]</f>
        <v>ПНВ:  
Глушение  Скважина</v>
      </c>
      <c r="AW183" s="601">
        <f>SUMIF($AU$2:AU183, Хронология[[#This Row],[Ключ]], $AH$2:AH183)</f>
        <v>1.8333333333333335</v>
      </c>
      <c r="AX183" s="516" t="str">
        <f>Хронология[[#This Row],[Вид работ]] &amp; " " &amp; Хронология[[#This Row],[Объект работ]]</f>
        <v>Глушение Скважина</v>
      </c>
    </row>
    <row r="184" spans="1:50" ht="50.5" customHeight="1">
      <c r="A184" s="540" t="s">
        <v>50</v>
      </c>
      <c r="B184" s="541" t="s">
        <v>263</v>
      </c>
      <c r="C184" s="541" t="s">
        <v>264</v>
      </c>
      <c r="D184" s="542" t="s">
        <v>265</v>
      </c>
      <c r="E184" s="517" t="s">
        <v>266</v>
      </c>
      <c r="F184" s="515" t="s">
        <v>207</v>
      </c>
      <c r="G184" s="517"/>
      <c r="H184" s="517" t="s">
        <v>278</v>
      </c>
      <c r="I184" s="518">
        <v>18</v>
      </c>
      <c r="J184" s="517" t="s">
        <v>359</v>
      </c>
      <c r="K184" s="515"/>
      <c r="L184" s="516" t="s">
        <v>59</v>
      </c>
      <c r="M184" s="516" t="s">
        <v>58</v>
      </c>
      <c r="N184" s="516"/>
      <c r="O184" s="516" t="s">
        <v>169</v>
      </c>
      <c r="P184" s="516" t="s">
        <v>150</v>
      </c>
      <c r="Q184" s="516" t="s">
        <v>86</v>
      </c>
      <c r="R184" s="516" t="s">
        <v>161</v>
      </c>
      <c r="S184" s="516"/>
      <c r="T184" s="514" t="s">
        <v>360</v>
      </c>
      <c r="U184" s="516">
        <v>4</v>
      </c>
      <c r="V184" s="516">
        <v>2758.16</v>
      </c>
      <c r="W184" s="516" t="s">
        <v>64</v>
      </c>
      <c r="X184" s="516"/>
      <c r="Y184" s="516"/>
      <c r="Z184" s="516"/>
      <c r="AA184" s="516"/>
      <c r="AB184" s="516"/>
      <c r="AC184" s="516"/>
      <c r="AD184" s="516"/>
      <c r="AE184" s="514">
        <f>IFERROR(IF(Хронология[[#This Row],[Забой, м]]-V183&lt;0, 0, Хронология[[#This Row],[Забой, м]]-V183), 0)</f>
        <v>0</v>
      </c>
      <c r="AF184" s="521">
        <f t="shared" si="2"/>
        <v>46184.499999999869</v>
      </c>
      <c r="AG184" s="521">
        <f>Хронология[[#This Row],[Начало]]+Хронология[[#This Row],[Сутки]]</f>
        <v>46184.666666666533</v>
      </c>
      <c r="AH184" s="522">
        <f>Хронология[[#This Row],[Часы]]/24</f>
        <v>0.16666666666666666</v>
      </c>
      <c r="AI184" s="522">
        <f>IFERROR(Хронология[[#This Row],[Сутки]]+AI183, Хронология[[#This Row],[Сутки]])</f>
        <v>39.833333333333279</v>
      </c>
      <c r="AJ184"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ПНВ</v>
      </c>
      <c r="AK184"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v>
      </c>
      <c r="AL184"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4</v>
      </c>
      <c r="AM184" s="527">
        <f>IF(Хронология[[#This Row],[Результат]]="НПВ", Хронология[[#This Row],[Часы]], 0)</f>
        <v>0</v>
      </c>
      <c r="AN184" s="518">
        <f>SUMIFS(Хронология[НПВ], Хронология[Скважина], Хронология[[#This Row],[Скважина]], Хронология[Начало], "&lt;=" &amp; Хронология[[#This Row],[Начало]])</f>
        <v>43</v>
      </c>
      <c r="AO184" s="518">
        <f>SUMIFS(Хронология[ПНВ], Хронология[Скважина], Хронология[[#This Row],[Скважина]], Хронология[Начало], "&lt;=" &amp; Хронология[[#This Row],[Начало]])</f>
        <v>96.82</v>
      </c>
      <c r="AP184" s="523">
        <f>INT(ROUND(Хронология[[#This Row],[Начало]], 3))</f>
        <v>46184</v>
      </c>
      <c r="AQ184" s="524">
        <f>Хронология[[#This Row],[Начало]]-INT(Хронология[[#This Row],[Начало]])</f>
        <v>0.49999999986903276</v>
      </c>
      <c r="AR184" s="523">
        <f>INT(ROUND(Хронология[[#This Row],[Окончание]], 3))</f>
        <v>46184</v>
      </c>
      <c r="AS184" s="524">
        <f>Хронология[[#This Row],[Окончание]]-INT(Хронология[[#This Row],[Окончание]])</f>
        <v>0.66666666653327411</v>
      </c>
      <c r="AT184" s="524" t="str">
        <f>Хронология[[#This Row],[Мастер]] &amp; CHAR(10) &amp; Хронология[[#This Row],[Помощник мастера]] &amp; CHAR(10) &amp; Хронология[[#This Row],[Бурильщик]]</f>
        <v>Епифанов Д.Б.
Хохряков В.Я.</v>
      </c>
      <c r="AU184"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600 ОК– ПР Опрессовка ПВО </v>
      </c>
      <c r="AV184" s="518" t="str">
        <f>Хронология[[#This Row],[Результат]]&amp;":  "&amp;Хронология[[#This Row],[Событие]]&amp; CHAR(10) &amp;Хронология[[#This Row],[Вид работ]]&amp;"  "&amp;Хронология[[#This Row],[Объект работ]]</f>
        <v>ПНВ:  
Опрессовка  ПВО</v>
      </c>
      <c r="AW184" s="601">
        <f>SUMIF($AU$2:AU184, Хронология[[#This Row],[Ключ]], $AH$2:AH184)</f>
        <v>0.16666666666666666</v>
      </c>
      <c r="AX184" s="516" t="str">
        <f>Хронология[[#This Row],[Вид работ]] &amp; " " &amp; Хронология[[#This Row],[Объект работ]]</f>
        <v>Опрессовка ПВО</v>
      </c>
    </row>
    <row r="185" spans="1:50" ht="50.5" customHeight="1">
      <c r="A185" s="540" t="s">
        <v>50</v>
      </c>
      <c r="B185" s="541" t="s">
        <v>263</v>
      </c>
      <c r="C185" s="541" t="s">
        <v>264</v>
      </c>
      <c r="D185" s="542" t="s">
        <v>265</v>
      </c>
      <c r="E185" s="517" t="s">
        <v>266</v>
      </c>
      <c r="F185" s="515" t="s">
        <v>207</v>
      </c>
      <c r="G185" s="517"/>
      <c r="H185" s="517" t="s">
        <v>278</v>
      </c>
      <c r="I185" s="518">
        <v>18</v>
      </c>
      <c r="J185" s="517" t="s">
        <v>361</v>
      </c>
      <c r="K185" s="515"/>
      <c r="L185" s="516" t="s">
        <v>51</v>
      </c>
      <c r="M185" s="516" t="s">
        <v>58</v>
      </c>
      <c r="N185" s="516"/>
      <c r="O185" s="516" t="s">
        <v>169</v>
      </c>
      <c r="P185" s="516" t="s">
        <v>170</v>
      </c>
      <c r="Q185" s="516" t="s">
        <v>137</v>
      </c>
      <c r="R185" s="516" t="s">
        <v>4</v>
      </c>
      <c r="S185" s="516"/>
      <c r="T185" s="514" t="s">
        <v>362</v>
      </c>
      <c r="U185" s="516">
        <v>4</v>
      </c>
      <c r="V185" s="516">
        <v>2758.16</v>
      </c>
      <c r="W185" s="516" t="s">
        <v>64</v>
      </c>
      <c r="X185" s="516"/>
      <c r="Y185" s="516"/>
      <c r="Z185" s="516"/>
      <c r="AA185" s="516"/>
      <c r="AB185" s="516"/>
      <c r="AC185" s="516"/>
      <c r="AD185" s="516"/>
      <c r="AE185" s="514">
        <f>IFERROR(IF(Хронология[[#This Row],[Забой, м]]-V184&lt;0, 0, Хронология[[#This Row],[Забой, м]]-V184), 0)</f>
        <v>0</v>
      </c>
      <c r="AF185" s="521">
        <f t="shared" si="2"/>
        <v>46184.666666666533</v>
      </c>
      <c r="AG185" s="521">
        <f>Хронология[[#This Row],[Начало]]+Хронология[[#This Row],[Сутки]]</f>
        <v>46184.833333333198</v>
      </c>
      <c r="AH185" s="522">
        <f>Хронология[[#This Row],[Часы]]/24</f>
        <v>0.16666666666666666</v>
      </c>
      <c r="AI185" s="522">
        <f>IFERROR(Хронология[[#This Row],[Сутки]]+AI184, Хронология[[#This Row],[Сутки]])</f>
        <v>39.999999999999943</v>
      </c>
      <c r="AJ185"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ПНВ</v>
      </c>
      <c r="AK185"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v>
      </c>
      <c r="AL185"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4</v>
      </c>
      <c r="AM185" s="527">
        <f>IF(Хронология[[#This Row],[Результат]]="НПВ", Хронология[[#This Row],[Часы]], 0)</f>
        <v>0</v>
      </c>
      <c r="AN185" s="518">
        <f>SUMIFS(Хронология[НПВ], Хронология[Скважина], Хронология[[#This Row],[Скважина]], Хронология[Начало], "&lt;=" &amp; Хронология[[#This Row],[Начало]])</f>
        <v>43</v>
      </c>
      <c r="AO185" s="518">
        <f>SUMIFS(Хронология[ПНВ], Хронология[Скважина], Хронология[[#This Row],[Скважина]], Хронология[Начало], "&lt;=" &amp; Хронология[[#This Row],[Начало]])</f>
        <v>100.82</v>
      </c>
      <c r="AP185" s="523">
        <f>INT(ROUND(Хронология[[#This Row],[Начало]], 3))</f>
        <v>46184</v>
      </c>
      <c r="AQ185" s="524">
        <f>Хронология[[#This Row],[Начало]]-INT(Хронология[[#This Row],[Начало]])</f>
        <v>0.66666666653327411</v>
      </c>
      <c r="AR185" s="523">
        <f>INT(ROUND(Хронология[[#This Row],[Окончание]], 3))</f>
        <v>46184</v>
      </c>
      <c r="AS185" s="524">
        <f>Хронология[[#This Row],[Окончание]]-INT(Хронология[[#This Row],[Окончание]])</f>
        <v>0.83333333319751546</v>
      </c>
      <c r="AT185" s="524" t="str">
        <f>Хронология[[#This Row],[Мастер]] &amp; CHAR(10) &amp; Хронология[[#This Row],[Помощник мастера]] &amp; CHAR(10) &amp; Хронология[[#This Row],[Бурильщик]]</f>
        <v>Епифанов Д.Б.
Хохряков В.Я.</v>
      </c>
      <c r="AU185"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600 ОК– КРС Глушение Скважина </v>
      </c>
      <c r="AV185" s="518" t="str">
        <f>Хронология[[#This Row],[Результат]]&amp;":  "&amp;Хронология[[#This Row],[Событие]]&amp; CHAR(10) &amp;Хронология[[#This Row],[Вид работ]]&amp;"  "&amp;Хронология[[#This Row],[Объект работ]]</f>
        <v>ПНВ:  
Глушение  Скважина</v>
      </c>
      <c r="AW185" s="601">
        <f>SUMIF($AU$2:AU185, Хронология[[#This Row],[Ключ]], $AH$2:AH185)</f>
        <v>2</v>
      </c>
      <c r="AX185" s="516" t="str">
        <f>Хронология[[#This Row],[Вид работ]] &amp; " " &amp; Хронология[[#This Row],[Объект работ]]</f>
        <v>Глушение Скважина</v>
      </c>
    </row>
    <row r="186" spans="1:50" ht="50.5" customHeight="1">
      <c r="A186" s="540" t="s">
        <v>50</v>
      </c>
      <c r="B186" s="541" t="s">
        <v>263</v>
      </c>
      <c r="C186" s="541" t="s">
        <v>264</v>
      </c>
      <c r="D186" s="542" t="s">
        <v>265</v>
      </c>
      <c r="E186" s="517" t="s">
        <v>266</v>
      </c>
      <c r="F186" s="515" t="s">
        <v>207</v>
      </c>
      <c r="G186" s="517"/>
      <c r="H186" s="517" t="s">
        <v>278</v>
      </c>
      <c r="I186" s="518">
        <v>18</v>
      </c>
      <c r="J186" s="517" t="s">
        <v>363</v>
      </c>
      <c r="K186" s="515"/>
      <c r="L186" s="516" t="s">
        <v>51</v>
      </c>
      <c r="M186" s="516" t="s">
        <v>58</v>
      </c>
      <c r="N186" s="516"/>
      <c r="O186" s="516" t="s">
        <v>169</v>
      </c>
      <c r="P186" s="516" t="s">
        <v>170</v>
      </c>
      <c r="Q186" s="516" t="s">
        <v>137</v>
      </c>
      <c r="R186" s="516" t="s">
        <v>4</v>
      </c>
      <c r="S186" s="516"/>
      <c r="T186" s="514" t="s">
        <v>364</v>
      </c>
      <c r="U186" s="516">
        <v>4</v>
      </c>
      <c r="V186" s="516">
        <v>2758.16</v>
      </c>
      <c r="W186" s="516" t="s">
        <v>64</v>
      </c>
      <c r="X186" s="516"/>
      <c r="Y186" s="516"/>
      <c r="Z186" s="516"/>
      <c r="AA186" s="516"/>
      <c r="AB186" s="516"/>
      <c r="AC186" s="516"/>
      <c r="AD186" s="516"/>
      <c r="AE186" s="514">
        <f>IFERROR(IF(Хронология[[#This Row],[Забой, м]]-V185&lt;0, 0, Хронология[[#This Row],[Забой, м]]-V185), 0)</f>
        <v>0</v>
      </c>
      <c r="AF186" s="521">
        <f t="shared" si="2"/>
        <v>46184.833333333198</v>
      </c>
      <c r="AG186" s="521">
        <f>Хронология[[#This Row],[Начало]]+Хронология[[#This Row],[Сутки]]</f>
        <v>46184.999999999862</v>
      </c>
      <c r="AH186" s="522">
        <f>Хронология[[#This Row],[Часы]]/24</f>
        <v>0.16666666666666666</v>
      </c>
      <c r="AI186" s="522">
        <f>IFERROR(Хронология[[#This Row],[Сутки]]+AI185, Хронология[[#This Row],[Сутки]])</f>
        <v>40.166666666666607</v>
      </c>
      <c r="AJ186"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ПНВ</v>
      </c>
      <c r="AK186"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v>
      </c>
      <c r="AL186"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4</v>
      </c>
      <c r="AM186" s="527">
        <f>IF(Хронология[[#This Row],[Результат]]="НПВ", Хронология[[#This Row],[Часы]], 0)</f>
        <v>0</v>
      </c>
      <c r="AN186" s="518">
        <f>SUMIFS(Хронология[НПВ], Хронология[Скважина], Хронология[[#This Row],[Скважина]], Хронология[Начало], "&lt;=" &amp; Хронология[[#This Row],[Начало]])</f>
        <v>43</v>
      </c>
      <c r="AO186" s="518">
        <f>SUMIFS(Хронология[ПНВ], Хронология[Скважина], Хронология[[#This Row],[Скважина]], Хронология[Начало], "&lt;=" &amp; Хронология[[#This Row],[Начало]])</f>
        <v>104.82</v>
      </c>
      <c r="AP186" s="523">
        <f>INT(ROUND(Хронология[[#This Row],[Начало]], 3))</f>
        <v>46184</v>
      </c>
      <c r="AQ186" s="524">
        <f>Хронология[[#This Row],[Начало]]-INT(Хронология[[#This Row],[Начало]])</f>
        <v>0.83333333319751546</v>
      </c>
      <c r="AR186" s="523">
        <f>INT(ROUND(Хронология[[#This Row],[Окончание]], 3))</f>
        <v>46185</v>
      </c>
      <c r="AS186" s="524">
        <f>Хронология[[#This Row],[Окончание]]-INT(Хронология[[#This Row],[Окончание]])</f>
        <v>0.99999999986175681</v>
      </c>
      <c r="AT186" s="524" t="str">
        <f>Хронология[[#This Row],[Мастер]] &amp; CHAR(10) &amp; Хронология[[#This Row],[Помощник мастера]] &amp; CHAR(10) &amp; Хронология[[#This Row],[Бурильщик]]</f>
        <v>Епифанов Д.Б.
Хохряков В.Я.</v>
      </c>
      <c r="AU186"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600 ОК– КРС Глушение Скважина </v>
      </c>
      <c r="AV186" s="518" t="str">
        <f>Хронология[[#This Row],[Результат]]&amp;":  "&amp;Хронология[[#This Row],[Событие]]&amp; CHAR(10) &amp;Хронология[[#This Row],[Вид работ]]&amp;"  "&amp;Хронология[[#This Row],[Объект работ]]</f>
        <v>ПНВ:  
Глушение  Скважина</v>
      </c>
      <c r="AW186" s="601">
        <f>SUMIF($AU$2:AU186, Хронология[[#This Row],[Ключ]], $AH$2:AH186)</f>
        <v>2.1666666666666665</v>
      </c>
      <c r="AX186" s="516" t="str">
        <f>Хронология[[#This Row],[Вид работ]] &amp; " " &amp; Хронология[[#This Row],[Объект работ]]</f>
        <v>Глушение Скважина</v>
      </c>
    </row>
    <row r="187" spans="1:50" ht="50.5" customHeight="1">
      <c r="A187" s="540" t="s">
        <v>50</v>
      </c>
      <c r="B187" s="541" t="s">
        <v>263</v>
      </c>
      <c r="C187" s="541" t="s">
        <v>264</v>
      </c>
      <c r="D187" s="542" t="s">
        <v>265</v>
      </c>
      <c r="E187" s="517" t="s">
        <v>266</v>
      </c>
      <c r="F187" s="515"/>
      <c r="G187" s="517"/>
      <c r="H187" s="517" t="s">
        <v>267</v>
      </c>
      <c r="I187" s="518">
        <v>19</v>
      </c>
      <c r="J187" s="517" t="s">
        <v>365</v>
      </c>
      <c r="K187" s="515"/>
      <c r="L187" s="516" t="s">
        <v>59</v>
      </c>
      <c r="M187" s="516" t="s">
        <v>58</v>
      </c>
      <c r="N187" s="516"/>
      <c r="O187" s="516" t="s">
        <v>169</v>
      </c>
      <c r="P187" s="516" t="s">
        <v>293</v>
      </c>
      <c r="Q187" s="516" t="s">
        <v>137</v>
      </c>
      <c r="R187" s="516" t="s">
        <v>294</v>
      </c>
      <c r="S187" s="516"/>
      <c r="T187" s="514" t="s">
        <v>366</v>
      </c>
      <c r="U187" s="516">
        <v>7</v>
      </c>
      <c r="V187" s="516">
        <v>2758.16</v>
      </c>
      <c r="W187" s="516" t="s">
        <v>64</v>
      </c>
      <c r="X187" s="516"/>
      <c r="Y187" s="516"/>
      <c r="Z187" s="516"/>
      <c r="AA187" s="516"/>
      <c r="AB187" s="516"/>
      <c r="AC187" s="516"/>
      <c r="AD187" s="516"/>
      <c r="AE187" s="514">
        <f>IFERROR(IF(Хронология[[#This Row],[Забой, м]]-V186&lt;0, 0, Хронология[[#This Row],[Забой, м]]-V186), 0)</f>
        <v>0</v>
      </c>
      <c r="AF187" s="521">
        <f t="shared" si="2"/>
        <v>46184.999999999862</v>
      </c>
      <c r="AG187" s="521">
        <f>Хронология[[#This Row],[Начало]]+Хронология[[#This Row],[Сутки]]</f>
        <v>46185.291666666526</v>
      </c>
      <c r="AH187" s="522">
        <f>Хронология[[#This Row],[Часы]]/24</f>
        <v>0.29166666666666669</v>
      </c>
      <c r="AI187" s="522">
        <f>IFERROR(Хронология[[#This Row],[Сутки]]+AI186, Хронология[[#This Row],[Сутки]])</f>
        <v>40.458333333333272</v>
      </c>
      <c r="AJ187"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ПВ</v>
      </c>
      <c r="AK187"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7</v>
      </c>
      <c r="AL187"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v>
      </c>
      <c r="AM187" s="527">
        <f>IF(Хронология[[#This Row],[Результат]]="НПВ", Хронология[[#This Row],[Часы]], 0)</f>
        <v>0</v>
      </c>
      <c r="AN187" s="518">
        <f>SUMIFS(Хронология[НПВ], Хронология[Скважина], Хронология[[#This Row],[Скважина]], Хронология[Начало], "&lt;=" &amp; Хронология[[#This Row],[Начало]])</f>
        <v>43</v>
      </c>
      <c r="AO187" s="518">
        <f>SUMIFS(Хронология[ПНВ], Хронология[Скважина], Хронология[[#This Row],[Скважина]], Хронология[Начало], "&lt;=" &amp; Хронология[[#This Row],[Начало]])</f>
        <v>104.82</v>
      </c>
      <c r="AP187" s="523">
        <f>INT(ROUND(Хронология[[#This Row],[Начало]], 3))</f>
        <v>46185</v>
      </c>
      <c r="AQ187" s="524">
        <f>Хронология[[#This Row],[Начало]]-INT(Хронология[[#This Row],[Начало]])</f>
        <v>0.99999999986175681</v>
      </c>
      <c r="AR187" s="523">
        <f>INT(ROUND(Хронология[[#This Row],[Окончание]], 3))</f>
        <v>46185</v>
      </c>
      <c r="AS187" s="524">
        <f>Хронология[[#This Row],[Окончание]]-INT(Хронология[[#This Row],[Окончание]])</f>
        <v>0.29166666652599815</v>
      </c>
      <c r="AT187" s="524" t="str">
        <f>Хронология[[#This Row],[Мастер]] &amp; CHAR(10) &amp; Хронология[[#This Row],[Помощник мастера]] &amp; CHAR(10) &amp; Хронология[[#This Row],[Бурильщик]]</f>
        <v xml:space="preserve">
Шипунов С.И.</v>
      </c>
      <c r="AU187"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600 ОК– ПР Приготовление раствора Раствор глушения </v>
      </c>
      <c r="AV187" s="518" t="str">
        <f>Хронология[[#This Row],[Результат]]&amp;":  "&amp;Хронология[[#This Row],[Событие]]&amp; CHAR(10) &amp;Хронология[[#This Row],[Вид работ]]&amp;"  "&amp;Хронология[[#This Row],[Объект работ]]</f>
        <v>ПВ:  
Приготовление раствора  Раствор глушения</v>
      </c>
      <c r="AW187" s="601">
        <f>SUMIF($AU$2:AU187, Хронология[[#This Row],[Ключ]], $AH$2:AH187)</f>
        <v>1.9583333333333333</v>
      </c>
      <c r="AX187" s="516" t="str">
        <f>Хронология[[#This Row],[Вид работ]] &amp; " " &amp; Хронология[[#This Row],[Объект работ]]</f>
        <v>Приготовление раствора Раствор глушения</v>
      </c>
    </row>
    <row r="188" spans="1:50" ht="50.5" customHeight="1">
      <c r="A188" s="540" t="s">
        <v>50</v>
      </c>
      <c r="B188" s="541" t="s">
        <v>263</v>
      </c>
      <c r="C188" s="541" t="s">
        <v>264</v>
      </c>
      <c r="D188" s="542" t="s">
        <v>265</v>
      </c>
      <c r="E188" s="517" t="s">
        <v>266</v>
      </c>
      <c r="F188" s="515"/>
      <c r="G188" s="517"/>
      <c r="H188" s="517" t="s">
        <v>278</v>
      </c>
      <c r="I188" s="518">
        <v>19</v>
      </c>
      <c r="J188" s="517" t="s">
        <v>367</v>
      </c>
      <c r="K188" s="515"/>
      <c r="L188" s="516" t="s">
        <v>59</v>
      </c>
      <c r="M188" s="516" t="s">
        <v>58</v>
      </c>
      <c r="N188" s="516"/>
      <c r="O188" s="516" t="s">
        <v>169</v>
      </c>
      <c r="P188" s="516" t="s">
        <v>293</v>
      </c>
      <c r="Q188" s="516" t="s">
        <v>137</v>
      </c>
      <c r="R188" s="516" t="s">
        <v>294</v>
      </c>
      <c r="S188" s="516"/>
      <c r="T188" s="514" t="s">
        <v>368</v>
      </c>
      <c r="U188" s="516">
        <v>5</v>
      </c>
      <c r="V188" s="516">
        <v>2758.16</v>
      </c>
      <c r="W188" s="516" t="s">
        <v>64</v>
      </c>
      <c r="X188" s="516"/>
      <c r="Y188" s="516"/>
      <c r="Z188" s="516"/>
      <c r="AA188" s="516"/>
      <c r="AB188" s="516"/>
      <c r="AC188" s="516"/>
      <c r="AD188" s="516"/>
      <c r="AE188" s="514">
        <f>IFERROR(IF(Хронология[[#This Row],[Забой, м]]-V187&lt;0, 0, Хронология[[#This Row],[Забой, м]]-V187), 0)</f>
        <v>0</v>
      </c>
      <c r="AF188" s="521">
        <f t="shared" si="2"/>
        <v>46185.291666666526</v>
      </c>
      <c r="AG188" s="521">
        <f>Хронология[[#This Row],[Начало]]+Хронология[[#This Row],[Сутки]]</f>
        <v>46185.499999999862</v>
      </c>
      <c r="AH188" s="522">
        <f>Хронология[[#This Row],[Часы]]/24</f>
        <v>0.20833333333333334</v>
      </c>
      <c r="AI188" s="522">
        <f>IFERROR(Хронология[[#This Row],[Сутки]]+AI187, Хронология[[#This Row],[Сутки]])</f>
        <v>40.666666666666607</v>
      </c>
      <c r="AJ188"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ПВ</v>
      </c>
      <c r="AK188"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5</v>
      </c>
      <c r="AL188"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v>
      </c>
      <c r="AM188" s="527">
        <f>IF(Хронология[[#This Row],[Результат]]="НПВ", Хронология[[#This Row],[Часы]], 0)</f>
        <v>0</v>
      </c>
      <c r="AN188" s="518">
        <f>SUMIFS(Хронология[НПВ], Хронология[Скважина], Хронология[[#This Row],[Скважина]], Хронология[Начало], "&lt;=" &amp; Хронология[[#This Row],[Начало]])</f>
        <v>43</v>
      </c>
      <c r="AO188" s="518">
        <f>SUMIFS(Хронология[ПНВ], Хронология[Скважина], Хронология[[#This Row],[Скважина]], Хронология[Начало], "&lt;=" &amp; Хронология[[#This Row],[Начало]])</f>
        <v>104.82</v>
      </c>
      <c r="AP188" s="523">
        <f>INT(ROUND(Хронология[[#This Row],[Начало]], 3))</f>
        <v>46185</v>
      </c>
      <c r="AQ188" s="524">
        <f>Хронология[[#This Row],[Начало]]-INT(Хронология[[#This Row],[Начало]])</f>
        <v>0.29166666652599815</v>
      </c>
      <c r="AR188" s="523">
        <f>INT(ROUND(Хронология[[#This Row],[Окончание]], 3))</f>
        <v>46185</v>
      </c>
      <c r="AS188" s="524">
        <f>Хронология[[#This Row],[Окончание]]-INT(Хронология[[#This Row],[Окончание]])</f>
        <v>0.49999999986175681</v>
      </c>
      <c r="AT188" s="524" t="str">
        <f>Хронология[[#This Row],[Мастер]] &amp; CHAR(10) &amp; Хронология[[#This Row],[Помощник мастера]] &amp; CHAR(10) &amp; Хронология[[#This Row],[Бурильщик]]</f>
        <v xml:space="preserve">
Хохряков В.Я.</v>
      </c>
      <c r="AU188"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600 ОК– ПР Приготовление раствора Раствор глушения </v>
      </c>
      <c r="AV188" s="518" t="str">
        <f>Хронология[[#This Row],[Результат]]&amp;":  "&amp;Хронология[[#This Row],[Событие]]&amp; CHAR(10) &amp;Хронология[[#This Row],[Вид работ]]&amp;"  "&amp;Хронология[[#This Row],[Объект работ]]</f>
        <v>ПВ:  
Приготовление раствора  Раствор глушения</v>
      </c>
      <c r="AW188" s="601">
        <f>SUMIF($AU$2:AU188, Хронология[[#This Row],[Ключ]], $AH$2:AH188)</f>
        <v>2.1666666666666665</v>
      </c>
      <c r="AX188" s="516" t="str">
        <f>Хронология[[#This Row],[Вид работ]] &amp; " " &amp; Хронология[[#This Row],[Объект работ]]</f>
        <v>Приготовление раствора Раствор глушения</v>
      </c>
    </row>
    <row r="189" spans="1:50" ht="50.5" customHeight="1">
      <c r="A189" s="540" t="s">
        <v>50</v>
      </c>
      <c r="B189" s="541" t="s">
        <v>263</v>
      </c>
      <c r="C189" s="541" t="s">
        <v>264</v>
      </c>
      <c r="D189" s="542" t="s">
        <v>265</v>
      </c>
      <c r="E189" s="517" t="s">
        <v>266</v>
      </c>
      <c r="F189" s="515"/>
      <c r="G189" s="517"/>
      <c r="H189" s="517" t="s">
        <v>278</v>
      </c>
      <c r="I189" s="518">
        <v>19</v>
      </c>
      <c r="J189" s="517" t="s">
        <v>369</v>
      </c>
      <c r="K189" s="515"/>
      <c r="L189" s="516" t="s">
        <v>59</v>
      </c>
      <c r="M189" s="516" t="s">
        <v>58</v>
      </c>
      <c r="N189" s="516"/>
      <c r="O189" s="516" t="s">
        <v>169</v>
      </c>
      <c r="P189" s="516" t="s">
        <v>293</v>
      </c>
      <c r="Q189" s="516" t="s">
        <v>137</v>
      </c>
      <c r="R189" s="516" t="s">
        <v>294</v>
      </c>
      <c r="S189" s="516"/>
      <c r="T189" s="514" t="s">
        <v>301</v>
      </c>
      <c r="U189" s="516">
        <v>4</v>
      </c>
      <c r="V189" s="516">
        <v>2758.16</v>
      </c>
      <c r="W189" s="516" t="s">
        <v>64</v>
      </c>
      <c r="X189" s="516"/>
      <c r="Y189" s="516"/>
      <c r="Z189" s="516"/>
      <c r="AA189" s="516"/>
      <c r="AB189" s="516"/>
      <c r="AC189" s="516"/>
      <c r="AD189" s="516"/>
      <c r="AE189" s="514">
        <f>IFERROR(IF(Хронология[[#This Row],[Забой, м]]-V188&lt;0, 0, Хронология[[#This Row],[Забой, м]]-V188), 0)</f>
        <v>0</v>
      </c>
      <c r="AF189" s="521">
        <f t="shared" si="2"/>
        <v>46185.499999999862</v>
      </c>
      <c r="AG189" s="521">
        <f>Хронология[[#This Row],[Начало]]+Хронология[[#This Row],[Сутки]]</f>
        <v>46185.666666666526</v>
      </c>
      <c r="AH189" s="522">
        <f>Хронология[[#This Row],[Часы]]/24</f>
        <v>0.16666666666666666</v>
      </c>
      <c r="AI189" s="522">
        <f>IFERROR(Хронология[[#This Row],[Сутки]]+AI188, Хронология[[#This Row],[Сутки]])</f>
        <v>40.833333333333272</v>
      </c>
      <c r="AJ189"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ПНВ</v>
      </c>
      <c r="AK189"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0.67000000000000171</v>
      </c>
      <c r="AL189"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3.3299999999999983</v>
      </c>
      <c r="AM189" s="527">
        <f>IF(Хронология[[#This Row],[Результат]]="НПВ", Хронология[[#This Row],[Часы]], 0)</f>
        <v>0</v>
      </c>
      <c r="AN189" s="518">
        <f>SUMIFS(Хронология[НПВ], Хронология[Скважина], Хронология[[#This Row],[Скважина]], Хронология[Начало], "&lt;=" &amp; Хронология[[#This Row],[Начало]])</f>
        <v>43</v>
      </c>
      <c r="AO189" s="518">
        <f>SUMIFS(Хронология[ПНВ], Хронология[Скважина], Хронология[[#This Row],[Скважина]], Хронология[Начало], "&lt;=" &amp; Хронология[[#This Row],[Начало]])</f>
        <v>108.14999999999999</v>
      </c>
      <c r="AP189" s="523">
        <f>INT(ROUND(Хронология[[#This Row],[Начало]], 3))</f>
        <v>46185</v>
      </c>
      <c r="AQ189" s="524">
        <f>Хронология[[#This Row],[Начало]]-INT(Хронология[[#This Row],[Начало]])</f>
        <v>0.49999999986175681</v>
      </c>
      <c r="AR189" s="523">
        <f>INT(ROUND(Хронология[[#This Row],[Окончание]], 3))</f>
        <v>46185</v>
      </c>
      <c r="AS189" s="524">
        <f>Хронология[[#This Row],[Окончание]]-INT(Хронология[[#This Row],[Окончание]])</f>
        <v>0.66666666652599815</v>
      </c>
      <c r="AT189" s="524" t="str">
        <f>Хронология[[#This Row],[Мастер]] &amp; CHAR(10) &amp; Хронология[[#This Row],[Помощник мастера]] &amp; CHAR(10) &amp; Хронология[[#This Row],[Бурильщик]]</f>
        <v xml:space="preserve">
Хохряков В.Я.</v>
      </c>
      <c r="AU189"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600 ОК– ПР Приготовление раствора Раствор глушения </v>
      </c>
      <c r="AV189" s="518" t="str">
        <f>Хронология[[#This Row],[Результат]]&amp;":  "&amp;Хронология[[#This Row],[Событие]]&amp; CHAR(10) &amp;Хронология[[#This Row],[Вид работ]]&amp;"  "&amp;Хронология[[#This Row],[Объект работ]]</f>
        <v>ПНВ:  
Приготовление раствора  Раствор глушения</v>
      </c>
      <c r="AW189" s="601">
        <f>SUMIF($AU$2:AU189, Хронология[[#This Row],[Ключ]], $AH$2:AH189)</f>
        <v>2.333333333333333</v>
      </c>
      <c r="AX189" s="516" t="str">
        <f>Хронология[[#This Row],[Вид работ]] &amp; " " &amp; Хронология[[#This Row],[Объект работ]]</f>
        <v>Приготовление раствора Раствор глушения</v>
      </c>
    </row>
    <row r="190" spans="1:50" ht="50.5" customHeight="1">
      <c r="A190" s="540" t="s">
        <v>50</v>
      </c>
      <c r="B190" s="541" t="s">
        <v>263</v>
      </c>
      <c r="C190" s="541" t="s">
        <v>264</v>
      </c>
      <c r="D190" s="542" t="s">
        <v>265</v>
      </c>
      <c r="E190" s="517" t="s">
        <v>266</v>
      </c>
      <c r="F190" s="515"/>
      <c r="G190" s="517"/>
      <c r="H190" s="517" t="s">
        <v>278</v>
      </c>
      <c r="I190" s="518">
        <v>19</v>
      </c>
      <c r="J190" s="517" t="s">
        <v>370</v>
      </c>
      <c r="K190" s="515"/>
      <c r="L190" s="516" t="s">
        <v>59</v>
      </c>
      <c r="M190" s="516" t="s">
        <v>58</v>
      </c>
      <c r="N190" s="516"/>
      <c r="O190" s="516" t="s">
        <v>169</v>
      </c>
      <c r="P190" s="516" t="s">
        <v>293</v>
      </c>
      <c r="Q190" s="516" t="s">
        <v>137</v>
      </c>
      <c r="R190" s="516" t="s">
        <v>294</v>
      </c>
      <c r="S190" s="516"/>
      <c r="T190" s="514" t="s">
        <v>371</v>
      </c>
      <c r="U190" s="516">
        <v>4</v>
      </c>
      <c r="V190" s="516">
        <v>2758.16</v>
      </c>
      <c r="W190" s="516" t="s">
        <v>64</v>
      </c>
      <c r="X190" s="516"/>
      <c r="Y190" s="516"/>
      <c r="Z190" s="516"/>
      <c r="AA190" s="516"/>
      <c r="AB190" s="516"/>
      <c r="AC190" s="516"/>
      <c r="AD190" s="516"/>
      <c r="AE190" s="514">
        <f>IFERROR(IF(Хронология[[#This Row],[Забой, м]]-V189&lt;0, 0, Хронология[[#This Row],[Забой, м]]-V189), 0)</f>
        <v>0</v>
      </c>
      <c r="AF190" s="521">
        <f t="shared" si="2"/>
        <v>46185.666666666526</v>
      </c>
      <c r="AG190" s="521">
        <f>Хронология[[#This Row],[Начало]]+Хронология[[#This Row],[Сутки]]</f>
        <v>46185.83333333319</v>
      </c>
      <c r="AH190" s="522">
        <f>Хронология[[#This Row],[Часы]]/24</f>
        <v>0.16666666666666666</v>
      </c>
      <c r="AI190" s="522">
        <f>IFERROR(Хронология[[#This Row],[Сутки]]+AI189, Хронология[[#This Row],[Сутки]])</f>
        <v>40.999999999999936</v>
      </c>
      <c r="AJ190"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ПНВ</v>
      </c>
      <c r="AK190"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v>
      </c>
      <c r="AL190"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4</v>
      </c>
      <c r="AM190" s="527">
        <f>IF(Хронология[[#This Row],[Результат]]="НПВ", Хронология[[#This Row],[Часы]], 0)</f>
        <v>0</v>
      </c>
      <c r="AN190" s="518">
        <f>SUMIFS(Хронология[НПВ], Хронология[Скважина], Хронология[[#This Row],[Скважина]], Хронология[Начало], "&lt;=" &amp; Хронология[[#This Row],[Начало]])</f>
        <v>43</v>
      </c>
      <c r="AO190" s="518">
        <f>SUMIFS(Хронология[ПНВ], Хронология[Скважина], Хронология[[#This Row],[Скважина]], Хронология[Начало], "&lt;=" &amp; Хронология[[#This Row],[Начало]])</f>
        <v>112.14999999999999</v>
      </c>
      <c r="AP190" s="523">
        <f>INT(ROUND(Хронология[[#This Row],[Начало]], 3))</f>
        <v>46185</v>
      </c>
      <c r="AQ190" s="524">
        <f>Хронология[[#This Row],[Начало]]-INT(Хронология[[#This Row],[Начало]])</f>
        <v>0.66666666652599815</v>
      </c>
      <c r="AR190" s="523">
        <f>INT(ROUND(Хронология[[#This Row],[Окончание]], 3))</f>
        <v>46185</v>
      </c>
      <c r="AS190" s="524">
        <f>Хронология[[#This Row],[Окончание]]-INT(Хронология[[#This Row],[Окончание]])</f>
        <v>0.8333333331902395</v>
      </c>
      <c r="AT190" s="524" t="str">
        <f>Хронология[[#This Row],[Мастер]] &amp; CHAR(10) &amp; Хронология[[#This Row],[Помощник мастера]] &amp; CHAR(10) &amp; Хронология[[#This Row],[Бурильщик]]</f>
        <v xml:space="preserve">
Хохряков В.Я.</v>
      </c>
      <c r="AU190"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600 ОК– ПР Приготовление раствора Раствор глушения </v>
      </c>
      <c r="AV190" s="518" t="str">
        <f>Хронология[[#This Row],[Результат]]&amp;":  "&amp;Хронология[[#This Row],[Событие]]&amp; CHAR(10) &amp;Хронология[[#This Row],[Вид работ]]&amp;"  "&amp;Хронология[[#This Row],[Объект работ]]</f>
        <v>ПНВ:  
Приготовление раствора  Раствор глушения</v>
      </c>
      <c r="AW190" s="601">
        <f>SUMIF($AU$2:AU190, Хронология[[#This Row],[Ключ]], $AH$2:AH190)</f>
        <v>2.4999999999999996</v>
      </c>
      <c r="AX190" s="516" t="str">
        <f>Хронология[[#This Row],[Вид работ]] &amp; " " &amp; Хронология[[#This Row],[Объект работ]]</f>
        <v>Приготовление раствора Раствор глушения</v>
      </c>
    </row>
    <row r="191" spans="1:50" ht="50.5" customHeight="1">
      <c r="A191" s="540" t="s">
        <v>50</v>
      </c>
      <c r="B191" s="541" t="s">
        <v>263</v>
      </c>
      <c r="C191" s="541" t="s">
        <v>264</v>
      </c>
      <c r="D191" s="542" t="s">
        <v>265</v>
      </c>
      <c r="E191" s="517" t="s">
        <v>266</v>
      </c>
      <c r="F191" s="515"/>
      <c r="G191" s="517"/>
      <c r="H191" s="517" t="s">
        <v>278</v>
      </c>
      <c r="I191" s="518">
        <v>19</v>
      </c>
      <c r="J191" s="517" t="s">
        <v>372</v>
      </c>
      <c r="K191" s="515"/>
      <c r="L191" s="516" t="s">
        <v>51</v>
      </c>
      <c r="M191" s="516" t="s">
        <v>58</v>
      </c>
      <c r="N191" s="516"/>
      <c r="O191" s="516" t="s">
        <v>169</v>
      </c>
      <c r="P191" s="516" t="s">
        <v>170</v>
      </c>
      <c r="Q191" s="516" t="s">
        <v>137</v>
      </c>
      <c r="R191" s="516" t="s">
        <v>4</v>
      </c>
      <c r="S191" s="516"/>
      <c r="T191" s="514" t="s">
        <v>373</v>
      </c>
      <c r="U191" s="516">
        <v>4</v>
      </c>
      <c r="V191" s="516">
        <v>2758.16</v>
      </c>
      <c r="W191" s="516" t="s">
        <v>64</v>
      </c>
      <c r="X191" s="516"/>
      <c r="Y191" s="516"/>
      <c r="Z191" s="516"/>
      <c r="AA191" s="516"/>
      <c r="AB191" s="516"/>
      <c r="AC191" s="516"/>
      <c r="AD191" s="516"/>
      <c r="AE191" s="514">
        <f>IFERROR(IF(Хронология[[#This Row],[Забой, м]]-V190&lt;0, 0, Хронология[[#This Row],[Забой, м]]-V190), 0)</f>
        <v>0</v>
      </c>
      <c r="AF191" s="521">
        <f t="shared" si="2"/>
        <v>46185.83333333319</v>
      </c>
      <c r="AG191" s="521">
        <f>Хронология[[#This Row],[Начало]]+Хронология[[#This Row],[Сутки]]</f>
        <v>46185.999999999854</v>
      </c>
      <c r="AH191" s="522">
        <f>Хронология[[#This Row],[Часы]]/24</f>
        <v>0.16666666666666666</v>
      </c>
      <c r="AI191" s="522">
        <f>IFERROR(Хронология[[#This Row],[Сутки]]+AI190, Хронология[[#This Row],[Сутки]])</f>
        <v>41.1666666666666</v>
      </c>
      <c r="AJ191"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ПНВ</v>
      </c>
      <c r="AK191"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v>
      </c>
      <c r="AL191"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4</v>
      </c>
      <c r="AM191" s="527">
        <f>IF(Хронология[[#This Row],[Результат]]="НПВ", Хронология[[#This Row],[Часы]], 0)</f>
        <v>0</v>
      </c>
      <c r="AN191" s="518">
        <f>SUMIFS(Хронология[НПВ], Хронология[Скважина], Хронология[[#This Row],[Скважина]], Хронология[Начало], "&lt;=" &amp; Хронология[[#This Row],[Начало]])</f>
        <v>43</v>
      </c>
      <c r="AO191" s="518">
        <f>SUMIFS(Хронология[ПНВ], Хронология[Скважина], Хронология[[#This Row],[Скважина]], Хронология[Начало], "&lt;=" &amp; Хронология[[#This Row],[Начало]])</f>
        <v>116.14999999999999</v>
      </c>
      <c r="AP191" s="523">
        <f>INT(ROUND(Хронология[[#This Row],[Начало]], 3))</f>
        <v>46185</v>
      </c>
      <c r="AQ191" s="524">
        <f>Хронология[[#This Row],[Начало]]-INT(Хронология[[#This Row],[Начало]])</f>
        <v>0.8333333331902395</v>
      </c>
      <c r="AR191" s="523">
        <f>INT(ROUND(Хронология[[#This Row],[Окончание]], 3))</f>
        <v>46186</v>
      </c>
      <c r="AS191" s="524">
        <f>Хронология[[#This Row],[Окончание]]-INT(Хронология[[#This Row],[Окончание]])</f>
        <v>0.99999999985448085</v>
      </c>
      <c r="AT191" s="524" t="str">
        <f>Хронология[[#This Row],[Мастер]] &amp; CHAR(10) &amp; Хронология[[#This Row],[Помощник мастера]] &amp; CHAR(10) &amp; Хронология[[#This Row],[Бурильщик]]</f>
        <v xml:space="preserve">
Хохряков В.Я.</v>
      </c>
      <c r="AU191"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600 ОК– КРС Глушение Скважина </v>
      </c>
      <c r="AV191" s="518" t="str">
        <f>Хронология[[#This Row],[Результат]]&amp;":  "&amp;Хронология[[#This Row],[Событие]]&amp; CHAR(10) &amp;Хронология[[#This Row],[Вид работ]]&amp;"  "&amp;Хронология[[#This Row],[Объект работ]]</f>
        <v>ПНВ:  
Глушение  Скважина</v>
      </c>
      <c r="AW191" s="601">
        <f>SUMIF($AU$2:AU191, Хронология[[#This Row],[Ключ]], $AH$2:AH191)</f>
        <v>2.333333333333333</v>
      </c>
      <c r="AX191" s="516" t="str">
        <f>Хронология[[#This Row],[Вид работ]] &amp; " " &amp; Хронология[[#This Row],[Объект работ]]</f>
        <v>Глушение Скважина</v>
      </c>
    </row>
    <row r="192" spans="1:50" ht="50.5" customHeight="1">
      <c r="A192" s="540" t="s">
        <v>50</v>
      </c>
      <c r="B192" s="541" t="s">
        <v>263</v>
      </c>
      <c r="C192" s="541" t="s">
        <v>264</v>
      </c>
      <c r="D192" s="542" t="s">
        <v>265</v>
      </c>
      <c r="E192" s="517" t="s">
        <v>266</v>
      </c>
      <c r="F192" s="515" t="s">
        <v>207</v>
      </c>
      <c r="G192" s="517"/>
      <c r="H192" s="517" t="s">
        <v>267</v>
      </c>
      <c r="I192" s="518">
        <v>20</v>
      </c>
      <c r="J192" s="517" t="s">
        <v>374</v>
      </c>
      <c r="K192" s="515"/>
      <c r="L192" s="516" t="s">
        <v>51</v>
      </c>
      <c r="M192" s="516" t="s">
        <v>58</v>
      </c>
      <c r="N192" s="516"/>
      <c r="O192" s="516" t="s">
        <v>169</v>
      </c>
      <c r="P192" s="516" t="s">
        <v>170</v>
      </c>
      <c r="Q192" s="516" t="s">
        <v>137</v>
      </c>
      <c r="R192" s="516" t="s">
        <v>4</v>
      </c>
      <c r="S192" s="516"/>
      <c r="T192" s="514" t="s">
        <v>375</v>
      </c>
      <c r="U192" s="516">
        <v>7</v>
      </c>
      <c r="V192" s="516">
        <v>2758.16</v>
      </c>
      <c r="W192" s="516" t="s">
        <v>64</v>
      </c>
      <c r="X192" s="516"/>
      <c r="Y192" s="516"/>
      <c r="Z192" s="516"/>
      <c r="AA192" s="516"/>
      <c r="AB192" s="516"/>
      <c r="AC192" s="516"/>
      <c r="AD192" s="516"/>
      <c r="AE192" s="514">
        <f>IFERROR(IF(Хронология[[#This Row],[Забой, м]]-V191&lt;0, 0, Хронология[[#This Row],[Забой, м]]-V191), 0)</f>
        <v>0</v>
      </c>
      <c r="AF192" s="521">
        <f t="shared" si="2"/>
        <v>46185.999999999854</v>
      </c>
      <c r="AG192" s="521">
        <f>Хронология[[#This Row],[Начало]]+Хронология[[#This Row],[Сутки]]</f>
        <v>46186.291666666519</v>
      </c>
      <c r="AH192" s="522">
        <f>Хронология[[#This Row],[Часы]]/24</f>
        <v>0.29166666666666669</v>
      </c>
      <c r="AI192" s="522">
        <f>IFERROR(Хронология[[#This Row],[Сутки]]+AI191, Хронология[[#This Row],[Сутки]])</f>
        <v>41.458333333333265</v>
      </c>
      <c r="AJ192"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ПНВ</v>
      </c>
      <c r="AK192"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v>
      </c>
      <c r="AL192"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7</v>
      </c>
      <c r="AM192" s="527">
        <f>IF(Хронология[[#This Row],[Результат]]="НПВ", Хронология[[#This Row],[Часы]], 0)</f>
        <v>0</v>
      </c>
      <c r="AN192" s="518">
        <f>SUMIFS(Хронология[НПВ], Хронология[Скважина], Хронология[[#This Row],[Скважина]], Хронология[Начало], "&lt;=" &amp; Хронология[[#This Row],[Начало]])</f>
        <v>43</v>
      </c>
      <c r="AO192" s="518">
        <f>SUMIFS(Хронология[ПНВ], Хронология[Скважина], Хронология[[#This Row],[Скважина]], Хронология[Начало], "&lt;=" &amp; Хронология[[#This Row],[Начало]])</f>
        <v>123.14999999999999</v>
      </c>
      <c r="AP192" s="523">
        <f>INT(ROUND(Хронология[[#This Row],[Начало]], 3))</f>
        <v>46186</v>
      </c>
      <c r="AQ192" s="524">
        <f>Хронология[[#This Row],[Начало]]-INT(Хронология[[#This Row],[Начало]])</f>
        <v>0.99999999985448085</v>
      </c>
      <c r="AR192" s="523">
        <f>INT(ROUND(Хронология[[#This Row],[Окончание]], 3))</f>
        <v>46186</v>
      </c>
      <c r="AS192" s="524">
        <f>Хронология[[#This Row],[Окончание]]-INT(Хронология[[#This Row],[Окончание]])</f>
        <v>0.2916666665187222</v>
      </c>
      <c r="AT192" s="524" t="str">
        <f>Хронология[[#This Row],[Мастер]] &amp; CHAR(10) &amp; Хронология[[#This Row],[Помощник мастера]] &amp; CHAR(10) &amp; Хронология[[#This Row],[Бурильщик]]</f>
        <v>Епифанов Д.Б.
Шипунов С.И.</v>
      </c>
      <c r="AU192"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600 ОК– КРС Глушение Скважина </v>
      </c>
      <c r="AV192" s="518" t="str">
        <f>Хронология[[#This Row],[Результат]]&amp;":  "&amp;Хронология[[#This Row],[Событие]]&amp; CHAR(10) &amp;Хронология[[#This Row],[Вид работ]]&amp;"  "&amp;Хронология[[#This Row],[Объект работ]]</f>
        <v>ПНВ:  
Глушение  Скважина</v>
      </c>
      <c r="AW192" s="601">
        <f>SUMIF($AU$2:AU192, Хронология[[#This Row],[Ключ]], $AH$2:AH192)</f>
        <v>2.6249999999999996</v>
      </c>
      <c r="AX192" s="516" t="str">
        <f>Хронология[[#This Row],[Вид работ]] &amp; " " &amp; Хронология[[#This Row],[Объект работ]]</f>
        <v>Глушение Скважина</v>
      </c>
    </row>
    <row r="193" spans="1:50" ht="50.5" customHeight="1">
      <c r="A193" s="540" t="s">
        <v>50</v>
      </c>
      <c r="B193" s="541" t="s">
        <v>263</v>
      </c>
      <c r="C193" s="541" t="s">
        <v>264</v>
      </c>
      <c r="D193" s="542" t="s">
        <v>265</v>
      </c>
      <c r="E193" s="517" t="s">
        <v>266</v>
      </c>
      <c r="F193" s="515" t="s">
        <v>207</v>
      </c>
      <c r="G193" s="517"/>
      <c r="H193" s="517" t="s">
        <v>278</v>
      </c>
      <c r="I193" s="518">
        <v>20</v>
      </c>
      <c r="J193" s="517" t="s">
        <v>376</v>
      </c>
      <c r="K193" s="515"/>
      <c r="L193" s="516" t="s">
        <v>51</v>
      </c>
      <c r="M193" s="516" t="s">
        <v>58</v>
      </c>
      <c r="N193" s="516"/>
      <c r="O193" s="516" t="s">
        <v>169</v>
      </c>
      <c r="P193" s="516" t="s">
        <v>170</v>
      </c>
      <c r="Q193" s="516" t="s">
        <v>137</v>
      </c>
      <c r="R193" s="516" t="s">
        <v>4</v>
      </c>
      <c r="S193" s="516"/>
      <c r="T193" s="514" t="s">
        <v>377</v>
      </c>
      <c r="U193" s="516">
        <v>5</v>
      </c>
      <c r="V193" s="516">
        <v>2758.16</v>
      </c>
      <c r="W193" s="516" t="s">
        <v>64</v>
      </c>
      <c r="X193" s="516"/>
      <c r="Y193" s="516"/>
      <c r="Z193" s="516"/>
      <c r="AA193" s="516"/>
      <c r="AB193" s="516"/>
      <c r="AC193" s="516"/>
      <c r="AD193" s="516"/>
      <c r="AE193" s="514">
        <f>IFERROR(IF(Хронология[[#This Row],[Забой, м]]-V192&lt;0, 0, Хронология[[#This Row],[Забой, м]]-V192), 0)</f>
        <v>0</v>
      </c>
      <c r="AF193" s="521">
        <f t="shared" si="2"/>
        <v>46186.291666666519</v>
      </c>
      <c r="AG193" s="521">
        <f>Хронология[[#This Row],[Начало]]+Хронология[[#This Row],[Сутки]]</f>
        <v>46186.499999999854</v>
      </c>
      <c r="AH193" s="522">
        <f>Хронология[[#This Row],[Часы]]/24</f>
        <v>0.20833333333333334</v>
      </c>
      <c r="AI193" s="522">
        <f>IFERROR(Хронология[[#This Row],[Сутки]]+AI192, Хронология[[#This Row],[Сутки]])</f>
        <v>41.6666666666666</v>
      </c>
      <c r="AJ193"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ПНВ</v>
      </c>
      <c r="AK193"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v>
      </c>
      <c r="AL193"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5</v>
      </c>
      <c r="AM193" s="527">
        <f>IF(Хронология[[#This Row],[Результат]]="НПВ", Хронология[[#This Row],[Часы]], 0)</f>
        <v>0</v>
      </c>
      <c r="AN193" s="518">
        <f>SUMIFS(Хронология[НПВ], Хронология[Скважина], Хронология[[#This Row],[Скважина]], Хронология[Начало], "&lt;=" &amp; Хронология[[#This Row],[Начало]])</f>
        <v>43</v>
      </c>
      <c r="AO193" s="518">
        <f>SUMIFS(Хронология[ПНВ], Хронология[Скважина], Хронология[[#This Row],[Скважина]], Хронология[Начало], "&lt;=" &amp; Хронология[[#This Row],[Начало]])</f>
        <v>128.14999999999998</v>
      </c>
      <c r="AP193" s="523">
        <f>INT(ROUND(Хронология[[#This Row],[Начало]], 3))</f>
        <v>46186</v>
      </c>
      <c r="AQ193" s="524">
        <f>Хронология[[#This Row],[Начало]]-INT(Хронология[[#This Row],[Начало]])</f>
        <v>0.2916666665187222</v>
      </c>
      <c r="AR193" s="523">
        <f>INT(ROUND(Хронология[[#This Row],[Окончание]], 3))</f>
        <v>46186</v>
      </c>
      <c r="AS193" s="524">
        <f>Хронология[[#This Row],[Окончание]]-INT(Хронология[[#This Row],[Окончание]])</f>
        <v>0.49999999985448085</v>
      </c>
      <c r="AT193" s="524" t="str">
        <f>Хронология[[#This Row],[Мастер]] &amp; CHAR(10) &amp; Хронология[[#This Row],[Помощник мастера]] &amp; CHAR(10) &amp; Хронология[[#This Row],[Бурильщик]]</f>
        <v>Епифанов Д.Б.
Хохряков В.Я.</v>
      </c>
      <c r="AU193"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600 ОК– КРС Глушение Скважина </v>
      </c>
      <c r="AV193" s="518" t="str">
        <f>Хронология[[#This Row],[Результат]]&amp;":  "&amp;Хронология[[#This Row],[Событие]]&amp; CHAR(10) &amp;Хронология[[#This Row],[Вид работ]]&amp;"  "&amp;Хронология[[#This Row],[Объект работ]]</f>
        <v>ПНВ:  
Глушение  Скважина</v>
      </c>
      <c r="AW193" s="601">
        <f>SUMIF($AU$2:AU193, Хронология[[#This Row],[Ключ]], $AH$2:AH193)</f>
        <v>2.833333333333333</v>
      </c>
      <c r="AX193" s="516" t="str">
        <f>Хронология[[#This Row],[Вид работ]] &amp; " " &amp; Хронология[[#This Row],[Объект работ]]</f>
        <v>Глушение Скважина</v>
      </c>
    </row>
    <row r="194" spans="1:50" ht="50.5" customHeight="1">
      <c r="A194" s="540" t="s">
        <v>50</v>
      </c>
      <c r="B194" s="541" t="s">
        <v>263</v>
      </c>
      <c r="C194" s="541" t="s">
        <v>264</v>
      </c>
      <c r="D194" s="542" t="s">
        <v>265</v>
      </c>
      <c r="E194" s="517" t="s">
        <v>266</v>
      </c>
      <c r="F194" s="515" t="s">
        <v>207</v>
      </c>
      <c r="G194" s="517"/>
      <c r="H194" s="517" t="s">
        <v>278</v>
      </c>
      <c r="I194" s="518">
        <v>20</v>
      </c>
      <c r="J194" s="517" t="s">
        <v>378</v>
      </c>
      <c r="K194" s="515"/>
      <c r="L194" s="516" t="s">
        <v>51</v>
      </c>
      <c r="M194" s="516" t="s">
        <v>58</v>
      </c>
      <c r="N194" s="516"/>
      <c r="O194" s="516" t="s">
        <v>169</v>
      </c>
      <c r="P194" s="516" t="s">
        <v>170</v>
      </c>
      <c r="Q194" s="516" t="s">
        <v>137</v>
      </c>
      <c r="R194" s="516" t="s">
        <v>4</v>
      </c>
      <c r="S194" s="516"/>
      <c r="T194" s="514" t="s">
        <v>379</v>
      </c>
      <c r="U194" s="516">
        <v>4</v>
      </c>
      <c r="V194" s="516">
        <v>2758.16</v>
      </c>
      <c r="W194" s="516" t="s">
        <v>64</v>
      </c>
      <c r="X194" s="516"/>
      <c r="Y194" s="516"/>
      <c r="Z194" s="516"/>
      <c r="AA194" s="516"/>
      <c r="AB194" s="516"/>
      <c r="AC194" s="516"/>
      <c r="AD194" s="516"/>
      <c r="AE194" s="514">
        <f>IFERROR(IF(Хронология[[#This Row],[Забой, м]]-V193&lt;0, 0, Хронология[[#This Row],[Забой, м]]-V193), 0)</f>
        <v>0</v>
      </c>
      <c r="AF194" s="521">
        <f t="shared" si="2"/>
        <v>46186.499999999854</v>
      </c>
      <c r="AG194" s="521">
        <f>Хронология[[#This Row],[Начало]]+Хронология[[#This Row],[Сутки]]</f>
        <v>46186.666666666519</v>
      </c>
      <c r="AH194" s="522">
        <f>Хронология[[#This Row],[Часы]]/24</f>
        <v>0.16666666666666666</v>
      </c>
      <c r="AI194" s="522">
        <f>IFERROR(Хронология[[#This Row],[Сутки]]+AI193, Хронология[[#This Row],[Сутки]])</f>
        <v>41.833333333333265</v>
      </c>
      <c r="AJ194"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ПНВ</v>
      </c>
      <c r="AK194"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v>
      </c>
      <c r="AL194"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4</v>
      </c>
      <c r="AM194" s="527">
        <f>IF(Хронология[[#This Row],[Результат]]="НПВ", Хронология[[#This Row],[Часы]], 0)</f>
        <v>0</v>
      </c>
      <c r="AN194" s="518">
        <f>SUMIFS(Хронология[НПВ], Хронология[Скважина], Хронология[[#This Row],[Скважина]], Хронология[Начало], "&lt;=" &amp; Хронология[[#This Row],[Начало]])</f>
        <v>43</v>
      </c>
      <c r="AO194" s="518">
        <f>SUMIFS(Хронология[ПНВ], Хронология[Скважина], Хронология[[#This Row],[Скважина]], Хронология[Начало], "&lt;=" &amp; Хронология[[#This Row],[Начало]])</f>
        <v>132.14999999999998</v>
      </c>
      <c r="AP194" s="523">
        <f>INT(ROUND(Хронология[[#This Row],[Начало]], 3))</f>
        <v>46186</v>
      </c>
      <c r="AQ194" s="524">
        <f>Хронология[[#This Row],[Начало]]-INT(Хронология[[#This Row],[Начало]])</f>
        <v>0.49999999985448085</v>
      </c>
      <c r="AR194" s="523">
        <f>INT(ROUND(Хронология[[#This Row],[Окончание]], 3))</f>
        <v>46186</v>
      </c>
      <c r="AS194" s="524">
        <f>Хронология[[#This Row],[Окончание]]-INT(Хронология[[#This Row],[Окончание]])</f>
        <v>0.6666666665187222</v>
      </c>
      <c r="AT194" s="524" t="str">
        <f>Хронология[[#This Row],[Мастер]] &amp; CHAR(10) &amp; Хронология[[#This Row],[Помощник мастера]] &amp; CHAR(10) &amp; Хронология[[#This Row],[Бурильщик]]</f>
        <v>Епифанов Д.Б.
Хохряков В.Я.</v>
      </c>
      <c r="AU194"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600 ОК– КРС Глушение Скважина </v>
      </c>
      <c r="AV194" s="518" t="str">
        <f>Хронология[[#This Row],[Результат]]&amp;":  "&amp;Хронология[[#This Row],[Событие]]&amp; CHAR(10) &amp;Хронология[[#This Row],[Вид работ]]&amp;"  "&amp;Хронология[[#This Row],[Объект работ]]</f>
        <v>ПНВ:  
Глушение  Скважина</v>
      </c>
      <c r="AW194" s="601">
        <f>SUMIF($AU$2:AU194, Хронология[[#This Row],[Ключ]], $AH$2:AH194)</f>
        <v>2.9999999999999996</v>
      </c>
      <c r="AX194" s="516" t="str">
        <f>Хронология[[#This Row],[Вид работ]] &amp; " " &amp; Хронология[[#This Row],[Объект работ]]</f>
        <v>Глушение Скважина</v>
      </c>
    </row>
    <row r="195" spans="1:50" ht="50.5" customHeight="1">
      <c r="A195" s="540" t="s">
        <v>50</v>
      </c>
      <c r="B195" s="541" t="s">
        <v>263</v>
      </c>
      <c r="C195" s="541" t="s">
        <v>264</v>
      </c>
      <c r="D195" s="542" t="s">
        <v>265</v>
      </c>
      <c r="E195" s="517" t="s">
        <v>266</v>
      </c>
      <c r="F195" s="515" t="s">
        <v>207</v>
      </c>
      <c r="G195" s="517"/>
      <c r="H195" s="517" t="s">
        <v>278</v>
      </c>
      <c r="I195" s="518">
        <v>20</v>
      </c>
      <c r="J195" s="517" t="s">
        <v>380</v>
      </c>
      <c r="K195" s="515"/>
      <c r="L195" s="516" t="s">
        <v>51</v>
      </c>
      <c r="M195" s="516" t="s">
        <v>58</v>
      </c>
      <c r="N195" s="516"/>
      <c r="O195" s="516" t="s">
        <v>169</v>
      </c>
      <c r="P195" s="516" t="s">
        <v>170</v>
      </c>
      <c r="Q195" s="516" t="s">
        <v>137</v>
      </c>
      <c r="R195" s="516" t="s">
        <v>4</v>
      </c>
      <c r="S195" s="516"/>
      <c r="T195" s="514" t="s">
        <v>381</v>
      </c>
      <c r="U195" s="516">
        <v>4</v>
      </c>
      <c r="V195" s="516">
        <v>2758.16</v>
      </c>
      <c r="W195" s="516" t="s">
        <v>64</v>
      </c>
      <c r="X195" s="516"/>
      <c r="Y195" s="516"/>
      <c r="Z195" s="516"/>
      <c r="AA195" s="516"/>
      <c r="AB195" s="516"/>
      <c r="AC195" s="516"/>
      <c r="AD195" s="516"/>
      <c r="AE195" s="514">
        <f>IFERROR(IF(Хронология[[#This Row],[Забой, м]]-V194&lt;0, 0, Хронология[[#This Row],[Забой, м]]-V194), 0)</f>
        <v>0</v>
      </c>
      <c r="AF195" s="521">
        <f t="shared" ref="AF195:AF238" si="3">AG194</f>
        <v>46186.666666666519</v>
      </c>
      <c r="AG195" s="521">
        <f>Хронология[[#This Row],[Начало]]+Хронология[[#This Row],[Сутки]]</f>
        <v>46186.833333333183</v>
      </c>
      <c r="AH195" s="522">
        <f>Хронология[[#This Row],[Часы]]/24</f>
        <v>0.16666666666666666</v>
      </c>
      <c r="AI195" s="522">
        <f>IFERROR(Хронология[[#This Row],[Сутки]]+AI194, Хронология[[#This Row],[Сутки]])</f>
        <v>41.999999999999929</v>
      </c>
      <c r="AJ195"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ПНВ</v>
      </c>
      <c r="AK195"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-7.1054273576010019E-15</v>
      </c>
      <c r="AL195"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4.0000000000000071</v>
      </c>
      <c r="AM195" s="527">
        <f>IF(Хронология[[#This Row],[Результат]]="НПВ", Хронология[[#This Row],[Часы]], 0)</f>
        <v>0</v>
      </c>
      <c r="AN195" s="518">
        <f>SUMIFS(Хронология[НПВ], Хронология[Скважина], Хронология[[#This Row],[Скважина]], Хронология[Начало], "&lt;=" &amp; Хронология[[#This Row],[Начало]])</f>
        <v>43</v>
      </c>
      <c r="AO195" s="518">
        <f>SUMIFS(Хронология[ПНВ], Хронология[Скважина], Хронология[[#This Row],[Скважина]], Хронология[Начало], "&lt;=" &amp; Хронология[[#This Row],[Начало]])</f>
        <v>136.14999999999998</v>
      </c>
      <c r="AP195" s="523">
        <f>INT(ROUND(Хронология[[#This Row],[Начало]], 3))</f>
        <v>46186</v>
      </c>
      <c r="AQ195" s="524">
        <f>Хронология[[#This Row],[Начало]]-INT(Хронология[[#This Row],[Начало]])</f>
        <v>0.6666666665187222</v>
      </c>
      <c r="AR195" s="523">
        <f>INT(ROUND(Хронология[[#This Row],[Окончание]], 3))</f>
        <v>46186</v>
      </c>
      <c r="AS195" s="524">
        <f>Хронология[[#This Row],[Окончание]]-INT(Хронология[[#This Row],[Окончание]])</f>
        <v>0.83333333318296354</v>
      </c>
      <c r="AT195" s="524" t="str">
        <f>Хронология[[#This Row],[Мастер]] &amp; CHAR(10) &amp; Хронология[[#This Row],[Помощник мастера]] &amp; CHAR(10) &amp; Хронология[[#This Row],[Бурильщик]]</f>
        <v>Епифанов Д.Б.
Хохряков В.Я.</v>
      </c>
      <c r="AU195"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600 ОК– КРС Глушение Скважина </v>
      </c>
      <c r="AV195" s="518" t="str">
        <f>Хронология[[#This Row],[Результат]]&amp;":  "&amp;Хронология[[#This Row],[Событие]]&amp; CHAR(10) &amp;Хронология[[#This Row],[Вид работ]]&amp;"  "&amp;Хронология[[#This Row],[Объект работ]]</f>
        <v>ПНВ:  
Глушение  Скважина</v>
      </c>
      <c r="AW195" s="601">
        <f>SUMIF($AU$2:AU195, Хронология[[#This Row],[Ключ]], $AH$2:AH195)</f>
        <v>3.1666666666666661</v>
      </c>
      <c r="AX195" s="516" t="str">
        <f>Хронология[[#This Row],[Вид работ]] &amp; " " &amp; Хронология[[#This Row],[Объект работ]]</f>
        <v>Глушение Скважина</v>
      </c>
    </row>
    <row r="196" spans="1:50" ht="50.5" customHeight="1">
      <c r="A196" s="540" t="s">
        <v>50</v>
      </c>
      <c r="B196" s="541" t="s">
        <v>263</v>
      </c>
      <c r="C196" s="541" t="s">
        <v>264</v>
      </c>
      <c r="D196" s="542" t="s">
        <v>265</v>
      </c>
      <c r="E196" s="517" t="s">
        <v>266</v>
      </c>
      <c r="F196" s="515" t="s">
        <v>207</v>
      </c>
      <c r="G196" s="517"/>
      <c r="H196" s="517" t="s">
        <v>278</v>
      </c>
      <c r="I196" s="518">
        <v>20</v>
      </c>
      <c r="J196" s="517" t="s">
        <v>382</v>
      </c>
      <c r="K196" s="515"/>
      <c r="L196" s="516" t="s">
        <v>51</v>
      </c>
      <c r="M196" s="516" t="s">
        <v>58</v>
      </c>
      <c r="N196" s="516"/>
      <c r="O196" s="516" t="s">
        <v>169</v>
      </c>
      <c r="P196" s="516" t="s">
        <v>170</v>
      </c>
      <c r="Q196" s="516" t="s">
        <v>137</v>
      </c>
      <c r="R196" s="516" t="s">
        <v>4</v>
      </c>
      <c r="S196" s="516"/>
      <c r="T196" s="514" t="s">
        <v>383</v>
      </c>
      <c r="U196" s="516">
        <v>4</v>
      </c>
      <c r="V196" s="516">
        <v>2758.16</v>
      </c>
      <c r="W196" s="516" t="s">
        <v>64</v>
      </c>
      <c r="X196" s="516"/>
      <c r="Y196" s="516"/>
      <c r="Z196" s="516"/>
      <c r="AA196" s="516"/>
      <c r="AB196" s="516"/>
      <c r="AC196" s="516"/>
      <c r="AD196" s="516"/>
      <c r="AE196" s="514">
        <f>IFERROR(IF(Хронология[[#This Row],[Забой, м]]-V195&lt;0, 0, Хронология[[#This Row],[Забой, м]]-V195), 0)</f>
        <v>0</v>
      </c>
      <c r="AF196" s="521">
        <f t="shared" si="3"/>
        <v>46186.833333333183</v>
      </c>
      <c r="AG196" s="521">
        <f>Хронология[[#This Row],[Начало]]+Хронология[[#This Row],[Сутки]]</f>
        <v>46186.999999999847</v>
      </c>
      <c r="AH196" s="522">
        <f>Хронология[[#This Row],[Часы]]/24</f>
        <v>0.16666666666666666</v>
      </c>
      <c r="AI196" s="522">
        <f>IFERROR(Хронология[[#This Row],[Сутки]]+AI195, Хронология[[#This Row],[Сутки]])</f>
        <v>42.166666666666593</v>
      </c>
      <c r="AJ196"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ПНВ</v>
      </c>
      <c r="AK196"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v>
      </c>
      <c r="AL196"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4</v>
      </c>
      <c r="AM196" s="527">
        <f>IF(Хронология[[#This Row],[Результат]]="НПВ", Хронология[[#This Row],[Часы]], 0)</f>
        <v>0</v>
      </c>
      <c r="AN196" s="518">
        <f>SUMIFS(Хронология[НПВ], Хронология[Скважина], Хронология[[#This Row],[Скважина]], Хронология[Начало], "&lt;=" &amp; Хронология[[#This Row],[Начало]])</f>
        <v>43</v>
      </c>
      <c r="AO196" s="518">
        <f>SUMIFS(Хронология[ПНВ], Хронология[Скважина], Хронология[[#This Row],[Скважина]], Хронология[Начало], "&lt;=" &amp; Хронология[[#This Row],[Начало]])</f>
        <v>140.14999999999998</v>
      </c>
      <c r="AP196" s="523">
        <f>INT(ROUND(Хронология[[#This Row],[Начало]], 3))</f>
        <v>46186</v>
      </c>
      <c r="AQ196" s="524">
        <f>Хронология[[#This Row],[Начало]]-INT(Хронология[[#This Row],[Начало]])</f>
        <v>0.83333333318296354</v>
      </c>
      <c r="AR196" s="523">
        <f>INT(ROUND(Хронология[[#This Row],[Окончание]], 3))</f>
        <v>46187</v>
      </c>
      <c r="AS196" s="524">
        <f>Хронология[[#This Row],[Окончание]]-INT(Хронология[[#This Row],[Окончание]])</f>
        <v>0.99999999984720489</v>
      </c>
      <c r="AT196" s="524" t="str">
        <f>Хронология[[#This Row],[Мастер]] &amp; CHAR(10) &amp; Хронология[[#This Row],[Помощник мастера]] &amp; CHAR(10) &amp; Хронология[[#This Row],[Бурильщик]]</f>
        <v>Епифанов Д.Б.
Хохряков В.Я.</v>
      </c>
      <c r="AU196"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600 ОК– КРС Глушение Скважина </v>
      </c>
      <c r="AV196" s="518" t="str">
        <f>Хронология[[#This Row],[Результат]]&amp;":  "&amp;Хронология[[#This Row],[Событие]]&amp; CHAR(10) &amp;Хронология[[#This Row],[Вид работ]]&amp;"  "&amp;Хронология[[#This Row],[Объект работ]]</f>
        <v>ПНВ:  
Глушение  Скважина</v>
      </c>
      <c r="AW196" s="601">
        <f>SUMIF($AU$2:AU196, Хронология[[#This Row],[Ключ]], $AH$2:AH196)</f>
        <v>3.3333333333333326</v>
      </c>
      <c r="AX196" s="516" t="str">
        <f>Хронология[[#This Row],[Вид работ]] &amp; " " &amp; Хронология[[#This Row],[Объект работ]]</f>
        <v>Глушение Скважина</v>
      </c>
    </row>
    <row r="197" spans="1:50" ht="50.5" customHeight="1">
      <c r="A197" s="540" t="s">
        <v>50</v>
      </c>
      <c r="B197" s="541" t="s">
        <v>263</v>
      </c>
      <c r="C197" s="541" t="s">
        <v>264</v>
      </c>
      <c r="D197" s="542" t="s">
        <v>265</v>
      </c>
      <c r="E197" s="517" t="s">
        <v>266</v>
      </c>
      <c r="F197" s="515"/>
      <c r="G197" s="517"/>
      <c r="H197" s="517" t="s">
        <v>267</v>
      </c>
      <c r="I197" s="518">
        <v>21</v>
      </c>
      <c r="J197" s="517" t="s">
        <v>384</v>
      </c>
      <c r="K197" s="515"/>
      <c r="L197" s="516" t="s">
        <v>51</v>
      </c>
      <c r="M197" s="516" t="s">
        <v>58</v>
      </c>
      <c r="N197" s="516"/>
      <c r="O197" s="516" t="s">
        <v>169</v>
      </c>
      <c r="P197" s="516" t="s">
        <v>170</v>
      </c>
      <c r="Q197" s="516" t="s">
        <v>137</v>
      </c>
      <c r="R197" s="516" t="s">
        <v>4</v>
      </c>
      <c r="S197" s="516"/>
      <c r="T197" s="514" t="s">
        <v>385</v>
      </c>
      <c r="U197" s="516">
        <v>7</v>
      </c>
      <c r="V197" s="516">
        <v>2758.16</v>
      </c>
      <c r="W197" s="516" t="s">
        <v>64</v>
      </c>
      <c r="X197" s="516"/>
      <c r="Y197" s="516"/>
      <c r="Z197" s="516"/>
      <c r="AA197" s="516"/>
      <c r="AB197" s="516"/>
      <c r="AC197" s="516"/>
      <c r="AD197" s="516"/>
      <c r="AE197" s="514">
        <f>IFERROR(IF(Хронология[[#This Row],[Забой, м]]-V196&lt;0, 0, Хронология[[#This Row],[Забой, м]]-V196), 0)</f>
        <v>0</v>
      </c>
      <c r="AF197" s="521">
        <f t="shared" si="3"/>
        <v>46186.999999999847</v>
      </c>
      <c r="AG197" s="521">
        <f>Хронология[[#This Row],[Начало]]+Хронология[[#This Row],[Сутки]]</f>
        <v>46187.291666666511</v>
      </c>
      <c r="AH197" s="522">
        <f>Хронология[[#This Row],[Часы]]/24</f>
        <v>0.29166666666666669</v>
      </c>
      <c r="AI197" s="522">
        <f>IFERROR(Хронология[[#This Row],[Сутки]]+AI196, Хронология[[#This Row],[Сутки]])</f>
        <v>42.458333333333258</v>
      </c>
      <c r="AJ197"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ПНВ</v>
      </c>
      <c r="AK197"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v>
      </c>
      <c r="AL197"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7</v>
      </c>
      <c r="AM197" s="527">
        <f>IF(Хронология[[#This Row],[Результат]]="НПВ", Хронология[[#This Row],[Часы]], 0)</f>
        <v>0</v>
      </c>
      <c r="AN197" s="518">
        <f>SUMIFS(Хронология[НПВ], Хронология[Скважина], Хронология[[#This Row],[Скважина]], Хронология[Начало], "&lt;=" &amp; Хронология[[#This Row],[Начало]])</f>
        <v>43</v>
      </c>
      <c r="AO197" s="518">
        <f>SUMIFS(Хронология[ПНВ], Хронология[Скважина], Хронология[[#This Row],[Скважина]], Хронология[Начало], "&lt;=" &amp; Хронология[[#This Row],[Начало]])</f>
        <v>147.14999999999998</v>
      </c>
      <c r="AP197" s="523">
        <f>INT(ROUND(Хронология[[#This Row],[Начало]], 3))</f>
        <v>46187</v>
      </c>
      <c r="AQ197" s="524">
        <f>Хронология[[#This Row],[Начало]]-INT(Хронология[[#This Row],[Начало]])</f>
        <v>0.99999999984720489</v>
      </c>
      <c r="AR197" s="523">
        <f>INT(ROUND(Хронология[[#This Row],[Окончание]], 3))</f>
        <v>46187</v>
      </c>
      <c r="AS197" s="524">
        <f>Хронология[[#This Row],[Окончание]]-INT(Хронология[[#This Row],[Окончание]])</f>
        <v>0.29166666651144624</v>
      </c>
      <c r="AT197" s="524" t="str">
        <f>Хронология[[#This Row],[Мастер]] &amp; CHAR(10) &amp; Хронология[[#This Row],[Помощник мастера]] &amp; CHAR(10) &amp; Хронология[[#This Row],[Бурильщик]]</f>
        <v xml:space="preserve">
Шипунов С.И.</v>
      </c>
      <c r="AU197"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600 ОК– КРС Глушение Скважина </v>
      </c>
      <c r="AV197" s="518" t="str">
        <f>Хронология[[#This Row],[Результат]]&amp;":  "&amp;Хронология[[#This Row],[Событие]]&amp; CHAR(10) &amp;Хронология[[#This Row],[Вид работ]]&amp;"  "&amp;Хронология[[#This Row],[Объект работ]]</f>
        <v>ПНВ:  
Глушение  Скважина</v>
      </c>
      <c r="AW197" s="601">
        <f>SUMIF($AU$2:AU197, Хронология[[#This Row],[Ключ]], $AH$2:AH197)</f>
        <v>3.6249999999999991</v>
      </c>
      <c r="AX197" s="516" t="str">
        <f>Хронология[[#This Row],[Вид работ]] &amp; " " &amp; Хронология[[#This Row],[Объект работ]]</f>
        <v>Глушение Скважина</v>
      </c>
    </row>
    <row r="198" spans="1:50" ht="50.5" customHeight="1">
      <c r="A198" s="540" t="s">
        <v>50</v>
      </c>
      <c r="B198" s="541" t="s">
        <v>263</v>
      </c>
      <c r="C198" s="541" t="s">
        <v>264</v>
      </c>
      <c r="D198" s="542" t="s">
        <v>265</v>
      </c>
      <c r="E198" s="517" t="s">
        <v>266</v>
      </c>
      <c r="F198" s="515"/>
      <c r="G198" s="517"/>
      <c r="H198" s="517" t="s">
        <v>278</v>
      </c>
      <c r="I198" s="518">
        <v>21</v>
      </c>
      <c r="J198" s="517" t="s">
        <v>386</v>
      </c>
      <c r="K198" s="515"/>
      <c r="L198" s="516" t="s">
        <v>51</v>
      </c>
      <c r="M198" s="516" t="s">
        <v>58</v>
      </c>
      <c r="N198" s="516"/>
      <c r="O198" s="516" t="s">
        <v>169</v>
      </c>
      <c r="P198" s="516" t="s">
        <v>170</v>
      </c>
      <c r="Q198" s="516" t="s">
        <v>137</v>
      </c>
      <c r="R198" s="516" t="s">
        <v>4</v>
      </c>
      <c r="S198" s="516"/>
      <c r="T198" s="514" t="s">
        <v>387</v>
      </c>
      <c r="U198" s="516">
        <v>5</v>
      </c>
      <c r="V198" s="516">
        <v>2758.16</v>
      </c>
      <c r="W198" s="516" t="s">
        <v>64</v>
      </c>
      <c r="X198" s="516"/>
      <c r="Y198" s="516"/>
      <c r="Z198" s="516"/>
      <c r="AA198" s="516"/>
      <c r="AB198" s="516"/>
      <c r="AC198" s="516"/>
      <c r="AD198" s="516"/>
      <c r="AE198" s="514">
        <f>IFERROR(IF(Хронология[[#This Row],[Забой, м]]-V197&lt;0, 0, Хронология[[#This Row],[Забой, м]]-V197), 0)</f>
        <v>0</v>
      </c>
      <c r="AF198" s="521">
        <f t="shared" si="3"/>
        <v>46187.291666666511</v>
      </c>
      <c r="AG198" s="521">
        <f>Хронология[[#This Row],[Начало]]+Хронология[[#This Row],[Сутки]]</f>
        <v>46187.499999999847</v>
      </c>
      <c r="AH198" s="522">
        <f>Хронология[[#This Row],[Часы]]/24</f>
        <v>0.20833333333333334</v>
      </c>
      <c r="AI198" s="522">
        <f>IFERROR(Хронология[[#This Row],[Сутки]]+AI197, Хронология[[#This Row],[Сутки]])</f>
        <v>42.666666666666593</v>
      </c>
      <c r="AJ198"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ПНВ</v>
      </c>
      <c r="AK198"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v>
      </c>
      <c r="AL198"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5</v>
      </c>
      <c r="AM198" s="527">
        <f>IF(Хронология[[#This Row],[Результат]]="НПВ", Хронология[[#This Row],[Часы]], 0)</f>
        <v>0</v>
      </c>
      <c r="AN198" s="518">
        <f>SUMIFS(Хронология[НПВ], Хронология[Скважина], Хронология[[#This Row],[Скважина]], Хронология[Начало], "&lt;=" &amp; Хронология[[#This Row],[Начало]])</f>
        <v>43</v>
      </c>
      <c r="AO198" s="518">
        <f>SUMIFS(Хронология[ПНВ], Хронология[Скважина], Хронология[[#This Row],[Скважина]], Хронология[Начало], "&lt;=" &amp; Хронология[[#This Row],[Начало]])</f>
        <v>152.14999999999998</v>
      </c>
      <c r="AP198" s="523">
        <f>INT(ROUND(Хронология[[#This Row],[Начало]], 3))</f>
        <v>46187</v>
      </c>
      <c r="AQ198" s="524">
        <f>Хронология[[#This Row],[Начало]]-INT(Хронология[[#This Row],[Начало]])</f>
        <v>0.29166666651144624</v>
      </c>
      <c r="AR198" s="523">
        <f>INT(ROUND(Хронология[[#This Row],[Окончание]], 3))</f>
        <v>46187</v>
      </c>
      <c r="AS198" s="524">
        <f>Хронология[[#This Row],[Окончание]]-INT(Хронология[[#This Row],[Окончание]])</f>
        <v>0.49999999984720489</v>
      </c>
      <c r="AT198" s="524" t="str">
        <f>Хронология[[#This Row],[Мастер]] &amp; CHAR(10) &amp; Хронология[[#This Row],[Помощник мастера]] &amp; CHAR(10) &amp; Хронология[[#This Row],[Бурильщик]]</f>
        <v xml:space="preserve">
Хохряков В.Я.</v>
      </c>
      <c r="AU198"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600 ОК– КРС Глушение Скважина </v>
      </c>
      <c r="AV198" s="518" t="str">
        <f>Хронология[[#This Row],[Результат]]&amp;":  "&amp;Хронология[[#This Row],[Событие]]&amp; CHAR(10) &amp;Хронология[[#This Row],[Вид работ]]&amp;"  "&amp;Хронология[[#This Row],[Объект работ]]</f>
        <v>ПНВ:  
Глушение  Скважина</v>
      </c>
      <c r="AW198" s="601">
        <f>SUMIF($AU$2:AU198, Хронология[[#This Row],[Ключ]], $AH$2:AH198)</f>
        <v>3.8333333333333326</v>
      </c>
      <c r="AX198" s="516" t="str">
        <f>Хронология[[#This Row],[Вид работ]] &amp; " " &amp; Хронология[[#This Row],[Объект работ]]</f>
        <v>Глушение Скважина</v>
      </c>
    </row>
    <row r="199" spans="1:50" ht="50.5" customHeight="1">
      <c r="A199" s="540" t="s">
        <v>50</v>
      </c>
      <c r="B199" s="541" t="s">
        <v>263</v>
      </c>
      <c r="C199" s="541" t="s">
        <v>264</v>
      </c>
      <c r="D199" s="542" t="s">
        <v>265</v>
      </c>
      <c r="E199" s="517" t="s">
        <v>266</v>
      </c>
      <c r="F199" s="515"/>
      <c r="G199" s="517"/>
      <c r="H199" s="517" t="s">
        <v>278</v>
      </c>
      <c r="I199" s="518">
        <v>21</v>
      </c>
      <c r="J199" s="517" t="s">
        <v>388</v>
      </c>
      <c r="K199" s="515"/>
      <c r="L199" s="516" t="s">
        <v>51</v>
      </c>
      <c r="M199" s="516" t="s">
        <v>58</v>
      </c>
      <c r="N199" s="516"/>
      <c r="O199" s="516" t="s">
        <v>169</v>
      </c>
      <c r="P199" s="516" t="s">
        <v>170</v>
      </c>
      <c r="Q199" s="516" t="s">
        <v>137</v>
      </c>
      <c r="R199" s="516" t="s">
        <v>4</v>
      </c>
      <c r="S199" s="516"/>
      <c r="T199" s="514" t="s">
        <v>389</v>
      </c>
      <c r="U199" s="516">
        <v>4</v>
      </c>
      <c r="V199" s="516">
        <v>2758.16</v>
      </c>
      <c r="W199" s="516" t="s">
        <v>64</v>
      </c>
      <c r="X199" s="516"/>
      <c r="Y199" s="516"/>
      <c r="Z199" s="516"/>
      <c r="AA199" s="516"/>
      <c r="AB199" s="516"/>
      <c r="AC199" s="516"/>
      <c r="AD199" s="516"/>
      <c r="AE199" s="514">
        <f>IFERROR(IF(Хронология[[#This Row],[Забой, м]]-V198&lt;0, 0, Хронология[[#This Row],[Забой, м]]-V198), 0)</f>
        <v>0</v>
      </c>
      <c r="AF199" s="521">
        <f t="shared" si="3"/>
        <v>46187.499999999847</v>
      </c>
      <c r="AG199" s="521">
        <f>Хронология[[#This Row],[Начало]]+Хронология[[#This Row],[Сутки]]</f>
        <v>46187.666666666511</v>
      </c>
      <c r="AH199" s="522">
        <f>Хронология[[#This Row],[Часы]]/24</f>
        <v>0.16666666666666666</v>
      </c>
      <c r="AI199" s="522">
        <f>IFERROR(Хронология[[#This Row],[Сутки]]+AI198, Хронология[[#This Row],[Сутки]])</f>
        <v>42.833333333333258</v>
      </c>
      <c r="AJ199"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ПНВ</v>
      </c>
      <c r="AK199"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v>
      </c>
      <c r="AL199"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4</v>
      </c>
      <c r="AM199" s="527">
        <f>IF(Хронология[[#This Row],[Результат]]="НПВ", Хронология[[#This Row],[Часы]], 0)</f>
        <v>0</v>
      </c>
      <c r="AN199" s="518">
        <f>SUMIFS(Хронология[НПВ], Хронология[Скважина], Хронология[[#This Row],[Скважина]], Хронология[Начало], "&lt;=" &amp; Хронология[[#This Row],[Начало]])</f>
        <v>43</v>
      </c>
      <c r="AO199" s="518">
        <f>SUMIFS(Хронология[ПНВ], Хронология[Скважина], Хронология[[#This Row],[Скважина]], Хронология[Начало], "&lt;=" &amp; Хронология[[#This Row],[Начало]])</f>
        <v>156.14999999999998</v>
      </c>
      <c r="AP199" s="523">
        <f>INT(ROUND(Хронология[[#This Row],[Начало]], 3))</f>
        <v>46187</v>
      </c>
      <c r="AQ199" s="524">
        <f>Хронология[[#This Row],[Начало]]-INT(Хронология[[#This Row],[Начало]])</f>
        <v>0.49999999984720489</v>
      </c>
      <c r="AR199" s="523">
        <f>INT(ROUND(Хронология[[#This Row],[Окончание]], 3))</f>
        <v>46187</v>
      </c>
      <c r="AS199" s="524">
        <f>Хронология[[#This Row],[Окончание]]-INT(Хронология[[#This Row],[Окончание]])</f>
        <v>0.66666666651144624</v>
      </c>
      <c r="AT199" s="524" t="str">
        <f>Хронология[[#This Row],[Мастер]] &amp; CHAR(10) &amp; Хронология[[#This Row],[Помощник мастера]] &amp; CHAR(10) &amp; Хронология[[#This Row],[Бурильщик]]</f>
        <v xml:space="preserve">
Хохряков В.Я.</v>
      </c>
      <c r="AU199"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600 ОК– КРС Глушение Скважина </v>
      </c>
      <c r="AV199" s="518" t="str">
        <f>Хронология[[#This Row],[Результат]]&amp;":  "&amp;Хронология[[#This Row],[Событие]]&amp; CHAR(10) &amp;Хронология[[#This Row],[Вид работ]]&amp;"  "&amp;Хронология[[#This Row],[Объект работ]]</f>
        <v>ПНВ:  
Глушение  Скважина</v>
      </c>
      <c r="AW199" s="601">
        <f>SUMIF($AU$2:AU199, Хронология[[#This Row],[Ключ]], $AH$2:AH199)</f>
        <v>3.9999999999999991</v>
      </c>
      <c r="AX199" s="516" t="str">
        <f>Хронология[[#This Row],[Вид работ]] &amp; " " &amp; Хронология[[#This Row],[Объект работ]]</f>
        <v>Глушение Скважина</v>
      </c>
    </row>
    <row r="200" spans="1:50" ht="50.5" customHeight="1">
      <c r="A200" s="540" t="s">
        <v>50</v>
      </c>
      <c r="B200" s="541" t="s">
        <v>263</v>
      </c>
      <c r="C200" s="541" t="s">
        <v>264</v>
      </c>
      <c r="D200" s="542" t="s">
        <v>265</v>
      </c>
      <c r="E200" s="517" t="s">
        <v>266</v>
      </c>
      <c r="F200" s="515"/>
      <c r="G200" s="517"/>
      <c r="H200" s="517" t="s">
        <v>278</v>
      </c>
      <c r="I200" s="518">
        <v>21</v>
      </c>
      <c r="J200" s="517" t="s">
        <v>390</v>
      </c>
      <c r="K200" s="515"/>
      <c r="L200" s="516" t="s">
        <v>51</v>
      </c>
      <c r="M200" s="516" t="s">
        <v>58</v>
      </c>
      <c r="N200" s="516"/>
      <c r="O200" s="516" t="s">
        <v>169</v>
      </c>
      <c r="P200" s="516" t="s">
        <v>170</v>
      </c>
      <c r="Q200" s="516" t="s">
        <v>137</v>
      </c>
      <c r="R200" s="516" t="s">
        <v>4</v>
      </c>
      <c r="S200" s="516"/>
      <c r="T200" s="514" t="s">
        <v>391</v>
      </c>
      <c r="U200" s="516">
        <v>4</v>
      </c>
      <c r="V200" s="516">
        <v>2758.16</v>
      </c>
      <c r="W200" s="516" t="s">
        <v>64</v>
      </c>
      <c r="X200" s="516"/>
      <c r="Y200" s="516"/>
      <c r="Z200" s="516"/>
      <c r="AA200" s="516"/>
      <c r="AB200" s="516"/>
      <c r="AC200" s="516"/>
      <c r="AD200" s="516"/>
      <c r="AE200" s="514">
        <f>IFERROR(IF(Хронология[[#This Row],[Забой, м]]-V199&lt;0, 0, Хронология[[#This Row],[Забой, м]]-V199), 0)</f>
        <v>0</v>
      </c>
      <c r="AF200" s="521">
        <f t="shared" si="3"/>
        <v>46187.666666666511</v>
      </c>
      <c r="AG200" s="521">
        <f>Хронология[[#This Row],[Начало]]+Хронология[[#This Row],[Сутки]]</f>
        <v>46187.833333333176</v>
      </c>
      <c r="AH200" s="522">
        <f>Хронология[[#This Row],[Часы]]/24</f>
        <v>0.16666666666666666</v>
      </c>
      <c r="AI200" s="522">
        <f>IFERROR(Хронология[[#This Row],[Сутки]]+AI199, Хронология[[#This Row],[Сутки]])</f>
        <v>42.999999999999922</v>
      </c>
      <c r="AJ200"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ПНВ</v>
      </c>
      <c r="AK200"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v>
      </c>
      <c r="AL200"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4</v>
      </c>
      <c r="AM200" s="527">
        <f>IF(Хронология[[#This Row],[Результат]]="НПВ", Хронология[[#This Row],[Часы]], 0)</f>
        <v>0</v>
      </c>
      <c r="AN200" s="518">
        <f>SUMIFS(Хронология[НПВ], Хронология[Скважина], Хронология[[#This Row],[Скважина]], Хронология[Начало], "&lt;=" &amp; Хронология[[#This Row],[Начало]])</f>
        <v>43</v>
      </c>
      <c r="AO200" s="518">
        <f>SUMIFS(Хронология[ПНВ], Хронология[Скважина], Хронология[[#This Row],[Скважина]], Хронология[Начало], "&lt;=" &amp; Хронология[[#This Row],[Начало]])</f>
        <v>160.14999999999998</v>
      </c>
      <c r="AP200" s="523">
        <f>INT(ROUND(Хронология[[#This Row],[Начало]], 3))</f>
        <v>46187</v>
      </c>
      <c r="AQ200" s="524">
        <f>Хронология[[#This Row],[Начало]]-INT(Хронология[[#This Row],[Начало]])</f>
        <v>0.66666666651144624</v>
      </c>
      <c r="AR200" s="523">
        <f>INT(ROUND(Хронология[[#This Row],[Окончание]], 3))</f>
        <v>46187</v>
      </c>
      <c r="AS200" s="524">
        <f>Хронология[[#This Row],[Окончание]]-INT(Хронология[[#This Row],[Окончание]])</f>
        <v>0.83333333317568759</v>
      </c>
      <c r="AT200" s="524" t="str">
        <f>Хронология[[#This Row],[Мастер]] &amp; CHAR(10) &amp; Хронология[[#This Row],[Помощник мастера]] &amp; CHAR(10) &amp; Хронология[[#This Row],[Бурильщик]]</f>
        <v xml:space="preserve">
Хохряков В.Я.</v>
      </c>
      <c r="AU200"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600 ОК– КРС Глушение Скважина </v>
      </c>
      <c r="AV200" s="518" t="str">
        <f>Хронология[[#This Row],[Результат]]&amp;":  "&amp;Хронология[[#This Row],[Событие]]&amp; CHAR(10) &amp;Хронология[[#This Row],[Вид работ]]&amp;"  "&amp;Хронология[[#This Row],[Объект работ]]</f>
        <v>ПНВ:  
Глушение  Скважина</v>
      </c>
      <c r="AW200" s="601">
        <f>SUMIF($AU$2:AU200, Хронология[[#This Row],[Ключ]], $AH$2:AH200)</f>
        <v>4.1666666666666661</v>
      </c>
      <c r="AX200" s="516" t="str">
        <f>Хронология[[#This Row],[Вид работ]] &amp; " " &amp; Хронология[[#This Row],[Объект работ]]</f>
        <v>Глушение Скважина</v>
      </c>
    </row>
    <row r="201" spans="1:50" ht="50.5" customHeight="1">
      <c r="A201" s="540" t="s">
        <v>50</v>
      </c>
      <c r="B201" s="541" t="s">
        <v>263</v>
      </c>
      <c r="C201" s="541" t="s">
        <v>264</v>
      </c>
      <c r="D201" s="542" t="s">
        <v>265</v>
      </c>
      <c r="E201" s="517" t="s">
        <v>266</v>
      </c>
      <c r="F201" s="515"/>
      <c r="G201" s="517"/>
      <c r="H201" s="517" t="s">
        <v>278</v>
      </c>
      <c r="I201" s="518">
        <v>21</v>
      </c>
      <c r="J201" s="517" t="s">
        <v>392</v>
      </c>
      <c r="K201" s="515"/>
      <c r="L201" s="516" t="s">
        <v>59</v>
      </c>
      <c r="M201" s="516" t="s">
        <v>58</v>
      </c>
      <c r="N201" s="516"/>
      <c r="O201" s="516" t="s">
        <v>78</v>
      </c>
      <c r="P201" s="516" t="s">
        <v>393</v>
      </c>
      <c r="Q201" s="516" t="s">
        <v>86</v>
      </c>
      <c r="R201" s="516" t="s">
        <v>4</v>
      </c>
      <c r="S201" s="516"/>
      <c r="T201" s="514" t="s">
        <v>394</v>
      </c>
      <c r="U201" s="516">
        <v>4</v>
      </c>
      <c r="V201" s="516">
        <v>2758.16</v>
      </c>
      <c r="W201" s="516" t="s">
        <v>64</v>
      </c>
      <c r="X201" s="516"/>
      <c r="Y201" s="516"/>
      <c r="Z201" s="516"/>
      <c r="AA201" s="516"/>
      <c r="AB201" s="516"/>
      <c r="AC201" s="516"/>
      <c r="AD201" s="516"/>
      <c r="AE201" s="514">
        <f>IFERROR(IF(Хронология[[#This Row],[Забой, м]]-V200&lt;0, 0, Хронология[[#This Row],[Забой, м]]-V200), 0)</f>
        <v>0</v>
      </c>
      <c r="AF201" s="521">
        <f t="shared" si="3"/>
        <v>46187.833333333176</v>
      </c>
      <c r="AG201" s="521">
        <f>Хронология[[#This Row],[Начало]]+Хронология[[#This Row],[Сутки]]</f>
        <v>46187.99999999984</v>
      </c>
      <c r="AH201" s="522">
        <f>Хронология[[#This Row],[Часы]]/24</f>
        <v>0.16666666666666666</v>
      </c>
      <c r="AI201" s="522">
        <f>IFERROR(Хронология[[#This Row],[Сутки]]+AI200, Хронология[[#This Row],[Сутки]])</f>
        <v>43.166666666666586</v>
      </c>
      <c r="AJ201"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НПВ</v>
      </c>
      <c r="AK201"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v>
      </c>
      <c r="AL201"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v>
      </c>
      <c r="AM201" s="527">
        <f>IF(Хронология[[#This Row],[Результат]]="НПВ", Хронология[[#This Row],[Часы]], 0)</f>
        <v>4</v>
      </c>
      <c r="AN201" s="518">
        <f>SUMIFS(Хронология[НПВ], Хронология[Скважина], Хронология[[#This Row],[Скважина]], Хронология[Начало], "&lt;=" &amp; Хронология[[#This Row],[Начало]])</f>
        <v>47</v>
      </c>
      <c r="AO201" s="518">
        <f>SUMIFS(Хронология[ПНВ], Хронология[Скважина], Хронология[[#This Row],[Скважина]], Хронология[Начало], "&lt;=" &amp; Хронология[[#This Row],[Начало]])</f>
        <v>160.14999999999998</v>
      </c>
      <c r="AP201" s="523">
        <f>INT(ROUND(Хронология[[#This Row],[Начало]], 3))</f>
        <v>46187</v>
      </c>
      <c r="AQ201" s="524">
        <f>Хронология[[#This Row],[Начало]]-INT(Хронология[[#This Row],[Начало]])</f>
        <v>0.83333333317568759</v>
      </c>
      <c r="AR201" s="523">
        <f>INT(ROUND(Хронология[[#This Row],[Окончание]], 3))</f>
        <v>46188</v>
      </c>
      <c r="AS201" s="524">
        <f>Хронология[[#This Row],[Окончание]]-INT(Хронология[[#This Row],[Окончание]])</f>
        <v>0.99999999983992893</v>
      </c>
      <c r="AT201" s="524" t="str">
        <f>Хронология[[#This Row],[Мастер]] &amp; CHAR(10) &amp; Хронология[[#This Row],[Помощник мастера]] &amp; CHAR(10) &amp; Хронология[[#This Row],[Бурильщик]]</f>
        <v xml:space="preserve">
Хохряков В.Я.</v>
      </c>
      <c r="AU201"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600 ОК– ПР Работа комиссии Скважина </v>
      </c>
      <c r="AV201" s="518" t="str">
        <f>Хронология[[#This Row],[Результат]]&amp;":  "&amp;Хронология[[#This Row],[Событие]]&amp; CHAR(10) &amp;Хронология[[#This Row],[Вид работ]]&amp;"  "&amp;Хронология[[#This Row],[Объект работ]]</f>
        <v>НПВ:  
Работа комиссии  Скважина</v>
      </c>
      <c r="AW201" s="601">
        <f>SUMIF($AU$2:AU201, Хронология[[#This Row],[Ключ]], $AH$2:AH201)</f>
        <v>0.16666666666666666</v>
      </c>
      <c r="AX201" s="516" t="str">
        <f>Хронология[[#This Row],[Вид работ]] &amp; " " &amp; Хронология[[#This Row],[Объект работ]]</f>
        <v>Работа комиссии Скважина</v>
      </c>
    </row>
    <row r="202" spans="1:50" ht="50.5" customHeight="1">
      <c r="A202" s="540" t="s">
        <v>50</v>
      </c>
      <c r="B202" s="541" t="s">
        <v>263</v>
      </c>
      <c r="C202" s="541" t="s">
        <v>264</v>
      </c>
      <c r="D202" s="542" t="s">
        <v>265</v>
      </c>
      <c r="E202" s="517" t="s">
        <v>266</v>
      </c>
      <c r="F202" s="515" t="s">
        <v>207</v>
      </c>
      <c r="G202" s="517"/>
      <c r="H202" s="517" t="s">
        <v>267</v>
      </c>
      <c r="I202" s="518">
        <v>22</v>
      </c>
      <c r="J202" s="517" t="s">
        <v>395</v>
      </c>
      <c r="K202" s="515"/>
      <c r="L202" s="516" t="s">
        <v>51</v>
      </c>
      <c r="M202" s="516" t="s">
        <v>58</v>
      </c>
      <c r="N202" s="516"/>
      <c r="O202" s="516" t="s">
        <v>169</v>
      </c>
      <c r="P202" s="516" t="s">
        <v>170</v>
      </c>
      <c r="Q202" s="516" t="s">
        <v>137</v>
      </c>
      <c r="R202" s="516" t="s">
        <v>4</v>
      </c>
      <c r="S202" s="516"/>
      <c r="T202" s="514" t="s">
        <v>396</v>
      </c>
      <c r="U202" s="516">
        <v>7</v>
      </c>
      <c r="V202" s="516">
        <v>2758.16</v>
      </c>
      <c r="W202" s="516" t="s">
        <v>64</v>
      </c>
      <c r="X202" s="516"/>
      <c r="Y202" s="516"/>
      <c r="Z202" s="516"/>
      <c r="AA202" s="516"/>
      <c r="AB202" s="516"/>
      <c r="AC202" s="516"/>
      <c r="AD202" s="516"/>
      <c r="AE202" s="514">
        <f>IFERROR(IF(Хронология[[#This Row],[Забой, м]]-V201&lt;0, 0, Хронология[[#This Row],[Забой, м]]-V201), 0)</f>
        <v>0</v>
      </c>
      <c r="AF202" s="521">
        <f t="shared" si="3"/>
        <v>46187.99999999984</v>
      </c>
      <c r="AG202" s="521">
        <f>Хронология[[#This Row],[Начало]]+Хронология[[#This Row],[Сутки]]</f>
        <v>46188.291666666504</v>
      </c>
      <c r="AH202" s="522">
        <f>Хронология[[#This Row],[Часы]]/24</f>
        <v>0.29166666666666669</v>
      </c>
      <c r="AI202" s="522">
        <f>IFERROR(Хронология[[#This Row],[Сутки]]+AI201, Хронология[[#This Row],[Сутки]])</f>
        <v>43.45833333333325</v>
      </c>
      <c r="AJ202"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ПНВ</v>
      </c>
      <c r="AK202"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v>
      </c>
      <c r="AL202"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7</v>
      </c>
      <c r="AM202" s="527">
        <f>IF(Хронология[[#This Row],[Результат]]="НПВ", Хронология[[#This Row],[Часы]], 0)</f>
        <v>0</v>
      </c>
      <c r="AN202" s="518">
        <f>SUMIFS(Хронология[НПВ], Хронология[Скважина], Хронология[[#This Row],[Скважина]], Хронология[Начало], "&lt;=" &amp; Хронология[[#This Row],[Начало]])</f>
        <v>47</v>
      </c>
      <c r="AO202" s="518">
        <f>SUMIFS(Хронология[ПНВ], Хронология[Скважина], Хронология[[#This Row],[Скважина]], Хронология[Начало], "&lt;=" &amp; Хронология[[#This Row],[Начало]])</f>
        <v>167.14999999999998</v>
      </c>
      <c r="AP202" s="523">
        <f>INT(ROUND(Хронология[[#This Row],[Начало]], 3))</f>
        <v>46188</v>
      </c>
      <c r="AQ202" s="524">
        <f>Хронология[[#This Row],[Начало]]-INT(Хронология[[#This Row],[Начало]])</f>
        <v>0.99999999983992893</v>
      </c>
      <c r="AR202" s="523">
        <f>INT(ROUND(Хронология[[#This Row],[Окончание]], 3))</f>
        <v>46188</v>
      </c>
      <c r="AS202" s="524">
        <f>Хронология[[#This Row],[Окончание]]-INT(Хронология[[#This Row],[Окончание]])</f>
        <v>0.29166666650417028</v>
      </c>
      <c r="AT202" s="524" t="str">
        <f>Хронология[[#This Row],[Мастер]] &amp; CHAR(10) &amp; Хронология[[#This Row],[Помощник мастера]] &amp; CHAR(10) &amp; Хронология[[#This Row],[Бурильщик]]</f>
        <v>Епифанов Д.Б.
Шипунов С.И.</v>
      </c>
      <c r="AU202"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600 ОК– КРС Глушение Скважина </v>
      </c>
      <c r="AV202" s="518" t="str">
        <f>Хронология[[#This Row],[Результат]]&amp;":  "&amp;Хронология[[#This Row],[Событие]]&amp; CHAR(10) &amp;Хронология[[#This Row],[Вид работ]]&amp;"  "&amp;Хронология[[#This Row],[Объект работ]]</f>
        <v>ПНВ:  
Глушение  Скважина</v>
      </c>
      <c r="AW202" s="601">
        <f>SUMIF($AU$2:AU202, Хронология[[#This Row],[Ключ]], $AH$2:AH202)</f>
        <v>4.458333333333333</v>
      </c>
      <c r="AX202" s="516" t="str">
        <f>Хронология[[#This Row],[Вид работ]] &amp; " " &amp; Хронология[[#This Row],[Объект работ]]</f>
        <v>Глушение Скважина</v>
      </c>
    </row>
    <row r="203" spans="1:50" ht="50.5" customHeight="1">
      <c r="A203" s="540" t="s">
        <v>50</v>
      </c>
      <c r="B203" s="541" t="s">
        <v>263</v>
      </c>
      <c r="C203" s="541" t="s">
        <v>264</v>
      </c>
      <c r="D203" s="542" t="s">
        <v>265</v>
      </c>
      <c r="E203" s="517" t="s">
        <v>266</v>
      </c>
      <c r="F203" s="515" t="s">
        <v>207</v>
      </c>
      <c r="G203" s="517"/>
      <c r="H203" s="517" t="s">
        <v>278</v>
      </c>
      <c r="I203" s="518">
        <v>22</v>
      </c>
      <c r="J203" s="517" t="s">
        <v>397</v>
      </c>
      <c r="K203" s="515"/>
      <c r="L203" s="516" t="s">
        <v>51</v>
      </c>
      <c r="M203" s="516" t="s">
        <v>58</v>
      </c>
      <c r="N203" s="516"/>
      <c r="O203" s="516" t="s">
        <v>169</v>
      </c>
      <c r="P203" s="516" t="s">
        <v>188</v>
      </c>
      <c r="Q203" s="516" t="s">
        <v>137</v>
      </c>
      <c r="R203" s="516" t="s">
        <v>4</v>
      </c>
      <c r="S203" s="516"/>
      <c r="T203" s="514" t="s">
        <v>398</v>
      </c>
      <c r="U203" s="516">
        <v>5</v>
      </c>
      <c r="V203" s="516">
        <v>2758.16</v>
      </c>
      <c r="W203" s="516" t="s">
        <v>64</v>
      </c>
      <c r="X203" s="516"/>
      <c r="Y203" s="516"/>
      <c r="Z203" s="516"/>
      <c r="AA203" s="516"/>
      <c r="AB203" s="516"/>
      <c r="AC203" s="516"/>
      <c r="AD203" s="516"/>
      <c r="AE203" s="514">
        <f>IFERROR(IF(Хронология[[#This Row],[Забой, м]]-V202&lt;0, 0, Хронология[[#This Row],[Забой, м]]-V202), 0)</f>
        <v>0</v>
      </c>
      <c r="AF203" s="521">
        <f t="shared" si="3"/>
        <v>46188.291666666504</v>
      </c>
      <c r="AG203" s="521">
        <f>Хронология[[#This Row],[Начало]]+Хронология[[#This Row],[Сутки]]</f>
        <v>46188.49999999984</v>
      </c>
      <c r="AH203" s="522">
        <f>Хронология[[#This Row],[Часы]]/24</f>
        <v>0.20833333333333334</v>
      </c>
      <c r="AI203" s="522">
        <f>IFERROR(Хронология[[#This Row],[Сутки]]+AI202, Хронология[[#This Row],[Сутки]])</f>
        <v>43.666666666666586</v>
      </c>
      <c r="AJ203"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ПНВ</v>
      </c>
      <c r="AK203"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1.63</v>
      </c>
      <c r="AL203"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3.37</v>
      </c>
      <c r="AM203" s="527">
        <f>IF(Хронология[[#This Row],[Результат]]="НПВ", Хронология[[#This Row],[Часы]], 0)</f>
        <v>0</v>
      </c>
      <c r="AN203" s="518">
        <f>SUMIFS(Хронология[НПВ], Хронология[Скважина], Хронология[[#This Row],[Скважина]], Хронология[Начало], "&lt;=" &amp; Хронология[[#This Row],[Начало]])</f>
        <v>47</v>
      </c>
      <c r="AO203" s="518">
        <f>SUMIFS(Хронология[ПНВ], Хронология[Скважина], Хронология[[#This Row],[Скважина]], Хронология[Начало], "&lt;=" &amp; Хронология[[#This Row],[Начало]])</f>
        <v>170.51999999999998</v>
      </c>
      <c r="AP203" s="523">
        <f>INT(ROUND(Хронология[[#This Row],[Начало]], 3))</f>
        <v>46188</v>
      </c>
      <c r="AQ203" s="524">
        <f>Хронология[[#This Row],[Начало]]-INT(Хронология[[#This Row],[Начало]])</f>
        <v>0.29166666650417028</v>
      </c>
      <c r="AR203" s="523">
        <f>INT(ROUND(Хронология[[#This Row],[Окончание]], 3))</f>
        <v>46188</v>
      </c>
      <c r="AS203" s="524">
        <f>Хронология[[#This Row],[Окончание]]-INT(Хронология[[#This Row],[Окончание]])</f>
        <v>0.49999999983992893</v>
      </c>
      <c r="AT203" s="524" t="str">
        <f>Хронология[[#This Row],[Мастер]] &amp; CHAR(10) &amp; Хронология[[#This Row],[Помощник мастера]] &amp; CHAR(10) &amp; Хронология[[#This Row],[Бурильщик]]</f>
        <v>Епифанов Д.Б.
Хохряков В.Я.</v>
      </c>
      <c r="AU203"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600 ОК– КРС Промывка Скважина </v>
      </c>
      <c r="AV203" s="518" t="str">
        <f>Хронология[[#This Row],[Результат]]&amp;":  "&amp;Хронология[[#This Row],[Событие]]&amp; CHAR(10) &amp;Хронология[[#This Row],[Вид работ]]&amp;"  "&amp;Хронология[[#This Row],[Объект работ]]</f>
        <v>ПНВ:  
Промывка  Скважина</v>
      </c>
      <c r="AW203" s="601">
        <f>SUMIF($AU$2:AU203, Хронология[[#This Row],[Ключ]], $AH$2:AH203)</f>
        <v>0.20833333333333334</v>
      </c>
      <c r="AX203" s="516" t="str">
        <f>Хронология[[#This Row],[Вид работ]] &amp; " " &amp; Хронология[[#This Row],[Объект работ]]</f>
        <v>Промывка Скважина</v>
      </c>
    </row>
    <row r="204" spans="1:50" ht="50.5" customHeight="1">
      <c r="A204" s="540" t="s">
        <v>50</v>
      </c>
      <c r="B204" s="541" t="s">
        <v>263</v>
      </c>
      <c r="C204" s="541" t="s">
        <v>264</v>
      </c>
      <c r="D204" s="542" t="s">
        <v>265</v>
      </c>
      <c r="E204" s="517" t="s">
        <v>266</v>
      </c>
      <c r="F204" s="515" t="s">
        <v>207</v>
      </c>
      <c r="G204" s="517"/>
      <c r="H204" s="517" t="s">
        <v>278</v>
      </c>
      <c r="I204" s="518">
        <v>22</v>
      </c>
      <c r="J204" s="517" t="s">
        <v>399</v>
      </c>
      <c r="K204" s="515"/>
      <c r="L204" s="516" t="s">
        <v>51</v>
      </c>
      <c r="M204" s="516" t="s">
        <v>58</v>
      </c>
      <c r="N204" s="516"/>
      <c r="O204" s="516" t="s">
        <v>90</v>
      </c>
      <c r="P204" s="516" t="s">
        <v>91</v>
      </c>
      <c r="Q204" s="516" t="s">
        <v>92</v>
      </c>
      <c r="R204" s="516" t="s">
        <v>93</v>
      </c>
      <c r="S204" s="516"/>
      <c r="T204" s="514" t="s">
        <v>400</v>
      </c>
      <c r="U204" s="516">
        <v>4</v>
      </c>
      <c r="V204" s="516">
        <v>2758.16</v>
      </c>
      <c r="W204" s="516" t="s">
        <v>64</v>
      </c>
      <c r="X204" s="516"/>
      <c r="Y204" s="516"/>
      <c r="Z204" s="516"/>
      <c r="AA204" s="516"/>
      <c r="AB204" s="516"/>
      <c r="AC204" s="516"/>
      <c r="AD204" s="516"/>
      <c r="AE204" s="514">
        <f>IFERROR(IF(Хронология[[#This Row],[Забой, м]]-V203&lt;0, 0, Хронология[[#This Row],[Забой, м]]-V203), 0)</f>
        <v>0</v>
      </c>
      <c r="AF204" s="521">
        <f t="shared" si="3"/>
        <v>46188.49999999984</v>
      </c>
      <c r="AG204" s="521">
        <f>Хронология[[#This Row],[Начало]]+Хронология[[#This Row],[Сутки]]</f>
        <v>46188.666666666504</v>
      </c>
      <c r="AH204" s="522">
        <f>Хронология[[#This Row],[Часы]]/24</f>
        <v>0.16666666666666666</v>
      </c>
      <c r="AI204" s="522">
        <f>IFERROR(Хронология[[#This Row],[Сутки]]+AI203, Хронология[[#This Row],[Сутки]])</f>
        <v>43.83333333333325</v>
      </c>
      <c r="AJ204"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ПВ</v>
      </c>
      <c r="AK204"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4</v>
      </c>
      <c r="AL204"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v>
      </c>
      <c r="AM204" s="527">
        <f>IF(Хронология[[#This Row],[Результат]]="НПВ", Хронология[[#This Row],[Часы]], 0)</f>
        <v>0</v>
      </c>
      <c r="AN204" s="518">
        <f>SUMIFS(Хронология[НПВ], Хронология[Скважина], Хронология[[#This Row],[Скважина]], Хронология[Начало], "&lt;=" &amp; Хронология[[#This Row],[Начало]])</f>
        <v>47</v>
      </c>
      <c r="AO204" s="518">
        <f>SUMIFS(Хронология[ПНВ], Хронология[Скважина], Хронология[[#This Row],[Скважина]], Хронология[Начало], "&lt;=" &amp; Хронология[[#This Row],[Начало]])</f>
        <v>170.51999999999998</v>
      </c>
      <c r="AP204" s="523">
        <f>INT(ROUND(Хронология[[#This Row],[Начало]], 3))</f>
        <v>46188</v>
      </c>
      <c r="AQ204" s="524">
        <f>Хронология[[#This Row],[Начало]]-INT(Хронология[[#This Row],[Начало]])</f>
        <v>0.49999999983992893</v>
      </c>
      <c r="AR204" s="523">
        <f>INT(ROUND(Хронология[[#This Row],[Окончание]], 3))</f>
        <v>46188</v>
      </c>
      <c r="AS204" s="524">
        <f>Хронология[[#This Row],[Окончание]]-INT(Хронология[[#This Row],[Окончание]])</f>
        <v>0.66666666650417028</v>
      </c>
      <c r="AT204" s="524" t="str">
        <f>Хронология[[#This Row],[Мастер]] &amp; CHAR(10) &amp; Хронология[[#This Row],[Помощник мастера]] &amp; CHAR(10) &amp; Хронология[[#This Row],[Бурильщик]]</f>
        <v>Епифанов Д.Б.
Хохряков В.Я.</v>
      </c>
      <c r="AU204"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600 ОК– КРС Подъем УЭЦН </v>
      </c>
      <c r="AV204" s="518" t="str">
        <f>Хронология[[#This Row],[Результат]]&amp;":  "&amp;Хронология[[#This Row],[Событие]]&amp; CHAR(10) &amp;Хронология[[#This Row],[Вид работ]]&amp;"  "&amp;Хронология[[#This Row],[Объект работ]]</f>
        <v>ПВ:  
Подъем  УЭЦН</v>
      </c>
      <c r="AW204" s="601">
        <f>SUMIF($AU$2:AU204, Хронология[[#This Row],[Ключ]], $AH$2:AH204)</f>
        <v>0.16666666666666666</v>
      </c>
      <c r="AX204" s="516" t="str">
        <f>Хронология[[#This Row],[Вид работ]] &amp; " " &amp; Хронология[[#This Row],[Объект работ]]</f>
        <v>Подъем УЭЦН</v>
      </c>
    </row>
    <row r="205" spans="1:50" ht="50.5" customHeight="1">
      <c r="A205" s="540" t="s">
        <v>50</v>
      </c>
      <c r="B205" s="541" t="s">
        <v>263</v>
      </c>
      <c r="C205" s="541" t="s">
        <v>264</v>
      </c>
      <c r="D205" s="542" t="s">
        <v>265</v>
      </c>
      <c r="E205" s="517" t="s">
        <v>266</v>
      </c>
      <c r="F205" s="515" t="s">
        <v>207</v>
      </c>
      <c r="G205" s="517"/>
      <c r="H205" s="517" t="s">
        <v>278</v>
      </c>
      <c r="I205" s="518">
        <v>22</v>
      </c>
      <c r="J205" s="517" t="s">
        <v>401</v>
      </c>
      <c r="K205" s="515"/>
      <c r="L205" s="516" t="s">
        <v>51</v>
      </c>
      <c r="M205" s="516" t="s">
        <v>58</v>
      </c>
      <c r="N205" s="516"/>
      <c r="O205" s="516" t="s">
        <v>169</v>
      </c>
      <c r="P205" s="516" t="s">
        <v>170</v>
      </c>
      <c r="Q205" s="516" t="s">
        <v>137</v>
      </c>
      <c r="R205" s="516" t="s">
        <v>4</v>
      </c>
      <c r="S205" s="516"/>
      <c r="T205" s="514" t="s">
        <v>402</v>
      </c>
      <c r="U205" s="516">
        <v>4</v>
      </c>
      <c r="V205" s="516">
        <v>2758.16</v>
      </c>
      <c r="W205" s="516" t="s">
        <v>64</v>
      </c>
      <c r="X205" s="516"/>
      <c r="Y205" s="516"/>
      <c r="Z205" s="516"/>
      <c r="AA205" s="516"/>
      <c r="AB205" s="516"/>
      <c r="AC205" s="516"/>
      <c r="AD205" s="516"/>
      <c r="AE205" s="514">
        <f>IFERROR(IF(Хронология[[#This Row],[Забой, м]]-V204&lt;0, 0, Хронология[[#This Row],[Забой, м]]-V204), 0)</f>
        <v>0</v>
      </c>
      <c r="AF205" s="521">
        <f t="shared" si="3"/>
        <v>46188.666666666504</v>
      </c>
      <c r="AG205" s="521">
        <f>Хронология[[#This Row],[Начало]]+Хронология[[#This Row],[Сутки]]</f>
        <v>46188.833333333168</v>
      </c>
      <c r="AH205" s="522">
        <f>Хронология[[#This Row],[Часы]]/24</f>
        <v>0.16666666666666666</v>
      </c>
      <c r="AI205" s="522">
        <f>IFERROR(Хронология[[#This Row],[Сутки]]+AI204, Хронология[[#This Row],[Сутки]])</f>
        <v>43.999999999999915</v>
      </c>
      <c r="AJ205"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ПНВ</v>
      </c>
      <c r="AK205"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v>
      </c>
      <c r="AL205"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4</v>
      </c>
      <c r="AM205" s="527">
        <f>IF(Хронология[[#This Row],[Результат]]="НПВ", Хронология[[#This Row],[Часы]], 0)</f>
        <v>0</v>
      </c>
      <c r="AN205" s="518">
        <f>SUMIFS(Хронология[НПВ], Хронология[Скважина], Хронология[[#This Row],[Скважина]], Хронология[Начало], "&lt;=" &amp; Хронология[[#This Row],[Начало]])</f>
        <v>47</v>
      </c>
      <c r="AO205" s="518">
        <f>SUMIFS(Хронология[ПНВ], Хронология[Скважина], Хронология[[#This Row],[Скважина]], Хронология[Начало], "&lt;=" &amp; Хронология[[#This Row],[Начало]])</f>
        <v>174.51999999999998</v>
      </c>
      <c r="AP205" s="523">
        <f>INT(ROUND(Хронология[[#This Row],[Начало]], 3))</f>
        <v>46188</v>
      </c>
      <c r="AQ205" s="524">
        <f>Хронология[[#This Row],[Начало]]-INT(Хронология[[#This Row],[Начало]])</f>
        <v>0.66666666650417028</v>
      </c>
      <c r="AR205" s="523">
        <f>INT(ROUND(Хронология[[#This Row],[Окончание]], 3))</f>
        <v>46188</v>
      </c>
      <c r="AS205" s="524">
        <f>Хронология[[#This Row],[Окончание]]-INT(Хронология[[#This Row],[Окончание]])</f>
        <v>0.83333333316841163</v>
      </c>
      <c r="AT205" s="524" t="str">
        <f>Хронология[[#This Row],[Мастер]] &amp; CHAR(10) &amp; Хронология[[#This Row],[Помощник мастера]] &amp; CHAR(10) &amp; Хронология[[#This Row],[Бурильщик]]</f>
        <v>Епифанов Д.Б.
Хохряков В.Я.</v>
      </c>
      <c r="AU205"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600 ОК– КРС Глушение Скважина </v>
      </c>
      <c r="AV205" s="518" t="str">
        <f>Хронология[[#This Row],[Результат]]&amp;":  "&amp;Хронология[[#This Row],[Событие]]&amp; CHAR(10) &amp;Хронология[[#This Row],[Вид работ]]&amp;"  "&amp;Хронология[[#This Row],[Объект работ]]</f>
        <v>ПНВ:  
Глушение  Скважина</v>
      </c>
      <c r="AW205" s="601">
        <f>SUMIF($AU$2:AU205, Хронология[[#This Row],[Ключ]], $AH$2:AH205)</f>
        <v>4.625</v>
      </c>
      <c r="AX205" s="516" t="str">
        <f>Хронология[[#This Row],[Вид работ]] &amp; " " &amp; Хронология[[#This Row],[Объект работ]]</f>
        <v>Глушение Скважина</v>
      </c>
    </row>
    <row r="206" spans="1:50" ht="50.5" customHeight="1">
      <c r="A206" s="540" t="s">
        <v>50</v>
      </c>
      <c r="B206" s="541" t="s">
        <v>263</v>
      </c>
      <c r="C206" s="541" t="s">
        <v>264</v>
      </c>
      <c r="D206" s="542" t="s">
        <v>265</v>
      </c>
      <c r="E206" s="517" t="s">
        <v>266</v>
      </c>
      <c r="F206" s="515" t="s">
        <v>207</v>
      </c>
      <c r="G206" s="517"/>
      <c r="H206" s="517" t="s">
        <v>278</v>
      </c>
      <c r="I206" s="518">
        <v>22</v>
      </c>
      <c r="J206" s="517" t="s">
        <v>403</v>
      </c>
      <c r="K206" s="515"/>
      <c r="L206" s="516" t="s">
        <v>51</v>
      </c>
      <c r="M206" s="516" t="s">
        <v>58</v>
      </c>
      <c r="N206" s="516"/>
      <c r="O206" s="516" t="s">
        <v>169</v>
      </c>
      <c r="P206" s="516" t="s">
        <v>170</v>
      </c>
      <c r="Q206" s="516" t="s">
        <v>137</v>
      </c>
      <c r="R206" s="516" t="s">
        <v>4</v>
      </c>
      <c r="S206" s="516"/>
      <c r="T206" s="514" t="s">
        <v>404</v>
      </c>
      <c r="U206" s="516">
        <v>4</v>
      </c>
      <c r="V206" s="516">
        <v>2758.16</v>
      </c>
      <c r="W206" s="516" t="s">
        <v>64</v>
      </c>
      <c r="X206" s="516"/>
      <c r="Y206" s="516"/>
      <c r="Z206" s="516"/>
      <c r="AA206" s="516"/>
      <c r="AB206" s="516"/>
      <c r="AC206" s="516"/>
      <c r="AD206" s="516"/>
      <c r="AE206" s="514">
        <f>IFERROR(IF(Хронология[[#This Row],[Забой, м]]-V205&lt;0, 0, Хронология[[#This Row],[Забой, м]]-V205), 0)</f>
        <v>0</v>
      </c>
      <c r="AF206" s="521">
        <f t="shared" si="3"/>
        <v>46188.833333333168</v>
      </c>
      <c r="AG206" s="521">
        <f>Хронология[[#This Row],[Начало]]+Хронология[[#This Row],[Сутки]]</f>
        <v>46188.999999999833</v>
      </c>
      <c r="AH206" s="522">
        <f>Хронология[[#This Row],[Часы]]/24</f>
        <v>0.16666666666666666</v>
      </c>
      <c r="AI206" s="522">
        <f>IFERROR(Хронология[[#This Row],[Сутки]]+AI205, Хронология[[#This Row],[Сутки]])</f>
        <v>44.166666666666579</v>
      </c>
      <c r="AJ206"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ПНВ</v>
      </c>
      <c r="AK206"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v>
      </c>
      <c r="AL206"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4</v>
      </c>
      <c r="AM206" s="527">
        <f>IF(Хронология[[#This Row],[Результат]]="НПВ", Хронология[[#This Row],[Часы]], 0)</f>
        <v>0</v>
      </c>
      <c r="AN206" s="518">
        <f>SUMIFS(Хронология[НПВ], Хронология[Скважина], Хронология[[#This Row],[Скважина]], Хронология[Начало], "&lt;=" &amp; Хронология[[#This Row],[Начало]])</f>
        <v>47</v>
      </c>
      <c r="AO206" s="518">
        <f>SUMIFS(Хронология[ПНВ], Хронология[Скважина], Хронология[[#This Row],[Скважина]], Хронология[Начало], "&lt;=" &amp; Хронология[[#This Row],[Начало]])</f>
        <v>178.51999999999998</v>
      </c>
      <c r="AP206" s="523">
        <f>INT(ROUND(Хронология[[#This Row],[Начало]], 3))</f>
        <v>46188</v>
      </c>
      <c r="AQ206" s="524">
        <f>Хронология[[#This Row],[Начало]]-INT(Хронология[[#This Row],[Начало]])</f>
        <v>0.83333333316841163</v>
      </c>
      <c r="AR206" s="523">
        <f>INT(ROUND(Хронология[[#This Row],[Окончание]], 3))</f>
        <v>46189</v>
      </c>
      <c r="AS206" s="524">
        <f>Хронология[[#This Row],[Окончание]]-INT(Хронология[[#This Row],[Окончание]])</f>
        <v>0.99999999983265297</v>
      </c>
      <c r="AT206" s="524" t="str">
        <f>Хронология[[#This Row],[Мастер]] &amp; CHAR(10) &amp; Хронология[[#This Row],[Помощник мастера]] &amp; CHAR(10) &amp; Хронология[[#This Row],[Бурильщик]]</f>
        <v>Епифанов Д.Б.
Хохряков В.Я.</v>
      </c>
      <c r="AU206"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600 ОК– КРС Глушение Скважина </v>
      </c>
      <c r="AV206" s="518" t="str">
        <f>Хронология[[#This Row],[Результат]]&amp;":  "&amp;Хронология[[#This Row],[Событие]]&amp; CHAR(10) &amp;Хронология[[#This Row],[Вид работ]]&amp;"  "&amp;Хронология[[#This Row],[Объект работ]]</f>
        <v>ПНВ:  
Глушение  Скважина</v>
      </c>
      <c r="AW206" s="601">
        <f>SUMIF($AU$2:AU206, Хронология[[#This Row],[Ключ]], $AH$2:AH206)</f>
        <v>4.791666666666667</v>
      </c>
      <c r="AX206" s="516" t="str">
        <f>Хронология[[#This Row],[Вид работ]] &amp; " " &amp; Хронология[[#This Row],[Объект работ]]</f>
        <v>Глушение Скважина</v>
      </c>
    </row>
    <row r="207" spans="1:50" ht="50.5" customHeight="1">
      <c r="A207" s="540" t="s">
        <v>50</v>
      </c>
      <c r="B207" s="541" t="s">
        <v>263</v>
      </c>
      <c r="C207" s="541" t="s">
        <v>264</v>
      </c>
      <c r="D207" s="542" t="s">
        <v>265</v>
      </c>
      <c r="E207" s="517" t="s">
        <v>266</v>
      </c>
      <c r="F207" s="515"/>
      <c r="G207" s="517"/>
      <c r="H207" s="517" t="s">
        <v>267</v>
      </c>
      <c r="I207" s="518">
        <v>23</v>
      </c>
      <c r="J207" s="517" t="s">
        <v>405</v>
      </c>
      <c r="K207" s="515"/>
      <c r="L207" s="516" t="s">
        <v>51</v>
      </c>
      <c r="M207" s="516" t="s">
        <v>58</v>
      </c>
      <c r="N207" s="516"/>
      <c r="O207" s="516" t="s">
        <v>169</v>
      </c>
      <c r="P207" s="516" t="s">
        <v>170</v>
      </c>
      <c r="Q207" s="516" t="s">
        <v>137</v>
      </c>
      <c r="R207" s="516" t="s">
        <v>4</v>
      </c>
      <c r="S207" s="516"/>
      <c r="T207" s="514" t="s">
        <v>406</v>
      </c>
      <c r="U207" s="516">
        <v>7</v>
      </c>
      <c r="V207" s="516">
        <v>2758.16</v>
      </c>
      <c r="W207" s="516" t="s">
        <v>64</v>
      </c>
      <c r="X207" s="516"/>
      <c r="Y207" s="516"/>
      <c r="Z207" s="516"/>
      <c r="AA207" s="516"/>
      <c r="AB207" s="516"/>
      <c r="AC207" s="516"/>
      <c r="AD207" s="516"/>
      <c r="AE207" s="514">
        <f>IFERROR(IF(Хронология[[#This Row],[Забой, м]]-V206&lt;0, 0, Хронология[[#This Row],[Забой, м]]-V206), 0)</f>
        <v>0</v>
      </c>
      <c r="AF207" s="521">
        <f t="shared" si="3"/>
        <v>46188.999999999833</v>
      </c>
      <c r="AG207" s="521">
        <f>Хронология[[#This Row],[Начало]]+Хронология[[#This Row],[Сутки]]</f>
        <v>46189.291666666497</v>
      </c>
      <c r="AH207" s="522">
        <f>Хронология[[#This Row],[Часы]]/24</f>
        <v>0.29166666666666669</v>
      </c>
      <c r="AI207" s="522">
        <f>IFERROR(Хронология[[#This Row],[Сутки]]+AI206, Хронология[[#This Row],[Сутки]])</f>
        <v>44.458333333333243</v>
      </c>
      <c r="AJ207"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ПНВ</v>
      </c>
      <c r="AK207"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v>
      </c>
      <c r="AL207"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7</v>
      </c>
      <c r="AM207" s="527">
        <f>IF(Хронология[[#This Row],[Результат]]="НПВ", Хронология[[#This Row],[Часы]], 0)</f>
        <v>0</v>
      </c>
      <c r="AN207" s="518">
        <f>SUMIFS(Хронология[НПВ], Хронология[Скважина], Хронология[[#This Row],[Скважина]], Хронология[Начало], "&lt;=" &amp; Хронология[[#This Row],[Начало]])</f>
        <v>47</v>
      </c>
      <c r="AO207" s="518">
        <f>SUMIFS(Хронология[ПНВ], Хронология[Скважина], Хронология[[#This Row],[Скважина]], Хронология[Начало], "&lt;=" &amp; Хронология[[#This Row],[Начало]])</f>
        <v>185.51999999999998</v>
      </c>
      <c r="AP207" s="523">
        <f>INT(ROUND(Хронология[[#This Row],[Начало]], 3))</f>
        <v>46189</v>
      </c>
      <c r="AQ207" s="524">
        <f>Хронология[[#This Row],[Начало]]-INT(Хронология[[#This Row],[Начало]])</f>
        <v>0.99999999983265297</v>
      </c>
      <c r="AR207" s="523">
        <f>INT(ROUND(Хронология[[#This Row],[Окончание]], 3))</f>
        <v>46189</v>
      </c>
      <c r="AS207" s="524">
        <f>Хронология[[#This Row],[Окончание]]-INT(Хронология[[#This Row],[Окончание]])</f>
        <v>0.29166666649689432</v>
      </c>
      <c r="AT207" s="524" t="str">
        <f>Хронология[[#This Row],[Мастер]] &amp; CHAR(10) &amp; Хронология[[#This Row],[Помощник мастера]] &amp; CHAR(10) &amp; Хронология[[#This Row],[Бурильщик]]</f>
        <v xml:space="preserve">
Шипунов С.И.</v>
      </c>
      <c r="AU207"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600 ОК– КРС Глушение Скважина </v>
      </c>
      <c r="AV207" s="518" t="str">
        <f>Хронология[[#This Row],[Результат]]&amp;":  "&amp;Хронология[[#This Row],[Событие]]&amp; CHAR(10) &amp;Хронология[[#This Row],[Вид работ]]&amp;"  "&amp;Хронология[[#This Row],[Объект работ]]</f>
        <v>ПНВ:  
Глушение  Скважина</v>
      </c>
      <c r="AW207" s="601">
        <f>SUMIF($AU$2:AU207, Хронология[[#This Row],[Ключ]], $AH$2:AH207)</f>
        <v>5.0833333333333339</v>
      </c>
      <c r="AX207" s="516" t="str">
        <f>Хронология[[#This Row],[Вид работ]] &amp; " " &amp; Хронология[[#This Row],[Объект работ]]</f>
        <v>Глушение Скважина</v>
      </c>
    </row>
    <row r="208" spans="1:50" ht="50.5" customHeight="1">
      <c r="A208" s="540" t="s">
        <v>50</v>
      </c>
      <c r="B208" s="541" t="s">
        <v>263</v>
      </c>
      <c r="C208" s="541" t="s">
        <v>264</v>
      </c>
      <c r="D208" s="542" t="s">
        <v>265</v>
      </c>
      <c r="E208" s="517" t="s">
        <v>266</v>
      </c>
      <c r="F208" s="515"/>
      <c r="G208" s="517"/>
      <c r="H208" s="517" t="s">
        <v>278</v>
      </c>
      <c r="I208" s="518">
        <v>23</v>
      </c>
      <c r="J208" s="517" t="s">
        <v>407</v>
      </c>
      <c r="K208" s="515"/>
      <c r="L208" s="516" t="s">
        <v>51</v>
      </c>
      <c r="M208" s="516" t="s">
        <v>58</v>
      </c>
      <c r="N208" s="516"/>
      <c r="O208" s="516" t="s">
        <v>169</v>
      </c>
      <c r="P208" s="516" t="s">
        <v>170</v>
      </c>
      <c r="Q208" s="516" t="s">
        <v>137</v>
      </c>
      <c r="R208" s="516" t="s">
        <v>4</v>
      </c>
      <c r="S208" s="516"/>
      <c r="T208" s="514" t="s">
        <v>408</v>
      </c>
      <c r="U208" s="516">
        <v>5</v>
      </c>
      <c r="V208" s="516">
        <v>2758.16</v>
      </c>
      <c r="W208" s="516" t="s">
        <v>64</v>
      </c>
      <c r="X208" s="516"/>
      <c r="Y208" s="516"/>
      <c r="Z208" s="516"/>
      <c r="AA208" s="516"/>
      <c r="AB208" s="516"/>
      <c r="AC208" s="516"/>
      <c r="AD208" s="516"/>
      <c r="AE208" s="514">
        <f>IFERROR(IF(Хронология[[#This Row],[Забой, м]]-V207&lt;0, 0, Хронология[[#This Row],[Забой, м]]-V207), 0)</f>
        <v>0</v>
      </c>
      <c r="AF208" s="521">
        <f t="shared" si="3"/>
        <v>46189.291666666497</v>
      </c>
      <c r="AG208" s="521">
        <f>Хронология[[#This Row],[Начало]]+Хронология[[#This Row],[Сутки]]</f>
        <v>46189.499999999833</v>
      </c>
      <c r="AH208" s="522">
        <f>Хронология[[#This Row],[Часы]]/24</f>
        <v>0.20833333333333334</v>
      </c>
      <c r="AI208" s="522">
        <f>IFERROR(Хронология[[#This Row],[Сутки]]+AI207, Хронология[[#This Row],[Сутки]])</f>
        <v>44.666666666666579</v>
      </c>
      <c r="AJ208"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ПНВ</v>
      </c>
      <c r="AK208"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v>
      </c>
      <c r="AL208"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5</v>
      </c>
      <c r="AM208" s="527">
        <f>IF(Хронология[[#This Row],[Результат]]="НПВ", Хронология[[#This Row],[Часы]], 0)</f>
        <v>0</v>
      </c>
      <c r="AN208" s="518">
        <f>SUMIFS(Хронология[НПВ], Хронология[Скважина], Хронология[[#This Row],[Скважина]], Хронология[Начало], "&lt;=" &amp; Хронология[[#This Row],[Начало]])</f>
        <v>47</v>
      </c>
      <c r="AO208" s="518">
        <f>SUMIFS(Хронология[ПНВ], Хронология[Скважина], Хронология[[#This Row],[Скважина]], Хронология[Начало], "&lt;=" &amp; Хронология[[#This Row],[Начало]])</f>
        <v>190.51999999999998</v>
      </c>
      <c r="AP208" s="523">
        <f>INT(ROUND(Хронология[[#This Row],[Начало]], 3))</f>
        <v>46189</v>
      </c>
      <c r="AQ208" s="524">
        <f>Хронология[[#This Row],[Начало]]-INT(Хронология[[#This Row],[Начало]])</f>
        <v>0.29166666649689432</v>
      </c>
      <c r="AR208" s="523">
        <f>INT(ROUND(Хронология[[#This Row],[Окончание]], 3))</f>
        <v>46189</v>
      </c>
      <c r="AS208" s="524">
        <f>Хронология[[#This Row],[Окончание]]-INT(Хронология[[#This Row],[Окончание]])</f>
        <v>0.49999999983265297</v>
      </c>
      <c r="AT208" s="524" t="str">
        <f>Хронология[[#This Row],[Мастер]] &amp; CHAR(10) &amp; Хронология[[#This Row],[Помощник мастера]] &amp; CHAR(10) &amp; Хронология[[#This Row],[Бурильщик]]</f>
        <v xml:space="preserve">
Хохряков В.Я.</v>
      </c>
      <c r="AU208"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600 ОК– КРС Глушение Скважина </v>
      </c>
      <c r="AV208" s="518" t="str">
        <f>Хронология[[#This Row],[Результат]]&amp;":  "&amp;Хронология[[#This Row],[Событие]]&amp; CHAR(10) &amp;Хронология[[#This Row],[Вид работ]]&amp;"  "&amp;Хронология[[#This Row],[Объект работ]]</f>
        <v>ПНВ:  
Глушение  Скважина</v>
      </c>
      <c r="AW208" s="601">
        <f>SUMIF($AU$2:AU208, Хронология[[#This Row],[Ключ]], $AH$2:AH208)</f>
        <v>5.291666666666667</v>
      </c>
      <c r="AX208" s="516" t="str">
        <f>Хронология[[#This Row],[Вид работ]] &amp; " " &amp; Хронология[[#This Row],[Объект работ]]</f>
        <v>Глушение Скважина</v>
      </c>
    </row>
    <row r="209" spans="1:50" ht="50.5" customHeight="1">
      <c r="A209" s="540" t="s">
        <v>50</v>
      </c>
      <c r="B209" s="541" t="s">
        <v>263</v>
      </c>
      <c r="C209" s="541" t="s">
        <v>264</v>
      </c>
      <c r="D209" s="542" t="s">
        <v>265</v>
      </c>
      <c r="E209" s="517" t="s">
        <v>266</v>
      </c>
      <c r="F209" s="515"/>
      <c r="G209" s="517"/>
      <c r="H209" s="517" t="s">
        <v>278</v>
      </c>
      <c r="I209" s="518">
        <v>23</v>
      </c>
      <c r="J209" s="517" t="s">
        <v>409</v>
      </c>
      <c r="K209" s="515"/>
      <c r="L209" s="516" t="s">
        <v>51</v>
      </c>
      <c r="M209" s="516" t="s">
        <v>58</v>
      </c>
      <c r="N209" s="516"/>
      <c r="O209" s="516" t="s">
        <v>169</v>
      </c>
      <c r="P209" s="516" t="s">
        <v>170</v>
      </c>
      <c r="Q209" s="516" t="s">
        <v>137</v>
      </c>
      <c r="R209" s="516" t="s">
        <v>4</v>
      </c>
      <c r="S209" s="516"/>
      <c r="T209" s="514" t="s">
        <v>410</v>
      </c>
      <c r="U209" s="516">
        <v>4</v>
      </c>
      <c r="V209" s="516">
        <v>2758.16</v>
      </c>
      <c r="W209" s="516" t="s">
        <v>64</v>
      </c>
      <c r="X209" s="516"/>
      <c r="Y209" s="516"/>
      <c r="Z209" s="516"/>
      <c r="AA209" s="516"/>
      <c r="AB209" s="516"/>
      <c r="AC209" s="516"/>
      <c r="AD209" s="516"/>
      <c r="AE209" s="514">
        <f>IFERROR(IF(Хронология[[#This Row],[Забой, м]]-V208&lt;0, 0, Хронология[[#This Row],[Забой, м]]-V208), 0)</f>
        <v>0</v>
      </c>
      <c r="AF209" s="521">
        <f t="shared" si="3"/>
        <v>46189.499999999833</v>
      </c>
      <c r="AG209" s="521">
        <f>Хронология[[#This Row],[Начало]]+Хронология[[#This Row],[Сутки]]</f>
        <v>46189.666666666497</v>
      </c>
      <c r="AH209" s="522">
        <f>Хронология[[#This Row],[Часы]]/24</f>
        <v>0.16666666666666666</v>
      </c>
      <c r="AI209" s="522">
        <f>IFERROR(Хронология[[#This Row],[Сутки]]+AI208, Хронология[[#This Row],[Сутки]])</f>
        <v>44.833333333333243</v>
      </c>
      <c r="AJ209"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ПНВ</v>
      </c>
      <c r="AK209"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v>
      </c>
      <c r="AL209"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4</v>
      </c>
      <c r="AM209" s="527">
        <f>IF(Хронология[[#This Row],[Результат]]="НПВ", Хронология[[#This Row],[Часы]], 0)</f>
        <v>0</v>
      </c>
      <c r="AN209" s="518">
        <f>SUMIFS(Хронология[НПВ], Хронология[Скважина], Хронология[[#This Row],[Скважина]], Хронология[Начало], "&lt;=" &amp; Хронология[[#This Row],[Начало]])</f>
        <v>47</v>
      </c>
      <c r="AO209" s="518">
        <f>SUMIFS(Хронология[ПНВ], Хронология[Скважина], Хронология[[#This Row],[Скважина]], Хронология[Начало], "&lt;=" &amp; Хронология[[#This Row],[Начало]])</f>
        <v>194.51999999999998</v>
      </c>
      <c r="AP209" s="523">
        <f>INT(ROUND(Хронология[[#This Row],[Начало]], 3))</f>
        <v>46189</v>
      </c>
      <c r="AQ209" s="524">
        <f>Хронология[[#This Row],[Начало]]-INT(Хронология[[#This Row],[Начало]])</f>
        <v>0.49999999983265297</v>
      </c>
      <c r="AR209" s="523">
        <f>INT(ROUND(Хронология[[#This Row],[Окончание]], 3))</f>
        <v>46189</v>
      </c>
      <c r="AS209" s="524">
        <f>Хронология[[#This Row],[Окончание]]-INT(Хронология[[#This Row],[Окончание]])</f>
        <v>0.66666666649689432</v>
      </c>
      <c r="AT209" s="524" t="str">
        <f>Хронология[[#This Row],[Мастер]] &amp; CHAR(10) &amp; Хронология[[#This Row],[Помощник мастера]] &amp; CHAR(10) &amp; Хронология[[#This Row],[Бурильщик]]</f>
        <v xml:space="preserve">
Хохряков В.Я.</v>
      </c>
      <c r="AU209"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600 ОК– КРС Глушение Скважина </v>
      </c>
      <c r="AV209" s="518" t="str">
        <f>Хронология[[#This Row],[Результат]]&amp;":  "&amp;Хронология[[#This Row],[Событие]]&amp; CHAR(10) &amp;Хронология[[#This Row],[Вид работ]]&amp;"  "&amp;Хронология[[#This Row],[Объект работ]]</f>
        <v>ПНВ:  
Глушение  Скважина</v>
      </c>
      <c r="AW209" s="601">
        <f>SUMIF($AU$2:AU209, Хронология[[#This Row],[Ключ]], $AH$2:AH209)</f>
        <v>5.4583333333333339</v>
      </c>
      <c r="AX209" s="516" t="str">
        <f>Хронология[[#This Row],[Вид работ]] &amp; " " &amp; Хронология[[#This Row],[Объект работ]]</f>
        <v>Глушение Скважина</v>
      </c>
    </row>
    <row r="210" spans="1:50" ht="50.5" customHeight="1">
      <c r="A210" s="540" t="s">
        <v>50</v>
      </c>
      <c r="B210" s="541" t="s">
        <v>263</v>
      </c>
      <c r="C210" s="541" t="s">
        <v>264</v>
      </c>
      <c r="D210" s="542" t="s">
        <v>265</v>
      </c>
      <c r="E210" s="517" t="s">
        <v>266</v>
      </c>
      <c r="F210" s="515"/>
      <c r="G210" s="517"/>
      <c r="H210" s="517" t="s">
        <v>278</v>
      </c>
      <c r="I210" s="518">
        <v>23</v>
      </c>
      <c r="J210" s="517" t="s">
        <v>411</v>
      </c>
      <c r="K210" s="515"/>
      <c r="L210" s="516" t="s">
        <v>51</v>
      </c>
      <c r="M210" s="516" t="s">
        <v>58</v>
      </c>
      <c r="N210" s="516"/>
      <c r="O210" s="516" t="s">
        <v>169</v>
      </c>
      <c r="P210" s="516" t="s">
        <v>170</v>
      </c>
      <c r="Q210" s="516" t="s">
        <v>137</v>
      </c>
      <c r="R210" s="516" t="s">
        <v>4</v>
      </c>
      <c r="S210" s="516"/>
      <c r="T210" s="514" t="s">
        <v>412</v>
      </c>
      <c r="U210" s="516">
        <v>4</v>
      </c>
      <c r="V210" s="516">
        <v>2758.16</v>
      </c>
      <c r="W210" s="516" t="s">
        <v>64</v>
      </c>
      <c r="X210" s="516"/>
      <c r="Y210" s="516"/>
      <c r="Z210" s="516"/>
      <c r="AA210" s="516"/>
      <c r="AB210" s="516"/>
      <c r="AC210" s="516"/>
      <c r="AD210" s="516"/>
      <c r="AE210" s="514">
        <f>IFERROR(IF(Хронология[[#This Row],[Забой, м]]-V209&lt;0, 0, Хронология[[#This Row],[Забой, м]]-V209), 0)</f>
        <v>0</v>
      </c>
      <c r="AF210" s="521">
        <f t="shared" si="3"/>
        <v>46189.666666666497</v>
      </c>
      <c r="AG210" s="521">
        <f>Хронология[[#This Row],[Начало]]+Хронология[[#This Row],[Сутки]]</f>
        <v>46189.833333333161</v>
      </c>
      <c r="AH210" s="522">
        <f>Хронология[[#This Row],[Часы]]/24</f>
        <v>0.16666666666666666</v>
      </c>
      <c r="AI210" s="522">
        <f>IFERROR(Хронология[[#This Row],[Сутки]]+AI209, Хронология[[#This Row],[Сутки]])</f>
        <v>44.999999999999908</v>
      </c>
      <c r="AJ210"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ПНВ</v>
      </c>
      <c r="AK210"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v>
      </c>
      <c r="AL210"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4</v>
      </c>
      <c r="AM210" s="527">
        <f>IF(Хронология[[#This Row],[Результат]]="НПВ", Хронология[[#This Row],[Часы]], 0)</f>
        <v>0</v>
      </c>
      <c r="AN210" s="518">
        <f>SUMIFS(Хронология[НПВ], Хронология[Скважина], Хронология[[#This Row],[Скважина]], Хронология[Начало], "&lt;=" &amp; Хронология[[#This Row],[Начало]])</f>
        <v>47</v>
      </c>
      <c r="AO210" s="518">
        <f>SUMIFS(Хронология[ПНВ], Хронология[Скважина], Хронология[[#This Row],[Скважина]], Хронология[Начало], "&lt;=" &amp; Хронология[[#This Row],[Начало]])</f>
        <v>198.51999999999998</v>
      </c>
      <c r="AP210" s="523">
        <f>INT(ROUND(Хронология[[#This Row],[Начало]], 3))</f>
        <v>46189</v>
      </c>
      <c r="AQ210" s="524">
        <f>Хронология[[#This Row],[Начало]]-INT(Хронология[[#This Row],[Начало]])</f>
        <v>0.66666666649689432</v>
      </c>
      <c r="AR210" s="523">
        <f>INT(ROUND(Хронология[[#This Row],[Окончание]], 3))</f>
        <v>46189</v>
      </c>
      <c r="AS210" s="524">
        <f>Хронология[[#This Row],[Окончание]]-INT(Хронология[[#This Row],[Окончание]])</f>
        <v>0.83333333316113567</v>
      </c>
      <c r="AT210" s="524" t="str">
        <f>Хронология[[#This Row],[Мастер]] &amp; CHAR(10) &amp; Хронология[[#This Row],[Помощник мастера]] &amp; CHAR(10) &amp; Хронология[[#This Row],[Бурильщик]]</f>
        <v xml:space="preserve">
Хохряков В.Я.</v>
      </c>
      <c r="AU210"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600 ОК– КРС Глушение Скважина </v>
      </c>
      <c r="AV210" s="518" t="str">
        <f>Хронология[[#This Row],[Результат]]&amp;":  "&amp;Хронология[[#This Row],[Событие]]&amp; CHAR(10) &amp;Хронология[[#This Row],[Вид работ]]&amp;"  "&amp;Хронология[[#This Row],[Объект работ]]</f>
        <v>ПНВ:  
Глушение  Скважина</v>
      </c>
      <c r="AW210" s="601">
        <f>SUMIF($AU$2:AU210, Хронология[[#This Row],[Ключ]], $AH$2:AH210)</f>
        <v>5.6250000000000009</v>
      </c>
      <c r="AX210" s="516" t="str">
        <f>Хронология[[#This Row],[Вид работ]] &amp; " " &amp; Хронология[[#This Row],[Объект работ]]</f>
        <v>Глушение Скважина</v>
      </c>
    </row>
    <row r="211" spans="1:50" ht="50.5" customHeight="1">
      <c r="A211" s="540" t="s">
        <v>50</v>
      </c>
      <c r="B211" s="541" t="s">
        <v>263</v>
      </c>
      <c r="C211" s="541" t="s">
        <v>264</v>
      </c>
      <c r="D211" s="542" t="s">
        <v>265</v>
      </c>
      <c r="E211" s="517" t="s">
        <v>266</v>
      </c>
      <c r="F211" s="515"/>
      <c r="G211" s="517"/>
      <c r="H211" s="517" t="s">
        <v>278</v>
      </c>
      <c r="I211" s="518">
        <v>23</v>
      </c>
      <c r="J211" s="517" t="s">
        <v>413</v>
      </c>
      <c r="K211" s="515"/>
      <c r="L211" s="516" t="s">
        <v>98</v>
      </c>
      <c r="M211" s="516" t="s">
        <v>58</v>
      </c>
      <c r="N211" s="516"/>
      <c r="O211" s="516" t="s">
        <v>98</v>
      </c>
      <c r="P211" s="516" t="s">
        <v>98</v>
      </c>
      <c r="Q211" s="516" t="s">
        <v>99</v>
      </c>
      <c r="R211" s="516" t="s">
        <v>414</v>
      </c>
      <c r="S211" s="516"/>
      <c r="T211" s="514" t="s">
        <v>415</v>
      </c>
      <c r="U211" s="516">
        <v>4</v>
      </c>
      <c r="V211" s="516">
        <v>2758.16</v>
      </c>
      <c r="W211" s="516" t="s">
        <v>64</v>
      </c>
      <c r="X211" s="516"/>
      <c r="Y211" s="516"/>
      <c r="Z211" s="516"/>
      <c r="AA211" s="516"/>
      <c r="AB211" s="516"/>
      <c r="AC211" s="516"/>
      <c r="AD211" s="516"/>
      <c r="AE211" s="514">
        <f>IFERROR(IF(Хронология[[#This Row],[Забой, м]]-V210&lt;0, 0, Хронология[[#This Row],[Забой, м]]-V210), 0)</f>
        <v>0</v>
      </c>
      <c r="AF211" s="521">
        <f t="shared" si="3"/>
        <v>46189.833333333161</v>
      </c>
      <c r="AG211" s="521">
        <f>Хронология[[#This Row],[Начало]]+Хронология[[#This Row],[Сутки]]</f>
        <v>46189.999999999825</v>
      </c>
      <c r="AH211" s="522">
        <f>Хронология[[#This Row],[Часы]]/24</f>
        <v>0.16666666666666666</v>
      </c>
      <c r="AI211" s="522">
        <f>IFERROR(Хронология[[#This Row],[Сутки]]+AI210, Хронология[[#This Row],[Сутки]])</f>
        <v>45.166666666666572</v>
      </c>
      <c r="AJ211"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ПВ</v>
      </c>
      <c r="AK211"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4</v>
      </c>
      <c r="AL211"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v>
      </c>
      <c r="AM211" s="527">
        <f>IF(Хронология[[#This Row],[Результат]]="НПВ", Хронология[[#This Row],[Часы]], 0)</f>
        <v>0</v>
      </c>
      <c r="AN211" s="518">
        <f>SUMIFS(Хронология[НПВ], Хронология[Скважина], Хронология[[#This Row],[Скважина]], Хронология[Начало], "&lt;=" &amp; Хронология[[#This Row],[Начало]])</f>
        <v>47</v>
      </c>
      <c r="AO211" s="518">
        <f>SUMIFS(Хронология[ПНВ], Хронология[Скважина], Хронология[[#This Row],[Скважина]], Хронология[Начало], "&lt;=" &amp; Хронология[[#This Row],[Начало]])</f>
        <v>198.51999999999998</v>
      </c>
      <c r="AP211" s="523">
        <f>INT(ROUND(Хронология[[#This Row],[Начало]], 3))</f>
        <v>46189</v>
      </c>
      <c r="AQ211" s="524">
        <f>Хронология[[#This Row],[Начало]]-INT(Хронология[[#This Row],[Начало]])</f>
        <v>0.83333333316113567</v>
      </c>
      <c r="AR211" s="523">
        <f>INT(ROUND(Хронология[[#This Row],[Окончание]], 3))</f>
        <v>46190</v>
      </c>
      <c r="AS211" s="524">
        <f>Хронология[[#This Row],[Окончание]]-INT(Хронология[[#This Row],[Окончание]])</f>
        <v>0.99999999982537702</v>
      </c>
      <c r="AT211" s="524" t="str">
        <f>Хронология[[#This Row],[Мастер]] &amp; CHAR(10) &amp; Хронология[[#This Row],[Помощник мастера]] &amp; CHAR(10) &amp; Хронология[[#This Row],[Бурильщик]]</f>
        <v xml:space="preserve">
Хохряков В.Я.</v>
      </c>
      <c r="AU211"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600 ОК– ГИС ГИС Геофизический прибор </v>
      </c>
      <c r="AV211" s="518" t="str">
        <f>Хронология[[#This Row],[Результат]]&amp;":  "&amp;Хронология[[#This Row],[Событие]]&amp; CHAR(10) &amp;Хронология[[#This Row],[Вид работ]]&amp;"  "&amp;Хронология[[#This Row],[Объект работ]]</f>
        <v>ПВ:  
ГИС  Геофизический прибор</v>
      </c>
      <c r="AW211" s="601">
        <f>SUMIF($AU$2:AU211, Хронология[[#This Row],[Ключ]], $AH$2:AH211)</f>
        <v>0.16666666666666666</v>
      </c>
      <c r="AX211" s="516" t="str">
        <f>Хронология[[#This Row],[Вид работ]] &amp; " " &amp; Хронология[[#This Row],[Объект работ]]</f>
        <v>ГИС Геофизический прибор</v>
      </c>
    </row>
    <row r="212" spans="1:50" ht="50.5" customHeight="1">
      <c r="A212" s="540" t="s">
        <v>50</v>
      </c>
      <c r="B212" s="541" t="s">
        <v>263</v>
      </c>
      <c r="C212" s="541" t="s">
        <v>264</v>
      </c>
      <c r="D212" s="542" t="s">
        <v>265</v>
      </c>
      <c r="E212" s="517" t="s">
        <v>266</v>
      </c>
      <c r="F212" s="515" t="s">
        <v>207</v>
      </c>
      <c r="G212" s="517"/>
      <c r="H212" s="517" t="s">
        <v>267</v>
      </c>
      <c r="I212" s="518">
        <v>24</v>
      </c>
      <c r="J212" s="517" t="s">
        <v>416</v>
      </c>
      <c r="K212" s="515"/>
      <c r="L212" s="516" t="s">
        <v>98</v>
      </c>
      <c r="M212" s="516" t="s">
        <v>58</v>
      </c>
      <c r="N212" s="516"/>
      <c r="O212" s="516" t="s">
        <v>98</v>
      </c>
      <c r="P212" s="516" t="s">
        <v>98</v>
      </c>
      <c r="Q212" s="516" t="s">
        <v>99</v>
      </c>
      <c r="R212" s="516" t="s">
        <v>414</v>
      </c>
      <c r="S212" s="516"/>
      <c r="T212" s="514" t="s">
        <v>417</v>
      </c>
      <c r="U212" s="516">
        <v>7</v>
      </c>
      <c r="V212" s="516">
        <v>2758.16</v>
      </c>
      <c r="W212" s="516" t="s">
        <v>64</v>
      </c>
      <c r="X212" s="516"/>
      <c r="Y212" s="516"/>
      <c r="Z212" s="516"/>
      <c r="AA212" s="516"/>
      <c r="AB212" s="516"/>
      <c r="AC212" s="516"/>
      <c r="AD212" s="516"/>
      <c r="AE212" s="514">
        <f>IFERROR(IF(Хронология[[#This Row],[Забой, м]]-V211&lt;0, 0, Хронология[[#This Row],[Забой, м]]-V211), 0)</f>
        <v>0</v>
      </c>
      <c r="AF212" s="521">
        <f t="shared" si="3"/>
        <v>46189.999999999825</v>
      </c>
      <c r="AG212" s="521">
        <f>Хронология[[#This Row],[Начало]]+Хронология[[#This Row],[Сутки]]</f>
        <v>46190.29166666649</v>
      </c>
      <c r="AH212" s="522">
        <f>Хронология[[#This Row],[Часы]]/24</f>
        <v>0.29166666666666669</v>
      </c>
      <c r="AI212" s="522">
        <f>IFERROR(Хронология[[#This Row],[Сутки]]+AI211, Хронология[[#This Row],[Сутки]])</f>
        <v>45.458333333333236</v>
      </c>
      <c r="AJ212"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ПВ</v>
      </c>
      <c r="AK212"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7</v>
      </c>
      <c r="AL212"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v>
      </c>
      <c r="AM212" s="527">
        <f>IF(Хронология[[#This Row],[Результат]]="НПВ", Хронология[[#This Row],[Часы]], 0)</f>
        <v>0</v>
      </c>
      <c r="AN212" s="518">
        <f>SUMIFS(Хронология[НПВ], Хронология[Скважина], Хронология[[#This Row],[Скважина]], Хронология[Начало], "&lt;=" &amp; Хронология[[#This Row],[Начало]])</f>
        <v>47</v>
      </c>
      <c r="AO212" s="518">
        <f>SUMIFS(Хронология[ПНВ], Хронология[Скважина], Хронология[[#This Row],[Скважина]], Хронология[Начало], "&lt;=" &amp; Хронология[[#This Row],[Начало]])</f>
        <v>198.51999999999998</v>
      </c>
      <c r="AP212" s="523">
        <f>INT(ROUND(Хронология[[#This Row],[Начало]], 3))</f>
        <v>46190</v>
      </c>
      <c r="AQ212" s="524">
        <f>Хронология[[#This Row],[Начало]]-INT(Хронология[[#This Row],[Начало]])</f>
        <v>0.99999999982537702</v>
      </c>
      <c r="AR212" s="523">
        <f>INT(ROUND(Хронология[[#This Row],[Окончание]], 3))</f>
        <v>46190</v>
      </c>
      <c r="AS212" s="524">
        <f>Хронология[[#This Row],[Окончание]]-INT(Хронология[[#This Row],[Окончание]])</f>
        <v>0.29166666648961836</v>
      </c>
      <c r="AT212" s="524" t="str">
        <f>Хронология[[#This Row],[Мастер]] &amp; CHAR(10) &amp; Хронология[[#This Row],[Помощник мастера]] &amp; CHAR(10) &amp; Хронология[[#This Row],[Бурильщик]]</f>
        <v>Епифанов Д.Б.
Шипунов С.И.</v>
      </c>
      <c r="AU212"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600 ОК– ГИС ГИС Геофизический прибор </v>
      </c>
      <c r="AV212" s="518" t="str">
        <f>Хронология[[#This Row],[Результат]]&amp;":  "&amp;Хронология[[#This Row],[Событие]]&amp; CHAR(10) &amp;Хронология[[#This Row],[Вид работ]]&amp;"  "&amp;Хронология[[#This Row],[Объект работ]]</f>
        <v>ПВ:  
ГИС  Геофизический прибор</v>
      </c>
      <c r="AW212" s="601">
        <f>SUMIF($AU$2:AU212, Хронология[[#This Row],[Ключ]], $AH$2:AH212)</f>
        <v>0.45833333333333337</v>
      </c>
      <c r="AX212" s="516" t="str">
        <f>Хронология[[#This Row],[Вид работ]] &amp; " " &amp; Хронология[[#This Row],[Объект работ]]</f>
        <v>ГИС Геофизический прибор</v>
      </c>
    </row>
    <row r="213" spans="1:50" ht="50.5" customHeight="1">
      <c r="A213" s="540" t="s">
        <v>50</v>
      </c>
      <c r="B213" s="541" t="s">
        <v>263</v>
      </c>
      <c r="C213" s="541" t="s">
        <v>264</v>
      </c>
      <c r="D213" s="542" t="s">
        <v>265</v>
      </c>
      <c r="E213" s="517" t="s">
        <v>266</v>
      </c>
      <c r="F213" s="515" t="s">
        <v>207</v>
      </c>
      <c r="G213" s="517"/>
      <c r="H213" s="517" t="s">
        <v>278</v>
      </c>
      <c r="I213" s="518">
        <v>24</v>
      </c>
      <c r="J213" s="517" t="s">
        <v>418</v>
      </c>
      <c r="K213" s="515"/>
      <c r="L213" s="516" t="s">
        <v>51</v>
      </c>
      <c r="M213" s="516" t="s">
        <v>76</v>
      </c>
      <c r="N213" s="516" t="s">
        <v>77</v>
      </c>
      <c r="O213" s="516" t="s">
        <v>78</v>
      </c>
      <c r="P213" s="516" t="s">
        <v>285</v>
      </c>
      <c r="Q213" s="516" t="s">
        <v>61</v>
      </c>
      <c r="R213" s="516" t="s">
        <v>286</v>
      </c>
      <c r="S213" s="516"/>
      <c r="T213" s="514" t="s">
        <v>419</v>
      </c>
      <c r="U213" s="516">
        <v>5</v>
      </c>
      <c r="V213" s="516">
        <v>2758.16</v>
      </c>
      <c r="W213" s="516" t="s">
        <v>64</v>
      </c>
      <c r="X213" s="516"/>
      <c r="Y213" s="516"/>
      <c r="Z213" s="516"/>
      <c r="AA213" s="516"/>
      <c r="AB213" s="516"/>
      <c r="AC213" s="516"/>
      <c r="AD213" s="516"/>
      <c r="AE213" s="514">
        <f>IFERROR(IF(Хронология[[#This Row],[Забой, м]]-V212&lt;0, 0, Хронология[[#This Row],[Забой, м]]-V212), 0)</f>
        <v>0</v>
      </c>
      <c r="AF213" s="521">
        <f t="shared" si="3"/>
        <v>46190.29166666649</v>
      </c>
      <c r="AG213" s="521">
        <f>Хронология[[#This Row],[Начало]]+Хронология[[#This Row],[Сутки]]</f>
        <v>46190.499999999825</v>
      </c>
      <c r="AH213" s="522">
        <f>Хронология[[#This Row],[Часы]]/24</f>
        <v>0.20833333333333334</v>
      </c>
      <c r="AI213" s="522">
        <f>IFERROR(Хронология[[#This Row],[Сутки]]+AI212, Хронология[[#This Row],[Сутки]])</f>
        <v>45.666666666666572</v>
      </c>
      <c r="AJ213"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НПВ</v>
      </c>
      <c r="AK213"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v>
      </c>
      <c r="AL213"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v>
      </c>
      <c r="AM213" s="527">
        <f>IF(Хронология[[#This Row],[Результат]]="НПВ", Хронология[[#This Row],[Часы]], 0)</f>
        <v>5</v>
      </c>
      <c r="AN213" s="518">
        <f>SUMIFS(Хронология[НПВ], Хронология[Скважина], Хронология[[#This Row],[Скважина]], Хронология[Начало], "&lt;=" &amp; Хронология[[#This Row],[Начало]])</f>
        <v>52</v>
      </c>
      <c r="AO213" s="518">
        <f>SUMIFS(Хронология[ПНВ], Хронология[Скважина], Хронология[[#This Row],[Скважина]], Хронология[Начало], "&lt;=" &amp; Хронология[[#This Row],[Начало]])</f>
        <v>198.51999999999998</v>
      </c>
      <c r="AP213" s="523">
        <f>INT(ROUND(Хронология[[#This Row],[Начало]], 3))</f>
        <v>46190</v>
      </c>
      <c r="AQ213" s="524">
        <f>Хронология[[#This Row],[Начало]]-INT(Хронология[[#This Row],[Начало]])</f>
        <v>0.29166666648961836</v>
      </c>
      <c r="AR213" s="523">
        <f>INT(ROUND(Хронология[[#This Row],[Окончание]], 3))</f>
        <v>46190</v>
      </c>
      <c r="AS213" s="524">
        <f>Хронология[[#This Row],[Окончание]]-INT(Хронология[[#This Row],[Окончание]])</f>
        <v>0.49999999982537702</v>
      </c>
      <c r="AT213" s="524" t="str">
        <f>Хронология[[#This Row],[Мастер]] &amp; CHAR(10) &amp; Хронология[[#This Row],[Помощник мастера]] &amp; CHAR(10) &amp; Хронология[[#This Row],[Бурильщик]]</f>
        <v>Епифанов Д.Б.
Хохряков В.Я.</v>
      </c>
      <c r="AU213"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600 ОК– КРС Орг_простой Ожидание разрешения Тех. дежурство Бригада КРС </v>
      </c>
      <c r="AV213" s="518" t="str">
        <f>Хронология[[#This Row],[Результат]]&amp;":  "&amp;Хронология[[#This Row],[Событие]]&amp; CHAR(10) &amp;Хронология[[#This Row],[Вид работ]]&amp;"  "&amp;Хронология[[#This Row],[Объект работ]]</f>
        <v>НПВ:  Ожидание разрешения
Тех. дежурство  Бригада КРС</v>
      </c>
      <c r="AW213" s="601">
        <f>SUMIF($AU$2:AU213, Хронология[[#This Row],[Ключ]], $AH$2:AH213)</f>
        <v>1.7083333333333333</v>
      </c>
      <c r="AX213" s="516" t="str">
        <f>Хронология[[#This Row],[Вид работ]] &amp; " " &amp; Хронология[[#This Row],[Объект работ]]</f>
        <v>Тех. дежурство Бригада КРС</v>
      </c>
    </row>
    <row r="214" spans="1:50" ht="50.5" customHeight="1">
      <c r="A214" s="540" t="s">
        <v>50</v>
      </c>
      <c r="B214" s="541" t="s">
        <v>263</v>
      </c>
      <c r="C214" s="541" t="s">
        <v>264</v>
      </c>
      <c r="D214" s="542" t="s">
        <v>265</v>
      </c>
      <c r="E214" s="517" t="s">
        <v>266</v>
      </c>
      <c r="F214" s="515" t="s">
        <v>207</v>
      </c>
      <c r="G214" s="517"/>
      <c r="H214" s="517" t="s">
        <v>278</v>
      </c>
      <c r="I214" s="518">
        <v>24</v>
      </c>
      <c r="J214" s="517" t="s">
        <v>420</v>
      </c>
      <c r="K214" s="515"/>
      <c r="L214" s="516" t="s">
        <v>51</v>
      </c>
      <c r="M214" s="516" t="s">
        <v>76</v>
      </c>
      <c r="N214" s="516" t="s">
        <v>77</v>
      </c>
      <c r="O214" s="516" t="s">
        <v>78</v>
      </c>
      <c r="P214" s="516" t="s">
        <v>285</v>
      </c>
      <c r="Q214" s="516" t="s">
        <v>61</v>
      </c>
      <c r="R214" s="516" t="s">
        <v>286</v>
      </c>
      <c r="S214" s="516"/>
      <c r="T214" s="514" t="s">
        <v>421</v>
      </c>
      <c r="U214" s="516">
        <v>4</v>
      </c>
      <c r="V214" s="516">
        <v>2758.16</v>
      </c>
      <c r="W214" s="516" t="s">
        <v>64</v>
      </c>
      <c r="X214" s="516"/>
      <c r="Y214" s="516"/>
      <c r="Z214" s="516"/>
      <c r="AA214" s="516"/>
      <c r="AB214" s="516"/>
      <c r="AC214" s="516"/>
      <c r="AD214" s="516"/>
      <c r="AE214" s="514">
        <f>IFERROR(IF(Хронология[[#This Row],[Забой, м]]-V213&lt;0, 0, Хронология[[#This Row],[Забой, м]]-V213), 0)</f>
        <v>0</v>
      </c>
      <c r="AF214" s="521">
        <f t="shared" si="3"/>
        <v>46190.499999999825</v>
      </c>
      <c r="AG214" s="521">
        <f>Хронология[[#This Row],[Начало]]+Хронология[[#This Row],[Сутки]]</f>
        <v>46190.66666666649</v>
      </c>
      <c r="AH214" s="522">
        <f>Хронология[[#This Row],[Часы]]/24</f>
        <v>0.16666666666666666</v>
      </c>
      <c r="AI214" s="522">
        <f>IFERROR(Хронология[[#This Row],[Сутки]]+AI213, Хронология[[#This Row],[Сутки]])</f>
        <v>45.833333333333236</v>
      </c>
      <c r="AJ214"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НПВ</v>
      </c>
      <c r="AK214"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v>
      </c>
      <c r="AL214"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v>
      </c>
      <c r="AM214" s="527">
        <f>IF(Хронология[[#This Row],[Результат]]="НПВ", Хронология[[#This Row],[Часы]], 0)</f>
        <v>4</v>
      </c>
      <c r="AN214" s="518">
        <f>SUMIFS(Хронология[НПВ], Хронология[Скважина], Хронология[[#This Row],[Скважина]], Хронология[Начало], "&lt;=" &amp; Хронология[[#This Row],[Начало]])</f>
        <v>56</v>
      </c>
      <c r="AO214" s="518">
        <f>SUMIFS(Хронология[ПНВ], Хронология[Скважина], Хронология[[#This Row],[Скважина]], Хронология[Начало], "&lt;=" &amp; Хронология[[#This Row],[Начало]])</f>
        <v>198.51999999999998</v>
      </c>
      <c r="AP214" s="523">
        <f>INT(ROUND(Хронология[[#This Row],[Начало]], 3))</f>
        <v>46190</v>
      </c>
      <c r="AQ214" s="524">
        <f>Хронология[[#This Row],[Начало]]-INT(Хронология[[#This Row],[Начало]])</f>
        <v>0.49999999982537702</v>
      </c>
      <c r="AR214" s="523">
        <f>INT(ROUND(Хронология[[#This Row],[Окончание]], 3))</f>
        <v>46190</v>
      </c>
      <c r="AS214" s="524">
        <f>Хронология[[#This Row],[Окончание]]-INT(Хронология[[#This Row],[Окончание]])</f>
        <v>0.66666666648961836</v>
      </c>
      <c r="AT214" s="524" t="str">
        <f>Хронология[[#This Row],[Мастер]] &amp; CHAR(10) &amp; Хронология[[#This Row],[Помощник мастера]] &amp; CHAR(10) &amp; Хронология[[#This Row],[Бурильщик]]</f>
        <v>Епифанов Д.Б.
Хохряков В.Я.</v>
      </c>
      <c r="AU214"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600 ОК– КРС Орг_простой Ожидание разрешения Тех. дежурство Бригада КРС </v>
      </c>
      <c r="AV214" s="518" t="str">
        <f>Хронология[[#This Row],[Результат]]&amp;":  "&amp;Хронология[[#This Row],[Событие]]&amp; CHAR(10) &amp;Хронология[[#This Row],[Вид работ]]&amp;"  "&amp;Хронология[[#This Row],[Объект работ]]</f>
        <v>НПВ:  Ожидание разрешения
Тех. дежурство  Бригада КРС</v>
      </c>
      <c r="AW214" s="601">
        <f>SUMIF($AU$2:AU214, Хронология[[#This Row],[Ключ]], $AH$2:AH214)</f>
        <v>1.875</v>
      </c>
      <c r="AX214" s="516" t="str">
        <f>Хронология[[#This Row],[Вид работ]] &amp; " " &amp; Хронология[[#This Row],[Объект работ]]</f>
        <v>Тех. дежурство Бригада КРС</v>
      </c>
    </row>
    <row r="215" spans="1:50" ht="50.5" customHeight="1">
      <c r="A215" s="540" t="s">
        <v>50</v>
      </c>
      <c r="B215" s="541" t="s">
        <v>263</v>
      </c>
      <c r="C215" s="541" t="s">
        <v>264</v>
      </c>
      <c r="D215" s="542" t="s">
        <v>265</v>
      </c>
      <c r="E215" s="517" t="s">
        <v>266</v>
      </c>
      <c r="F215" s="515" t="s">
        <v>207</v>
      </c>
      <c r="G215" s="517"/>
      <c r="H215" s="517" t="s">
        <v>278</v>
      </c>
      <c r="I215" s="518">
        <v>24</v>
      </c>
      <c r="J215" s="517" t="s">
        <v>422</v>
      </c>
      <c r="K215" s="515"/>
      <c r="L215" s="516" t="s">
        <v>51</v>
      </c>
      <c r="M215" s="516" t="s">
        <v>76</v>
      </c>
      <c r="N215" s="516" t="s">
        <v>77</v>
      </c>
      <c r="O215" s="516" t="s">
        <v>78</v>
      </c>
      <c r="P215" s="516" t="s">
        <v>285</v>
      </c>
      <c r="Q215" s="516" t="s">
        <v>61</v>
      </c>
      <c r="R215" s="516" t="s">
        <v>286</v>
      </c>
      <c r="S215" s="516"/>
      <c r="T215" s="514" t="s">
        <v>423</v>
      </c>
      <c r="U215" s="516">
        <v>4</v>
      </c>
      <c r="V215" s="516">
        <v>2758.16</v>
      </c>
      <c r="W215" s="516" t="s">
        <v>64</v>
      </c>
      <c r="X215" s="516"/>
      <c r="Y215" s="516"/>
      <c r="Z215" s="516"/>
      <c r="AA215" s="516"/>
      <c r="AB215" s="516"/>
      <c r="AC215" s="516"/>
      <c r="AD215" s="516"/>
      <c r="AE215" s="514">
        <f>IFERROR(IF(Хронология[[#This Row],[Забой, м]]-V214&lt;0, 0, Хронология[[#This Row],[Забой, м]]-V214), 0)</f>
        <v>0</v>
      </c>
      <c r="AF215" s="521">
        <f t="shared" si="3"/>
        <v>46190.66666666649</v>
      </c>
      <c r="AG215" s="521">
        <f>Хронология[[#This Row],[Начало]]+Хронология[[#This Row],[Сутки]]</f>
        <v>46190.833333333154</v>
      </c>
      <c r="AH215" s="522">
        <f>Хронология[[#This Row],[Часы]]/24</f>
        <v>0.16666666666666666</v>
      </c>
      <c r="AI215" s="522">
        <f>IFERROR(Хронология[[#This Row],[Сутки]]+AI214, Хронология[[#This Row],[Сутки]])</f>
        <v>45.999999999999901</v>
      </c>
      <c r="AJ215"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НПВ</v>
      </c>
      <c r="AK215"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v>
      </c>
      <c r="AL215"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v>
      </c>
      <c r="AM215" s="527">
        <f>IF(Хронология[[#This Row],[Результат]]="НПВ", Хронология[[#This Row],[Часы]], 0)</f>
        <v>4</v>
      </c>
      <c r="AN215" s="518">
        <f>SUMIFS(Хронология[НПВ], Хронология[Скважина], Хронология[[#This Row],[Скважина]], Хронология[Начало], "&lt;=" &amp; Хронология[[#This Row],[Начало]])</f>
        <v>60</v>
      </c>
      <c r="AO215" s="518">
        <f>SUMIFS(Хронология[ПНВ], Хронология[Скважина], Хронология[[#This Row],[Скважина]], Хронология[Начало], "&lt;=" &amp; Хронология[[#This Row],[Начало]])</f>
        <v>198.51999999999998</v>
      </c>
      <c r="AP215" s="523">
        <f>INT(ROUND(Хронология[[#This Row],[Начало]], 3))</f>
        <v>46190</v>
      </c>
      <c r="AQ215" s="524">
        <f>Хронология[[#This Row],[Начало]]-INT(Хронология[[#This Row],[Начало]])</f>
        <v>0.66666666648961836</v>
      </c>
      <c r="AR215" s="523">
        <f>INT(ROUND(Хронология[[#This Row],[Окончание]], 3))</f>
        <v>46190</v>
      </c>
      <c r="AS215" s="524">
        <f>Хронология[[#This Row],[Окончание]]-INT(Хронология[[#This Row],[Окончание]])</f>
        <v>0.83333333315385971</v>
      </c>
      <c r="AT215" s="524" t="str">
        <f>Хронология[[#This Row],[Мастер]] &amp; CHAR(10) &amp; Хронология[[#This Row],[Помощник мастера]] &amp; CHAR(10) &amp; Хронология[[#This Row],[Бурильщик]]</f>
        <v>Епифанов Д.Б.
Хохряков В.Я.</v>
      </c>
      <c r="AU215"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600 ОК– КРС Орг_простой Ожидание разрешения Тех. дежурство Бригада КРС </v>
      </c>
      <c r="AV215" s="518" t="str">
        <f>Хронология[[#This Row],[Результат]]&amp;":  "&amp;Хронология[[#This Row],[Событие]]&amp; CHAR(10) &amp;Хронология[[#This Row],[Вид работ]]&amp;"  "&amp;Хронология[[#This Row],[Объект работ]]</f>
        <v>НПВ:  Ожидание разрешения
Тех. дежурство  Бригада КРС</v>
      </c>
      <c r="AW215" s="601">
        <f>SUMIF($AU$2:AU215, Хронология[[#This Row],[Ключ]], $AH$2:AH215)</f>
        <v>2.0416666666666665</v>
      </c>
      <c r="AX215" s="516" t="str">
        <f>Хронология[[#This Row],[Вид работ]] &amp; " " &amp; Хронология[[#This Row],[Объект работ]]</f>
        <v>Тех. дежурство Бригада КРС</v>
      </c>
    </row>
    <row r="216" spans="1:50" ht="50.5" customHeight="1">
      <c r="A216" s="540" t="s">
        <v>50</v>
      </c>
      <c r="B216" s="541" t="s">
        <v>263</v>
      </c>
      <c r="C216" s="541" t="s">
        <v>264</v>
      </c>
      <c r="D216" s="542" t="s">
        <v>265</v>
      </c>
      <c r="E216" s="517" t="s">
        <v>266</v>
      </c>
      <c r="F216" s="515" t="s">
        <v>207</v>
      </c>
      <c r="G216" s="517"/>
      <c r="H216" s="517" t="s">
        <v>278</v>
      </c>
      <c r="I216" s="518">
        <v>24</v>
      </c>
      <c r="J216" s="517" t="s">
        <v>424</v>
      </c>
      <c r="K216" s="515"/>
      <c r="L216" s="516" t="s">
        <v>51</v>
      </c>
      <c r="M216" s="516" t="s">
        <v>76</v>
      </c>
      <c r="N216" s="516" t="s">
        <v>77</v>
      </c>
      <c r="O216" s="516" t="s">
        <v>78</v>
      </c>
      <c r="P216" s="516" t="s">
        <v>285</v>
      </c>
      <c r="Q216" s="516" t="s">
        <v>61</v>
      </c>
      <c r="R216" s="516" t="s">
        <v>286</v>
      </c>
      <c r="S216" s="516"/>
      <c r="T216" s="514" t="s">
        <v>425</v>
      </c>
      <c r="U216" s="516">
        <v>4</v>
      </c>
      <c r="V216" s="516">
        <v>2758.16</v>
      </c>
      <c r="W216" s="516" t="s">
        <v>64</v>
      </c>
      <c r="X216" s="516"/>
      <c r="Y216" s="516"/>
      <c r="Z216" s="516"/>
      <c r="AA216" s="516"/>
      <c r="AB216" s="516"/>
      <c r="AC216" s="516"/>
      <c r="AD216" s="516"/>
      <c r="AE216" s="514">
        <f>IFERROR(IF(Хронология[[#This Row],[Забой, м]]-V215&lt;0, 0, Хронология[[#This Row],[Забой, м]]-V215), 0)</f>
        <v>0</v>
      </c>
      <c r="AF216" s="521">
        <f t="shared" si="3"/>
        <v>46190.833333333154</v>
      </c>
      <c r="AG216" s="521">
        <f>Хронология[[#This Row],[Начало]]+Хронология[[#This Row],[Сутки]]</f>
        <v>46190.999999999818</v>
      </c>
      <c r="AH216" s="522">
        <f>Хронология[[#This Row],[Часы]]/24</f>
        <v>0.16666666666666666</v>
      </c>
      <c r="AI216" s="522">
        <f>IFERROR(Хронология[[#This Row],[Сутки]]+AI215, Хронология[[#This Row],[Сутки]])</f>
        <v>46.166666666666565</v>
      </c>
      <c r="AJ216"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НПВ</v>
      </c>
      <c r="AK216"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v>
      </c>
      <c r="AL216"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v>
      </c>
      <c r="AM216" s="527">
        <f>IF(Хронология[[#This Row],[Результат]]="НПВ", Хронология[[#This Row],[Часы]], 0)</f>
        <v>4</v>
      </c>
      <c r="AN216" s="518">
        <f>SUMIFS(Хронология[НПВ], Хронология[Скважина], Хронология[[#This Row],[Скважина]], Хронология[Начало], "&lt;=" &amp; Хронология[[#This Row],[Начало]])</f>
        <v>64</v>
      </c>
      <c r="AO216" s="518">
        <f>SUMIFS(Хронология[ПНВ], Хронология[Скважина], Хронология[[#This Row],[Скважина]], Хронология[Начало], "&lt;=" &amp; Хронология[[#This Row],[Начало]])</f>
        <v>198.51999999999998</v>
      </c>
      <c r="AP216" s="523">
        <f>INT(ROUND(Хронология[[#This Row],[Начало]], 3))</f>
        <v>46190</v>
      </c>
      <c r="AQ216" s="524">
        <f>Хронология[[#This Row],[Начало]]-INT(Хронология[[#This Row],[Начало]])</f>
        <v>0.83333333315385971</v>
      </c>
      <c r="AR216" s="523">
        <f>INT(ROUND(Хронология[[#This Row],[Окончание]], 3))</f>
        <v>46191</v>
      </c>
      <c r="AS216" s="524">
        <f>Хронология[[#This Row],[Окончание]]-INT(Хронология[[#This Row],[Окончание]])</f>
        <v>0.99999999981810106</v>
      </c>
      <c r="AT216" s="524" t="str">
        <f>Хронология[[#This Row],[Мастер]] &amp; CHAR(10) &amp; Хронология[[#This Row],[Помощник мастера]] &amp; CHAR(10) &amp; Хронология[[#This Row],[Бурильщик]]</f>
        <v>Епифанов Д.Б.
Хохряков В.Я.</v>
      </c>
      <c r="AU216"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600 ОК– КРС Орг_простой Ожидание разрешения Тех. дежурство Бригада КРС </v>
      </c>
      <c r="AV216" s="518" t="str">
        <f>Хронология[[#This Row],[Результат]]&amp;":  "&amp;Хронология[[#This Row],[Событие]]&amp; CHAR(10) &amp;Хронология[[#This Row],[Вид работ]]&amp;"  "&amp;Хронология[[#This Row],[Объект работ]]</f>
        <v>НПВ:  Ожидание разрешения
Тех. дежурство  Бригада КРС</v>
      </c>
      <c r="AW216" s="601">
        <f>SUMIF($AU$2:AU216, Хронология[[#This Row],[Ключ]], $AH$2:AH216)</f>
        <v>2.208333333333333</v>
      </c>
      <c r="AX216" s="516" t="str">
        <f>Хронология[[#This Row],[Вид работ]] &amp; " " &amp; Хронология[[#This Row],[Объект работ]]</f>
        <v>Тех. дежурство Бригада КРС</v>
      </c>
    </row>
    <row r="217" spans="1:50" ht="50.5" customHeight="1">
      <c r="A217" s="540" t="s">
        <v>50</v>
      </c>
      <c r="B217" s="541" t="s">
        <v>263</v>
      </c>
      <c r="C217" s="541" t="s">
        <v>264</v>
      </c>
      <c r="D217" s="542" t="s">
        <v>265</v>
      </c>
      <c r="E217" s="517" t="s">
        <v>266</v>
      </c>
      <c r="F217" s="515"/>
      <c r="G217" s="517"/>
      <c r="H217" s="517" t="s">
        <v>267</v>
      </c>
      <c r="I217" s="518">
        <v>25</v>
      </c>
      <c r="J217" s="517" t="s">
        <v>426</v>
      </c>
      <c r="K217" s="515"/>
      <c r="L217" s="516" t="s">
        <v>51</v>
      </c>
      <c r="M217" s="516" t="s">
        <v>76</v>
      </c>
      <c r="N217" s="516" t="s">
        <v>77</v>
      </c>
      <c r="O217" s="516" t="s">
        <v>78</v>
      </c>
      <c r="P217" s="516" t="s">
        <v>285</v>
      </c>
      <c r="Q217" s="516" t="s">
        <v>61</v>
      </c>
      <c r="R217" s="516" t="s">
        <v>286</v>
      </c>
      <c r="S217" s="516"/>
      <c r="T217" s="514" t="s">
        <v>427</v>
      </c>
      <c r="U217" s="516">
        <v>7</v>
      </c>
      <c r="V217" s="516">
        <v>2758.16</v>
      </c>
      <c r="W217" s="516" t="s">
        <v>64</v>
      </c>
      <c r="X217" s="516"/>
      <c r="Y217" s="516"/>
      <c r="Z217" s="516"/>
      <c r="AA217" s="516"/>
      <c r="AB217" s="516"/>
      <c r="AC217" s="516"/>
      <c r="AD217" s="516"/>
      <c r="AE217" s="514">
        <f>IFERROR(IF(Хронология[[#This Row],[Забой, м]]-V216&lt;0, 0, Хронология[[#This Row],[Забой, м]]-V216), 0)</f>
        <v>0</v>
      </c>
      <c r="AF217" s="521">
        <f t="shared" si="3"/>
        <v>46190.999999999818</v>
      </c>
      <c r="AG217" s="521">
        <f>Хронология[[#This Row],[Начало]]+Хронология[[#This Row],[Сутки]]</f>
        <v>46191.291666666482</v>
      </c>
      <c r="AH217" s="522">
        <f>Хронология[[#This Row],[Часы]]/24</f>
        <v>0.29166666666666669</v>
      </c>
      <c r="AI217" s="522">
        <f>IFERROR(Хронология[[#This Row],[Сутки]]+AI216, Хронология[[#This Row],[Сутки]])</f>
        <v>46.458333333333229</v>
      </c>
      <c r="AJ217"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НПВ</v>
      </c>
      <c r="AK217"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v>
      </c>
      <c r="AL217"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v>
      </c>
      <c r="AM217" s="527">
        <f>IF(Хронология[[#This Row],[Результат]]="НПВ", Хронология[[#This Row],[Часы]], 0)</f>
        <v>7</v>
      </c>
      <c r="AN217" s="518">
        <f>SUMIFS(Хронология[НПВ], Хронология[Скважина], Хронология[[#This Row],[Скважина]], Хронология[Начало], "&lt;=" &amp; Хронология[[#This Row],[Начало]])</f>
        <v>71</v>
      </c>
      <c r="AO217" s="518">
        <f>SUMIFS(Хронология[ПНВ], Хронология[Скважина], Хронология[[#This Row],[Скважина]], Хронология[Начало], "&lt;=" &amp; Хронология[[#This Row],[Начало]])</f>
        <v>198.51999999999998</v>
      </c>
      <c r="AP217" s="523">
        <f>INT(ROUND(Хронология[[#This Row],[Начало]], 3))</f>
        <v>46191</v>
      </c>
      <c r="AQ217" s="524">
        <f>Хронология[[#This Row],[Начало]]-INT(Хронология[[#This Row],[Начало]])</f>
        <v>0.99999999981810106</v>
      </c>
      <c r="AR217" s="523">
        <f>INT(ROUND(Хронология[[#This Row],[Окончание]], 3))</f>
        <v>46191</v>
      </c>
      <c r="AS217" s="524">
        <f>Хронология[[#This Row],[Окончание]]-INT(Хронология[[#This Row],[Окончание]])</f>
        <v>0.29166666648234241</v>
      </c>
      <c r="AT217" s="524" t="str">
        <f>Хронология[[#This Row],[Мастер]] &amp; CHAR(10) &amp; Хронология[[#This Row],[Помощник мастера]] &amp; CHAR(10) &amp; Хронология[[#This Row],[Бурильщик]]</f>
        <v xml:space="preserve">
Шипунов С.И.</v>
      </c>
      <c r="AU217"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600 ОК– КРС Орг_простой Ожидание разрешения Тех. дежурство Бригада КРС </v>
      </c>
      <c r="AV217" s="518" t="str">
        <f>Хронология[[#This Row],[Результат]]&amp;":  "&amp;Хронология[[#This Row],[Событие]]&amp; CHAR(10) &amp;Хронология[[#This Row],[Вид работ]]&amp;"  "&amp;Хронология[[#This Row],[Объект работ]]</f>
        <v>НПВ:  Ожидание разрешения
Тех. дежурство  Бригада КРС</v>
      </c>
      <c r="AW217" s="601">
        <f>SUMIF($AU$2:AU217, Хронология[[#This Row],[Ключ]], $AH$2:AH217)</f>
        <v>2.4999999999999996</v>
      </c>
      <c r="AX217" s="516" t="str">
        <f>Хронология[[#This Row],[Вид работ]] &amp; " " &amp; Хронология[[#This Row],[Объект работ]]</f>
        <v>Тех. дежурство Бригада КРС</v>
      </c>
    </row>
    <row r="218" spans="1:50" ht="50.5" customHeight="1">
      <c r="A218" s="540" t="s">
        <v>50</v>
      </c>
      <c r="B218" s="541" t="s">
        <v>263</v>
      </c>
      <c r="C218" s="541" t="s">
        <v>264</v>
      </c>
      <c r="D218" s="542" t="s">
        <v>265</v>
      </c>
      <c r="E218" s="517" t="s">
        <v>266</v>
      </c>
      <c r="F218" s="515" t="s">
        <v>66</v>
      </c>
      <c r="G218" s="517"/>
      <c r="H218" s="517" t="s">
        <v>428</v>
      </c>
      <c r="I218" s="518">
        <v>25</v>
      </c>
      <c r="J218" s="517" t="s">
        <v>429</v>
      </c>
      <c r="K218" s="515"/>
      <c r="L218" s="516" t="s">
        <v>51</v>
      </c>
      <c r="M218" s="516" t="s">
        <v>76</v>
      </c>
      <c r="N218" s="516" t="s">
        <v>77</v>
      </c>
      <c r="O218" s="516" t="s">
        <v>78</v>
      </c>
      <c r="P218" s="516" t="s">
        <v>285</v>
      </c>
      <c r="Q218" s="516" t="s">
        <v>61</v>
      </c>
      <c r="R218" s="516" t="s">
        <v>286</v>
      </c>
      <c r="S218" s="516"/>
      <c r="T218" s="514" t="s">
        <v>430</v>
      </c>
      <c r="U218" s="516">
        <v>5</v>
      </c>
      <c r="V218" s="516">
        <v>2758.16</v>
      </c>
      <c r="W218" s="516" t="s">
        <v>64</v>
      </c>
      <c r="X218" s="516"/>
      <c r="Y218" s="516"/>
      <c r="Z218" s="516"/>
      <c r="AA218" s="516"/>
      <c r="AB218" s="516"/>
      <c r="AC218" s="516"/>
      <c r="AD218" s="516"/>
      <c r="AE218" s="514">
        <f>IFERROR(IF(Хронология[[#This Row],[Забой, м]]-V217&lt;0, 0, Хронология[[#This Row],[Забой, м]]-V217), 0)</f>
        <v>0</v>
      </c>
      <c r="AF218" s="521">
        <f t="shared" si="3"/>
        <v>46191.291666666482</v>
      </c>
      <c r="AG218" s="521">
        <f>Хронология[[#This Row],[Начало]]+Хронология[[#This Row],[Сутки]]</f>
        <v>46191.499999999818</v>
      </c>
      <c r="AH218" s="522">
        <f>Хронология[[#This Row],[Часы]]/24</f>
        <v>0.20833333333333334</v>
      </c>
      <c r="AI218" s="522">
        <f>IFERROR(Хронология[[#This Row],[Сутки]]+AI217, Хронология[[#This Row],[Сутки]])</f>
        <v>46.666666666666565</v>
      </c>
      <c r="AJ218"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НПВ</v>
      </c>
      <c r="AK218"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v>
      </c>
      <c r="AL218"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v>
      </c>
      <c r="AM218" s="527">
        <f>IF(Хронология[[#This Row],[Результат]]="НПВ", Хронология[[#This Row],[Часы]], 0)</f>
        <v>5</v>
      </c>
      <c r="AN218" s="518">
        <f>SUMIFS(Хронология[НПВ], Хронология[Скважина], Хронология[[#This Row],[Скважина]], Хронология[Начало], "&lt;=" &amp; Хронология[[#This Row],[Начало]])</f>
        <v>76</v>
      </c>
      <c r="AO218" s="518">
        <f>SUMIFS(Хронология[ПНВ], Хронология[Скважина], Хронология[[#This Row],[Скважина]], Хронология[Начало], "&lt;=" &amp; Хронология[[#This Row],[Начало]])</f>
        <v>198.51999999999998</v>
      </c>
      <c r="AP218" s="523">
        <f>INT(ROUND(Хронология[[#This Row],[Начало]], 3))</f>
        <v>46191</v>
      </c>
      <c r="AQ218" s="524">
        <f>Хронология[[#This Row],[Начало]]-INT(Хронология[[#This Row],[Начало]])</f>
        <v>0.29166666648234241</v>
      </c>
      <c r="AR218" s="523">
        <f>INT(ROUND(Хронология[[#This Row],[Окончание]], 3))</f>
        <v>46191</v>
      </c>
      <c r="AS218" s="524">
        <f>Хронология[[#This Row],[Окончание]]-INT(Хронология[[#This Row],[Окончание]])</f>
        <v>0.49999999981810106</v>
      </c>
      <c r="AT218" s="524" t="str">
        <f>Хронология[[#This Row],[Мастер]] &amp; CHAR(10) &amp; Хронология[[#This Row],[Помощник мастера]] &amp; CHAR(10) &amp; Хронология[[#This Row],[Бурильщик]]</f>
        <v>Жабин П.П.
Титов А.А.</v>
      </c>
      <c r="AU218"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600 ОК– КРС Орг_простой Ожидание разрешения Тех. дежурство Бригада КРС </v>
      </c>
      <c r="AV218" s="518" t="str">
        <f>Хронология[[#This Row],[Результат]]&amp;":  "&amp;Хронология[[#This Row],[Событие]]&amp; CHAR(10) &amp;Хронология[[#This Row],[Вид работ]]&amp;"  "&amp;Хронология[[#This Row],[Объект работ]]</f>
        <v>НПВ:  Ожидание разрешения
Тех. дежурство  Бригада КРС</v>
      </c>
      <c r="AW218" s="601">
        <f>SUMIF($AU$2:AU218, Хронология[[#This Row],[Ключ]], $AH$2:AH218)</f>
        <v>2.708333333333333</v>
      </c>
      <c r="AX218" s="516" t="str">
        <f>Хронология[[#This Row],[Вид работ]] &amp; " " &amp; Хронология[[#This Row],[Объект работ]]</f>
        <v>Тех. дежурство Бригада КРС</v>
      </c>
    </row>
    <row r="219" spans="1:50" ht="50.5" customHeight="1">
      <c r="A219" s="540" t="s">
        <v>50</v>
      </c>
      <c r="B219" s="541" t="s">
        <v>263</v>
      </c>
      <c r="C219" s="541" t="s">
        <v>264</v>
      </c>
      <c r="D219" s="542" t="s">
        <v>265</v>
      </c>
      <c r="E219" s="517" t="s">
        <v>266</v>
      </c>
      <c r="F219" s="515" t="s">
        <v>66</v>
      </c>
      <c r="G219" s="517"/>
      <c r="H219" s="517" t="s">
        <v>428</v>
      </c>
      <c r="I219" s="518">
        <v>25</v>
      </c>
      <c r="J219" s="517" t="s">
        <v>431</v>
      </c>
      <c r="K219" s="515"/>
      <c r="L219" s="516" t="s">
        <v>51</v>
      </c>
      <c r="M219" s="516" t="s">
        <v>76</v>
      </c>
      <c r="N219" s="516" t="s">
        <v>77</v>
      </c>
      <c r="O219" s="516" t="s">
        <v>78</v>
      </c>
      <c r="P219" s="516" t="s">
        <v>285</v>
      </c>
      <c r="Q219" s="516" t="s">
        <v>61</v>
      </c>
      <c r="R219" s="516" t="s">
        <v>286</v>
      </c>
      <c r="S219" s="516"/>
      <c r="T219" s="514" t="s">
        <v>432</v>
      </c>
      <c r="U219" s="516">
        <v>4</v>
      </c>
      <c r="V219" s="516">
        <v>2758.16</v>
      </c>
      <c r="W219" s="516" t="s">
        <v>64</v>
      </c>
      <c r="X219" s="516"/>
      <c r="Y219" s="516"/>
      <c r="Z219" s="516"/>
      <c r="AA219" s="516"/>
      <c r="AB219" s="516"/>
      <c r="AC219" s="516"/>
      <c r="AD219" s="516"/>
      <c r="AE219" s="514">
        <f>IFERROR(IF(Хронология[[#This Row],[Забой, м]]-V218&lt;0, 0, Хронология[[#This Row],[Забой, м]]-V218), 0)</f>
        <v>0</v>
      </c>
      <c r="AF219" s="521">
        <f t="shared" si="3"/>
        <v>46191.499999999818</v>
      </c>
      <c r="AG219" s="521">
        <f>Хронология[[#This Row],[Начало]]+Хронология[[#This Row],[Сутки]]</f>
        <v>46191.666666666482</v>
      </c>
      <c r="AH219" s="522">
        <f>Хронология[[#This Row],[Часы]]/24</f>
        <v>0.16666666666666666</v>
      </c>
      <c r="AI219" s="522">
        <f>IFERROR(Хронология[[#This Row],[Сутки]]+AI218, Хронология[[#This Row],[Сутки]])</f>
        <v>46.833333333333229</v>
      </c>
      <c r="AJ219"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НПВ</v>
      </c>
      <c r="AK219"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v>
      </c>
      <c r="AL219"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v>
      </c>
      <c r="AM219" s="527">
        <f>IF(Хронология[[#This Row],[Результат]]="НПВ", Хронология[[#This Row],[Часы]], 0)</f>
        <v>4</v>
      </c>
      <c r="AN219" s="518">
        <f>SUMIFS(Хронология[НПВ], Хронология[Скважина], Хронология[[#This Row],[Скважина]], Хронология[Начало], "&lt;=" &amp; Хронология[[#This Row],[Начало]])</f>
        <v>80</v>
      </c>
      <c r="AO219" s="518">
        <f>SUMIFS(Хронология[ПНВ], Хронология[Скважина], Хронология[[#This Row],[Скважина]], Хронология[Начало], "&lt;=" &amp; Хронология[[#This Row],[Начало]])</f>
        <v>198.51999999999998</v>
      </c>
      <c r="AP219" s="523">
        <f>INT(ROUND(Хронология[[#This Row],[Начало]], 3))</f>
        <v>46191</v>
      </c>
      <c r="AQ219" s="524">
        <f>Хронология[[#This Row],[Начало]]-INT(Хронология[[#This Row],[Начало]])</f>
        <v>0.49999999981810106</v>
      </c>
      <c r="AR219" s="523">
        <f>INT(ROUND(Хронология[[#This Row],[Окончание]], 3))</f>
        <v>46191</v>
      </c>
      <c r="AS219" s="524">
        <f>Хронология[[#This Row],[Окончание]]-INT(Хронология[[#This Row],[Окончание]])</f>
        <v>0.66666666648234241</v>
      </c>
      <c r="AT219" s="524" t="str">
        <f>Хронология[[#This Row],[Мастер]] &amp; CHAR(10) &amp; Хронология[[#This Row],[Помощник мастера]] &amp; CHAR(10) &amp; Хронология[[#This Row],[Бурильщик]]</f>
        <v>Жабин П.П.
Титов А.А.</v>
      </c>
      <c r="AU219"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600 ОК– КРС Орг_простой Ожидание разрешения Тех. дежурство Бригада КРС </v>
      </c>
      <c r="AV219" s="518" t="str">
        <f>Хронология[[#This Row],[Результат]]&amp;":  "&amp;Хронология[[#This Row],[Событие]]&amp; CHAR(10) &amp;Хронология[[#This Row],[Вид работ]]&amp;"  "&amp;Хронология[[#This Row],[Объект работ]]</f>
        <v>НПВ:  Ожидание разрешения
Тех. дежурство  Бригада КРС</v>
      </c>
      <c r="AW219" s="601">
        <f>SUMIF($AU$2:AU219, Хронология[[#This Row],[Ключ]], $AH$2:AH219)</f>
        <v>2.8749999999999996</v>
      </c>
      <c r="AX219" s="516" t="str">
        <f>Хронология[[#This Row],[Вид работ]] &amp; " " &amp; Хронология[[#This Row],[Объект работ]]</f>
        <v>Тех. дежурство Бригада КРС</v>
      </c>
    </row>
    <row r="220" spans="1:50" ht="50.5" customHeight="1">
      <c r="A220" s="540" t="s">
        <v>50</v>
      </c>
      <c r="B220" s="541" t="s">
        <v>263</v>
      </c>
      <c r="C220" s="541" t="s">
        <v>264</v>
      </c>
      <c r="D220" s="542" t="s">
        <v>265</v>
      </c>
      <c r="E220" s="517" t="s">
        <v>266</v>
      </c>
      <c r="F220" s="515" t="s">
        <v>66</v>
      </c>
      <c r="G220" s="517"/>
      <c r="H220" s="517" t="s">
        <v>428</v>
      </c>
      <c r="I220" s="518">
        <v>25</v>
      </c>
      <c r="J220" s="517" t="s">
        <v>433</v>
      </c>
      <c r="K220" s="515"/>
      <c r="L220" s="516" t="s">
        <v>51</v>
      </c>
      <c r="M220" s="516" t="s">
        <v>76</v>
      </c>
      <c r="N220" s="516" t="s">
        <v>77</v>
      </c>
      <c r="O220" s="516" t="s">
        <v>78</v>
      </c>
      <c r="P220" s="516" t="s">
        <v>285</v>
      </c>
      <c r="Q220" s="516" t="s">
        <v>61</v>
      </c>
      <c r="R220" s="516" t="s">
        <v>286</v>
      </c>
      <c r="S220" s="516"/>
      <c r="T220" s="514" t="s">
        <v>434</v>
      </c>
      <c r="U220" s="516">
        <v>4</v>
      </c>
      <c r="V220" s="516">
        <v>2758.16</v>
      </c>
      <c r="W220" s="516" t="s">
        <v>64</v>
      </c>
      <c r="X220" s="516"/>
      <c r="Y220" s="516"/>
      <c r="Z220" s="516"/>
      <c r="AA220" s="516"/>
      <c r="AB220" s="516"/>
      <c r="AC220" s="516"/>
      <c r="AD220" s="516"/>
      <c r="AE220" s="514">
        <f>IFERROR(IF(Хронология[[#This Row],[Забой, м]]-V219&lt;0, 0, Хронология[[#This Row],[Забой, м]]-V219), 0)</f>
        <v>0</v>
      </c>
      <c r="AF220" s="521">
        <f t="shared" si="3"/>
        <v>46191.666666666482</v>
      </c>
      <c r="AG220" s="521">
        <f>Хронология[[#This Row],[Начало]]+Хронология[[#This Row],[Сутки]]</f>
        <v>46191.833333333147</v>
      </c>
      <c r="AH220" s="522">
        <f>Хронология[[#This Row],[Часы]]/24</f>
        <v>0.16666666666666666</v>
      </c>
      <c r="AI220" s="522">
        <f>IFERROR(Хронология[[#This Row],[Сутки]]+AI219, Хронология[[#This Row],[Сутки]])</f>
        <v>46.999999999999893</v>
      </c>
      <c r="AJ220"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НПВ</v>
      </c>
      <c r="AK220"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v>
      </c>
      <c r="AL220"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v>
      </c>
      <c r="AM220" s="527">
        <f>IF(Хронология[[#This Row],[Результат]]="НПВ", Хронология[[#This Row],[Часы]], 0)</f>
        <v>4</v>
      </c>
      <c r="AN220" s="518">
        <f>SUMIFS(Хронология[НПВ], Хронология[Скважина], Хронология[[#This Row],[Скважина]], Хронология[Начало], "&lt;=" &amp; Хронология[[#This Row],[Начало]])</f>
        <v>84</v>
      </c>
      <c r="AO220" s="518">
        <f>SUMIFS(Хронология[ПНВ], Хронология[Скважина], Хронология[[#This Row],[Скважина]], Хронология[Начало], "&lt;=" &amp; Хронология[[#This Row],[Начало]])</f>
        <v>198.51999999999998</v>
      </c>
      <c r="AP220" s="523">
        <f>INT(ROUND(Хронология[[#This Row],[Начало]], 3))</f>
        <v>46191</v>
      </c>
      <c r="AQ220" s="524">
        <f>Хронология[[#This Row],[Начало]]-INT(Хронология[[#This Row],[Начало]])</f>
        <v>0.66666666648234241</v>
      </c>
      <c r="AR220" s="523">
        <f>INT(ROUND(Хронология[[#This Row],[Окончание]], 3))</f>
        <v>46191</v>
      </c>
      <c r="AS220" s="524">
        <f>Хронология[[#This Row],[Окончание]]-INT(Хронология[[#This Row],[Окончание]])</f>
        <v>0.83333333314658375</v>
      </c>
      <c r="AT220" s="524" t="str">
        <f>Хронология[[#This Row],[Мастер]] &amp; CHAR(10) &amp; Хронология[[#This Row],[Помощник мастера]] &amp; CHAR(10) &amp; Хронология[[#This Row],[Бурильщик]]</f>
        <v>Жабин П.П.
Титов А.А.</v>
      </c>
      <c r="AU220"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600 ОК– КРС Орг_простой Ожидание разрешения Тех. дежурство Бригада КРС </v>
      </c>
      <c r="AV220" s="518" t="str">
        <f>Хронология[[#This Row],[Результат]]&amp;":  "&amp;Хронология[[#This Row],[Событие]]&amp; CHAR(10) &amp;Хронология[[#This Row],[Вид работ]]&amp;"  "&amp;Хронология[[#This Row],[Объект работ]]</f>
        <v>НПВ:  Ожидание разрешения
Тех. дежурство  Бригада КРС</v>
      </c>
      <c r="AW220" s="601">
        <f>SUMIF($AU$2:AU220, Хронология[[#This Row],[Ключ]], $AH$2:AH220)</f>
        <v>3.0416666666666661</v>
      </c>
      <c r="AX220" s="516" t="str">
        <f>Хронология[[#This Row],[Вид работ]] &amp; " " &amp; Хронология[[#This Row],[Объект работ]]</f>
        <v>Тех. дежурство Бригада КРС</v>
      </c>
    </row>
    <row r="221" spans="1:50" ht="50.5" customHeight="1">
      <c r="A221" s="540" t="s">
        <v>50</v>
      </c>
      <c r="B221" s="541" t="s">
        <v>263</v>
      </c>
      <c r="C221" s="541" t="s">
        <v>264</v>
      </c>
      <c r="D221" s="542" t="s">
        <v>265</v>
      </c>
      <c r="E221" s="517" t="s">
        <v>266</v>
      </c>
      <c r="F221" s="515" t="s">
        <v>66</v>
      </c>
      <c r="G221" s="517"/>
      <c r="H221" s="517" t="s">
        <v>428</v>
      </c>
      <c r="I221" s="518">
        <v>25</v>
      </c>
      <c r="J221" s="517" t="s">
        <v>435</v>
      </c>
      <c r="K221" s="515"/>
      <c r="L221" s="516" t="s">
        <v>51</v>
      </c>
      <c r="M221" s="516" t="s">
        <v>76</v>
      </c>
      <c r="N221" s="516" t="s">
        <v>77</v>
      </c>
      <c r="O221" s="516" t="s">
        <v>78</v>
      </c>
      <c r="P221" s="516" t="s">
        <v>285</v>
      </c>
      <c r="Q221" s="516" t="s">
        <v>61</v>
      </c>
      <c r="R221" s="516" t="s">
        <v>286</v>
      </c>
      <c r="S221" s="516"/>
      <c r="T221" s="514" t="s">
        <v>436</v>
      </c>
      <c r="U221" s="516">
        <v>4</v>
      </c>
      <c r="V221" s="516">
        <v>2758.16</v>
      </c>
      <c r="W221" s="516" t="s">
        <v>64</v>
      </c>
      <c r="X221" s="516"/>
      <c r="Y221" s="516"/>
      <c r="Z221" s="516"/>
      <c r="AA221" s="516"/>
      <c r="AB221" s="516"/>
      <c r="AC221" s="516"/>
      <c r="AD221" s="516"/>
      <c r="AE221" s="514">
        <f>IFERROR(IF(Хронология[[#This Row],[Забой, м]]-V220&lt;0, 0, Хронология[[#This Row],[Забой, м]]-V220), 0)</f>
        <v>0</v>
      </c>
      <c r="AF221" s="521">
        <f t="shared" si="3"/>
        <v>46191.833333333147</v>
      </c>
      <c r="AG221" s="521">
        <f>Хронология[[#This Row],[Начало]]+Хронология[[#This Row],[Сутки]]</f>
        <v>46191.999999999811</v>
      </c>
      <c r="AH221" s="522">
        <f>Хронология[[#This Row],[Часы]]/24</f>
        <v>0.16666666666666666</v>
      </c>
      <c r="AI221" s="522">
        <f>IFERROR(Хронология[[#This Row],[Сутки]]+AI220, Хронология[[#This Row],[Сутки]])</f>
        <v>47.166666666666558</v>
      </c>
      <c r="AJ221"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НПВ</v>
      </c>
      <c r="AK221"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v>
      </c>
      <c r="AL221"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v>
      </c>
      <c r="AM221" s="527">
        <f>IF(Хронология[[#This Row],[Результат]]="НПВ", Хронология[[#This Row],[Часы]], 0)</f>
        <v>4</v>
      </c>
      <c r="AN221" s="518">
        <f>SUMIFS(Хронология[НПВ], Хронология[Скважина], Хронология[[#This Row],[Скважина]], Хронология[Начало], "&lt;=" &amp; Хронология[[#This Row],[Начало]])</f>
        <v>88</v>
      </c>
      <c r="AO221" s="518">
        <f>SUMIFS(Хронология[ПНВ], Хронология[Скважина], Хронология[[#This Row],[Скважина]], Хронология[Начало], "&lt;=" &amp; Хронология[[#This Row],[Начало]])</f>
        <v>198.51999999999998</v>
      </c>
      <c r="AP221" s="523">
        <f>INT(ROUND(Хронология[[#This Row],[Начало]], 3))</f>
        <v>46191</v>
      </c>
      <c r="AQ221" s="524">
        <f>Хронология[[#This Row],[Начало]]-INT(Хронология[[#This Row],[Начало]])</f>
        <v>0.83333333314658375</v>
      </c>
      <c r="AR221" s="523">
        <f>INT(ROUND(Хронология[[#This Row],[Окончание]], 3))</f>
        <v>46192</v>
      </c>
      <c r="AS221" s="524">
        <f>Хронология[[#This Row],[Окончание]]-INT(Хронология[[#This Row],[Окончание]])</f>
        <v>0.9999999998108251</v>
      </c>
      <c r="AT221" s="524" t="str">
        <f>Хронология[[#This Row],[Мастер]] &amp; CHAR(10) &amp; Хронология[[#This Row],[Помощник мастера]] &amp; CHAR(10) &amp; Хронология[[#This Row],[Бурильщик]]</f>
        <v>Жабин П.П.
Титов А.А.</v>
      </c>
      <c r="AU221"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600 ОК– КРС Орг_простой Ожидание разрешения Тех. дежурство Бригада КРС </v>
      </c>
      <c r="AV221" s="518" t="str">
        <f>Хронология[[#This Row],[Результат]]&amp;":  "&amp;Хронология[[#This Row],[Событие]]&amp; CHAR(10) &amp;Хронология[[#This Row],[Вид работ]]&amp;"  "&amp;Хронология[[#This Row],[Объект работ]]</f>
        <v>НПВ:  Ожидание разрешения
Тех. дежурство  Бригада КРС</v>
      </c>
      <c r="AW221" s="601">
        <f>SUMIF($AU$2:AU221, Хронология[[#This Row],[Ключ]], $AH$2:AH221)</f>
        <v>3.2083333333333326</v>
      </c>
      <c r="AX221" s="516" t="str">
        <f>Хронология[[#This Row],[Вид работ]] &amp; " " &amp; Хронология[[#This Row],[Объект работ]]</f>
        <v>Тех. дежурство Бригада КРС</v>
      </c>
    </row>
    <row r="222" spans="1:50" ht="50.5" customHeight="1">
      <c r="A222" s="540" t="s">
        <v>50</v>
      </c>
      <c r="B222" s="541" t="s">
        <v>263</v>
      </c>
      <c r="C222" s="541" t="s">
        <v>264</v>
      </c>
      <c r="D222" s="542" t="s">
        <v>265</v>
      </c>
      <c r="E222" s="517" t="s">
        <v>266</v>
      </c>
      <c r="F222" s="515"/>
      <c r="G222" s="517"/>
      <c r="H222" s="517" t="s">
        <v>437</v>
      </c>
      <c r="I222" s="518">
        <v>26</v>
      </c>
      <c r="J222" s="517" t="s">
        <v>438</v>
      </c>
      <c r="K222" s="515"/>
      <c r="L222" s="516" t="s">
        <v>51</v>
      </c>
      <c r="M222" s="516" t="s">
        <v>76</v>
      </c>
      <c r="N222" s="516" t="s">
        <v>77</v>
      </c>
      <c r="O222" s="516" t="s">
        <v>78</v>
      </c>
      <c r="P222" s="516" t="s">
        <v>285</v>
      </c>
      <c r="Q222" s="516" t="s">
        <v>61</v>
      </c>
      <c r="R222" s="516" t="s">
        <v>286</v>
      </c>
      <c r="S222" s="516"/>
      <c r="T222" s="514" t="s">
        <v>439</v>
      </c>
      <c r="U222" s="516">
        <v>7</v>
      </c>
      <c r="V222" s="516">
        <v>2758.16</v>
      </c>
      <c r="W222" s="516" t="s">
        <v>64</v>
      </c>
      <c r="X222" s="516"/>
      <c r="Y222" s="516"/>
      <c r="Z222" s="516"/>
      <c r="AA222" s="516"/>
      <c r="AB222" s="516"/>
      <c r="AC222" s="516"/>
      <c r="AD222" s="516"/>
      <c r="AE222" s="514">
        <f>IFERROR(IF(Хронология[[#This Row],[Забой, м]]-V221&lt;0, 0, Хронология[[#This Row],[Забой, м]]-V221), 0)</f>
        <v>0</v>
      </c>
      <c r="AF222" s="521">
        <f t="shared" si="3"/>
        <v>46191.999999999811</v>
      </c>
      <c r="AG222" s="521">
        <f>Хронология[[#This Row],[Начало]]+Хронология[[#This Row],[Сутки]]</f>
        <v>46192.291666666475</v>
      </c>
      <c r="AH222" s="522">
        <f>Хронология[[#This Row],[Часы]]/24</f>
        <v>0.29166666666666669</v>
      </c>
      <c r="AI222" s="522">
        <f>IFERROR(Хронология[[#This Row],[Сутки]]+AI221, Хронология[[#This Row],[Сутки]])</f>
        <v>47.458333333333222</v>
      </c>
      <c r="AJ222"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НПВ</v>
      </c>
      <c r="AK222"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v>
      </c>
      <c r="AL222"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v>
      </c>
      <c r="AM222" s="527">
        <f>IF(Хронология[[#This Row],[Результат]]="НПВ", Хронология[[#This Row],[Часы]], 0)</f>
        <v>7</v>
      </c>
      <c r="AN222" s="518">
        <f>SUMIFS(Хронология[НПВ], Хронология[Скважина], Хронология[[#This Row],[Скважина]], Хронология[Начало], "&lt;=" &amp; Хронология[[#This Row],[Начало]])</f>
        <v>95</v>
      </c>
      <c r="AO222" s="518">
        <f>SUMIFS(Хронология[ПНВ], Хронология[Скважина], Хронология[[#This Row],[Скважина]], Хронология[Начало], "&lt;=" &amp; Хронология[[#This Row],[Начало]])</f>
        <v>198.51999999999998</v>
      </c>
      <c r="AP222" s="523">
        <f>INT(ROUND(Хронология[[#This Row],[Начало]], 3))</f>
        <v>46192</v>
      </c>
      <c r="AQ222" s="524">
        <f>Хронология[[#This Row],[Начало]]-INT(Хронология[[#This Row],[Начало]])</f>
        <v>0.9999999998108251</v>
      </c>
      <c r="AR222" s="523">
        <f>INT(ROUND(Хронология[[#This Row],[Окончание]], 3))</f>
        <v>46192</v>
      </c>
      <c r="AS222" s="524">
        <f>Хронология[[#This Row],[Окончание]]-INT(Хронология[[#This Row],[Окончание]])</f>
        <v>0.29166666647506645</v>
      </c>
      <c r="AT222" s="524" t="str">
        <f>Хронология[[#This Row],[Мастер]] &amp; CHAR(10) &amp; Хронология[[#This Row],[Помощник мастера]] &amp; CHAR(10) &amp; Хронология[[#This Row],[Бурильщик]]</f>
        <v xml:space="preserve">
Арбузов А.В.</v>
      </c>
      <c r="AU222"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600 ОК– КРС Орг_простой Ожидание разрешения Тех. дежурство Бригада КРС </v>
      </c>
      <c r="AV222" s="518" t="str">
        <f>Хронология[[#This Row],[Результат]]&amp;":  "&amp;Хронология[[#This Row],[Событие]]&amp; CHAR(10) &amp;Хронология[[#This Row],[Вид работ]]&amp;"  "&amp;Хронология[[#This Row],[Объект работ]]</f>
        <v>НПВ:  Ожидание разрешения
Тех. дежурство  Бригада КРС</v>
      </c>
      <c r="AW222" s="601">
        <f>SUMIF($AU$2:AU222, Хронология[[#This Row],[Ключ]], $AH$2:AH222)</f>
        <v>3.4999999999999991</v>
      </c>
      <c r="AX222" s="516" t="str">
        <f>Хронология[[#This Row],[Вид работ]] &amp; " " &amp; Хронология[[#This Row],[Объект работ]]</f>
        <v>Тех. дежурство Бригада КРС</v>
      </c>
    </row>
    <row r="223" spans="1:50" ht="50.5" customHeight="1">
      <c r="A223" s="540" t="s">
        <v>50</v>
      </c>
      <c r="B223" s="541" t="s">
        <v>263</v>
      </c>
      <c r="C223" s="541" t="s">
        <v>264</v>
      </c>
      <c r="D223" s="542" t="s">
        <v>265</v>
      </c>
      <c r="E223" s="517" t="s">
        <v>266</v>
      </c>
      <c r="F223" s="515"/>
      <c r="G223" s="517"/>
      <c r="H223" s="517" t="s">
        <v>428</v>
      </c>
      <c r="I223" s="518">
        <v>26</v>
      </c>
      <c r="J223" s="517" t="s">
        <v>440</v>
      </c>
      <c r="K223" s="515"/>
      <c r="L223" s="516" t="s">
        <v>51</v>
      </c>
      <c r="M223" s="516" t="s">
        <v>76</v>
      </c>
      <c r="N223" s="516" t="s">
        <v>77</v>
      </c>
      <c r="O223" s="516" t="s">
        <v>78</v>
      </c>
      <c r="P223" s="516" t="s">
        <v>285</v>
      </c>
      <c r="Q223" s="516" t="s">
        <v>61</v>
      </c>
      <c r="R223" s="516" t="s">
        <v>286</v>
      </c>
      <c r="S223" s="516"/>
      <c r="T223" s="514" t="s">
        <v>441</v>
      </c>
      <c r="U223" s="516">
        <v>5</v>
      </c>
      <c r="V223" s="516">
        <v>2758.16</v>
      </c>
      <c r="W223" s="516" t="s">
        <v>64</v>
      </c>
      <c r="X223" s="516"/>
      <c r="Y223" s="516"/>
      <c r="Z223" s="516"/>
      <c r="AA223" s="516"/>
      <c r="AB223" s="516"/>
      <c r="AC223" s="516"/>
      <c r="AD223" s="516"/>
      <c r="AE223" s="514">
        <f>IFERROR(IF(Хронология[[#This Row],[Забой, м]]-V222&lt;0, 0, Хронология[[#This Row],[Забой, м]]-V222), 0)</f>
        <v>0</v>
      </c>
      <c r="AF223" s="521">
        <f t="shared" si="3"/>
        <v>46192.291666666475</v>
      </c>
      <c r="AG223" s="521">
        <f>Хронология[[#This Row],[Начало]]+Хронология[[#This Row],[Сутки]]</f>
        <v>46192.499999999811</v>
      </c>
      <c r="AH223" s="522">
        <f>Хронология[[#This Row],[Часы]]/24</f>
        <v>0.20833333333333334</v>
      </c>
      <c r="AI223" s="522">
        <f>IFERROR(Хронология[[#This Row],[Сутки]]+AI222, Хронология[[#This Row],[Сутки]])</f>
        <v>47.666666666666558</v>
      </c>
      <c r="AJ223"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НПВ</v>
      </c>
      <c r="AK223"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v>
      </c>
      <c r="AL223"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v>
      </c>
      <c r="AM223" s="527">
        <f>IF(Хронология[[#This Row],[Результат]]="НПВ", Хронология[[#This Row],[Часы]], 0)</f>
        <v>5</v>
      </c>
      <c r="AN223" s="518">
        <f>SUMIFS(Хронология[НПВ], Хронология[Скважина], Хронология[[#This Row],[Скважина]], Хронология[Начало], "&lt;=" &amp; Хронология[[#This Row],[Начало]])</f>
        <v>100</v>
      </c>
      <c r="AO223" s="518">
        <f>SUMIFS(Хронология[ПНВ], Хронология[Скважина], Хронология[[#This Row],[Скважина]], Хронология[Начало], "&lt;=" &amp; Хронология[[#This Row],[Начало]])</f>
        <v>198.51999999999998</v>
      </c>
      <c r="AP223" s="523">
        <f>INT(ROUND(Хронология[[#This Row],[Начало]], 3))</f>
        <v>46192</v>
      </c>
      <c r="AQ223" s="524">
        <f>Хронология[[#This Row],[Начало]]-INT(Хронология[[#This Row],[Начало]])</f>
        <v>0.29166666647506645</v>
      </c>
      <c r="AR223" s="523">
        <f>INT(ROUND(Хронология[[#This Row],[Окончание]], 3))</f>
        <v>46192</v>
      </c>
      <c r="AS223" s="524">
        <f>Хронология[[#This Row],[Окончание]]-INT(Хронология[[#This Row],[Окончание]])</f>
        <v>0.4999999998108251</v>
      </c>
      <c r="AT223" s="524" t="str">
        <f>Хронология[[#This Row],[Мастер]] &amp; CHAR(10) &amp; Хронология[[#This Row],[Помощник мастера]] &amp; CHAR(10) &amp; Хронология[[#This Row],[Бурильщик]]</f>
        <v xml:space="preserve">
Титов А.А.</v>
      </c>
      <c r="AU223"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600 ОК– КРС Орг_простой Ожидание разрешения Тех. дежурство Бригада КРС </v>
      </c>
      <c r="AV223" s="518" t="str">
        <f>Хронология[[#This Row],[Результат]]&amp;":  "&amp;Хронология[[#This Row],[Событие]]&amp; CHAR(10) &amp;Хронология[[#This Row],[Вид работ]]&amp;"  "&amp;Хронология[[#This Row],[Объект работ]]</f>
        <v>НПВ:  Ожидание разрешения
Тех. дежурство  Бригада КРС</v>
      </c>
      <c r="AW223" s="601">
        <f>SUMIF($AU$2:AU223, Хронология[[#This Row],[Ключ]], $AH$2:AH223)</f>
        <v>3.7083333333333326</v>
      </c>
      <c r="AX223" s="516" t="str">
        <f>Хронология[[#This Row],[Вид работ]] &amp; " " &amp; Хронология[[#This Row],[Объект работ]]</f>
        <v>Тех. дежурство Бригада КРС</v>
      </c>
    </row>
    <row r="224" spans="1:50" ht="50.5" customHeight="1">
      <c r="A224" s="540" t="s">
        <v>50</v>
      </c>
      <c r="B224" s="541" t="s">
        <v>263</v>
      </c>
      <c r="C224" s="541" t="s">
        <v>264</v>
      </c>
      <c r="D224" s="542" t="s">
        <v>265</v>
      </c>
      <c r="E224" s="517" t="s">
        <v>266</v>
      </c>
      <c r="F224" s="515"/>
      <c r="G224" s="517"/>
      <c r="H224" s="517" t="s">
        <v>428</v>
      </c>
      <c r="I224" s="518">
        <v>26</v>
      </c>
      <c r="J224" s="517" t="s">
        <v>442</v>
      </c>
      <c r="K224" s="515"/>
      <c r="L224" s="516" t="s">
        <v>51</v>
      </c>
      <c r="M224" s="516" t="s">
        <v>76</v>
      </c>
      <c r="N224" s="516" t="s">
        <v>77</v>
      </c>
      <c r="O224" s="516" t="s">
        <v>78</v>
      </c>
      <c r="P224" s="516" t="s">
        <v>285</v>
      </c>
      <c r="Q224" s="516" t="s">
        <v>61</v>
      </c>
      <c r="R224" s="516" t="s">
        <v>286</v>
      </c>
      <c r="S224" s="516"/>
      <c r="T224" s="514" t="s">
        <v>443</v>
      </c>
      <c r="U224" s="516">
        <v>4</v>
      </c>
      <c r="V224" s="516">
        <v>2758.16</v>
      </c>
      <c r="W224" s="516" t="s">
        <v>64</v>
      </c>
      <c r="X224" s="516"/>
      <c r="Y224" s="516"/>
      <c r="Z224" s="516"/>
      <c r="AA224" s="516"/>
      <c r="AB224" s="516"/>
      <c r="AC224" s="516"/>
      <c r="AD224" s="516"/>
      <c r="AE224" s="514">
        <f>IFERROR(IF(Хронология[[#This Row],[Забой, м]]-V223&lt;0, 0, Хронология[[#This Row],[Забой, м]]-V223), 0)</f>
        <v>0</v>
      </c>
      <c r="AF224" s="521">
        <f t="shared" si="3"/>
        <v>46192.499999999811</v>
      </c>
      <c r="AG224" s="521">
        <f>Хронология[[#This Row],[Начало]]+Хронология[[#This Row],[Сутки]]</f>
        <v>46192.666666666475</v>
      </c>
      <c r="AH224" s="522">
        <f>Хронология[[#This Row],[Часы]]/24</f>
        <v>0.16666666666666666</v>
      </c>
      <c r="AI224" s="522">
        <f>IFERROR(Хронология[[#This Row],[Сутки]]+AI223, Хронология[[#This Row],[Сутки]])</f>
        <v>47.833333333333222</v>
      </c>
      <c r="AJ224"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НПВ</v>
      </c>
      <c r="AK224"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v>
      </c>
      <c r="AL224"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v>
      </c>
      <c r="AM224" s="527">
        <f>IF(Хронология[[#This Row],[Результат]]="НПВ", Хронология[[#This Row],[Часы]], 0)</f>
        <v>4</v>
      </c>
      <c r="AN224" s="518">
        <f>SUMIFS(Хронология[НПВ], Хронология[Скважина], Хронология[[#This Row],[Скважина]], Хронология[Начало], "&lt;=" &amp; Хронология[[#This Row],[Начало]])</f>
        <v>104</v>
      </c>
      <c r="AO224" s="518">
        <f>SUMIFS(Хронология[ПНВ], Хронология[Скважина], Хронология[[#This Row],[Скважина]], Хронология[Начало], "&lt;=" &amp; Хронология[[#This Row],[Начало]])</f>
        <v>198.51999999999998</v>
      </c>
      <c r="AP224" s="523">
        <f>INT(ROUND(Хронология[[#This Row],[Начало]], 3))</f>
        <v>46192</v>
      </c>
      <c r="AQ224" s="524">
        <f>Хронология[[#This Row],[Начало]]-INT(Хронология[[#This Row],[Начало]])</f>
        <v>0.4999999998108251</v>
      </c>
      <c r="AR224" s="523">
        <f>INT(ROUND(Хронология[[#This Row],[Окончание]], 3))</f>
        <v>46192</v>
      </c>
      <c r="AS224" s="524">
        <f>Хронология[[#This Row],[Окончание]]-INT(Хронология[[#This Row],[Окончание]])</f>
        <v>0.66666666647506645</v>
      </c>
      <c r="AT224" s="524" t="str">
        <f>Хронология[[#This Row],[Мастер]] &amp; CHAR(10) &amp; Хронология[[#This Row],[Помощник мастера]] &amp; CHAR(10) &amp; Хронология[[#This Row],[Бурильщик]]</f>
        <v xml:space="preserve">
Титов А.А.</v>
      </c>
      <c r="AU224"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600 ОК– КРС Орг_простой Ожидание разрешения Тех. дежурство Бригада КРС </v>
      </c>
      <c r="AV224" s="518" t="str">
        <f>Хронология[[#This Row],[Результат]]&amp;":  "&amp;Хронология[[#This Row],[Событие]]&amp; CHAR(10) &amp;Хронология[[#This Row],[Вид работ]]&amp;"  "&amp;Хронология[[#This Row],[Объект работ]]</f>
        <v>НПВ:  Ожидание разрешения
Тех. дежурство  Бригада КРС</v>
      </c>
      <c r="AW224" s="601">
        <f>SUMIF($AU$2:AU224, Хронология[[#This Row],[Ключ]], $AH$2:AH224)</f>
        <v>3.8749999999999991</v>
      </c>
      <c r="AX224" s="516" t="str">
        <f>Хронология[[#This Row],[Вид работ]] &amp; " " &amp; Хронология[[#This Row],[Объект работ]]</f>
        <v>Тех. дежурство Бригада КРС</v>
      </c>
    </row>
    <row r="225" spans="1:50" ht="50.5" customHeight="1">
      <c r="A225" s="540" t="s">
        <v>50</v>
      </c>
      <c r="B225" s="541" t="s">
        <v>263</v>
      </c>
      <c r="C225" s="541" t="s">
        <v>264</v>
      </c>
      <c r="D225" s="542" t="s">
        <v>265</v>
      </c>
      <c r="E225" s="517" t="s">
        <v>266</v>
      </c>
      <c r="F225" s="515"/>
      <c r="G225" s="517"/>
      <c r="H225" s="517" t="s">
        <v>428</v>
      </c>
      <c r="I225" s="518">
        <v>26</v>
      </c>
      <c r="J225" s="517" t="s">
        <v>444</v>
      </c>
      <c r="K225" s="515"/>
      <c r="L225" s="516" t="s">
        <v>51</v>
      </c>
      <c r="M225" s="516" t="s">
        <v>76</v>
      </c>
      <c r="N225" s="516" t="s">
        <v>77</v>
      </c>
      <c r="O225" s="516" t="s">
        <v>78</v>
      </c>
      <c r="P225" s="516" t="s">
        <v>285</v>
      </c>
      <c r="Q225" s="516" t="s">
        <v>61</v>
      </c>
      <c r="R225" s="516" t="s">
        <v>286</v>
      </c>
      <c r="S225" s="516"/>
      <c r="T225" s="514" t="s">
        <v>445</v>
      </c>
      <c r="U225" s="516">
        <v>4</v>
      </c>
      <c r="V225" s="516">
        <v>2758.16</v>
      </c>
      <c r="W225" s="516" t="s">
        <v>64</v>
      </c>
      <c r="X225" s="516"/>
      <c r="Y225" s="516"/>
      <c r="Z225" s="516"/>
      <c r="AA225" s="516"/>
      <c r="AB225" s="516"/>
      <c r="AC225" s="516"/>
      <c r="AD225" s="516"/>
      <c r="AE225" s="514">
        <f>IFERROR(IF(Хронология[[#This Row],[Забой, м]]-V224&lt;0, 0, Хронология[[#This Row],[Забой, м]]-V224), 0)</f>
        <v>0</v>
      </c>
      <c r="AF225" s="521">
        <f t="shared" si="3"/>
        <v>46192.666666666475</v>
      </c>
      <c r="AG225" s="521">
        <f>Хронология[[#This Row],[Начало]]+Хронология[[#This Row],[Сутки]]</f>
        <v>46192.833333333139</v>
      </c>
      <c r="AH225" s="522">
        <f>Хронология[[#This Row],[Часы]]/24</f>
        <v>0.16666666666666666</v>
      </c>
      <c r="AI225" s="522">
        <f>IFERROR(Хронология[[#This Row],[Сутки]]+AI224, Хронология[[#This Row],[Сутки]])</f>
        <v>47.999999999999886</v>
      </c>
      <c r="AJ225"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НПВ</v>
      </c>
      <c r="AK225"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v>
      </c>
      <c r="AL225"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v>
      </c>
      <c r="AM225" s="527">
        <f>IF(Хронология[[#This Row],[Результат]]="НПВ", Хронология[[#This Row],[Часы]], 0)</f>
        <v>4</v>
      </c>
      <c r="AN225" s="518">
        <f>SUMIFS(Хронология[НПВ], Хронология[Скважина], Хронология[[#This Row],[Скважина]], Хронология[Начало], "&lt;=" &amp; Хронология[[#This Row],[Начало]])</f>
        <v>108</v>
      </c>
      <c r="AO225" s="518">
        <f>SUMIFS(Хронология[ПНВ], Хронология[Скважина], Хронология[[#This Row],[Скважина]], Хронология[Начало], "&lt;=" &amp; Хронология[[#This Row],[Начало]])</f>
        <v>198.51999999999998</v>
      </c>
      <c r="AP225" s="523">
        <f>INT(ROUND(Хронология[[#This Row],[Начало]], 3))</f>
        <v>46192</v>
      </c>
      <c r="AQ225" s="524">
        <f>Хронология[[#This Row],[Начало]]-INT(Хронология[[#This Row],[Начало]])</f>
        <v>0.66666666647506645</v>
      </c>
      <c r="AR225" s="523">
        <f>INT(ROUND(Хронология[[#This Row],[Окончание]], 3))</f>
        <v>46192</v>
      </c>
      <c r="AS225" s="524">
        <f>Хронология[[#This Row],[Окончание]]-INT(Хронология[[#This Row],[Окончание]])</f>
        <v>0.8333333331393078</v>
      </c>
      <c r="AT225" s="524" t="str">
        <f>Хронология[[#This Row],[Мастер]] &amp; CHAR(10) &amp; Хронология[[#This Row],[Помощник мастера]] &amp; CHAR(10) &amp; Хронология[[#This Row],[Бурильщик]]</f>
        <v xml:space="preserve">
Титов А.А.</v>
      </c>
      <c r="AU225"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600 ОК– КРС Орг_простой Ожидание разрешения Тех. дежурство Бригада КРС </v>
      </c>
      <c r="AV225" s="518" t="str">
        <f>Хронология[[#This Row],[Результат]]&amp;":  "&amp;Хронология[[#This Row],[Событие]]&amp; CHAR(10) &amp;Хронология[[#This Row],[Вид работ]]&amp;"  "&amp;Хронология[[#This Row],[Объект работ]]</f>
        <v>НПВ:  Ожидание разрешения
Тех. дежурство  Бригада КРС</v>
      </c>
      <c r="AW225" s="601">
        <f>SUMIF($AU$2:AU225, Хронология[[#This Row],[Ключ]], $AH$2:AH225)</f>
        <v>4.0416666666666661</v>
      </c>
      <c r="AX225" s="516" t="str">
        <f>Хронология[[#This Row],[Вид работ]] &amp; " " &amp; Хронология[[#This Row],[Объект работ]]</f>
        <v>Тех. дежурство Бригада КРС</v>
      </c>
    </row>
    <row r="226" spans="1:50" ht="50.5" customHeight="1">
      <c r="A226" s="540" t="s">
        <v>50</v>
      </c>
      <c r="B226" s="541" t="s">
        <v>263</v>
      </c>
      <c r="C226" s="541" t="s">
        <v>264</v>
      </c>
      <c r="D226" s="542" t="s">
        <v>265</v>
      </c>
      <c r="E226" s="517" t="s">
        <v>266</v>
      </c>
      <c r="F226" s="515"/>
      <c r="G226" s="517"/>
      <c r="H226" s="517" t="s">
        <v>428</v>
      </c>
      <c r="I226" s="518">
        <v>26</v>
      </c>
      <c r="J226" s="517" t="s">
        <v>446</v>
      </c>
      <c r="K226" s="515"/>
      <c r="L226" s="516" t="s">
        <v>51</v>
      </c>
      <c r="M226" s="516" t="s">
        <v>76</v>
      </c>
      <c r="N226" s="516" t="s">
        <v>77</v>
      </c>
      <c r="O226" s="516" t="s">
        <v>78</v>
      </c>
      <c r="P226" s="516" t="s">
        <v>285</v>
      </c>
      <c r="Q226" s="516" t="s">
        <v>61</v>
      </c>
      <c r="R226" s="516" t="s">
        <v>286</v>
      </c>
      <c r="S226" s="516"/>
      <c r="T226" s="514" t="s">
        <v>447</v>
      </c>
      <c r="U226" s="516">
        <v>4</v>
      </c>
      <c r="V226" s="516">
        <v>2758.16</v>
      </c>
      <c r="W226" s="516" t="s">
        <v>64</v>
      </c>
      <c r="X226" s="516"/>
      <c r="Y226" s="516"/>
      <c r="Z226" s="516"/>
      <c r="AA226" s="516"/>
      <c r="AB226" s="516"/>
      <c r="AC226" s="516"/>
      <c r="AD226" s="516"/>
      <c r="AE226" s="514">
        <f>IFERROR(IF(Хронология[[#This Row],[Забой, м]]-V225&lt;0, 0, Хронология[[#This Row],[Забой, м]]-V225), 0)</f>
        <v>0</v>
      </c>
      <c r="AF226" s="521">
        <f t="shared" si="3"/>
        <v>46192.833333333139</v>
      </c>
      <c r="AG226" s="521">
        <f>Хронология[[#This Row],[Начало]]+Хронология[[#This Row],[Сутки]]</f>
        <v>46192.999999999804</v>
      </c>
      <c r="AH226" s="522">
        <f>Хронология[[#This Row],[Часы]]/24</f>
        <v>0.16666666666666666</v>
      </c>
      <c r="AI226" s="522">
        <f>IFERROR(Хронология[[#This Row],[Сутки]]+AI225, Хронология[[#This Row],[Сутки]])</f>
        <v>48.166666666666551</v>
      </c>
      <c r="AJ226"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НПВ</v>
      </c>
      <c r="AK226"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v>
      </c>
      <c r="AL226"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v>
      </c>
      <c r="AM226" s="527">
        <f>IF(Хронология[[#This Row],[Результат]]="НПВ", Хронология[[#This Row],[Часы]], 0)</f>
        <v>4</v>
      </c>
      <c r="AN226" s="518">
        <f>SUMIFS(Хронология[НПВ], Хронология[Скважина], Хронология[[#This Row],[Скважина]], Хронология[Начало], "&lt;=" &amp; Хронология[[#This Row],[Начало]])</f>
        <v>112</v>
      </c>
      <c r="AO226" s="518">
        <f>SUMIFS(Хронология[ПНВ], Хронология[Скважина], Хронология[[#This Row],[Скважина]], Хронология[Начало], "&lt;=" &amp; Хронология[[#This Row],[Начало]])</f>
        <v>198.51999999999998</v>
      </c>
      <c r="AP226" s="523">
        <f>INT(ROUND(Хронология[[#This Row],[Начало]], 3))</f>
        <v>46192</v>
      </c>
      <c r="AQ226" s="524">
        <f>Хронология[[#This Row],[Начало]]-INT(Хронология[[#This Row],[Начало]])</f>
        <v>0.8333333331393078</v>
      </c>
      <c r="AR226" s="523">
        <f>INT(ROUND(Хронология[[#This Row],[Окончание]], 3))</f>
        <v>46193</v>
      </c>
      <c r="AS226" s="524">
        <f>Хронология[[#This Row],[Окончание]]-INT(Хронология[[#This Row],[Окончание]])</f>
        <v>0.99999999980354914</v>
      </c>
      <c r="AT226" s="524" t="str">
        <f>Хронология[[#This Row],[Мастер]] &amp; CHAR(10) &amp; Хронология[[#This Row],[Помощник мастера]] &amp; CHAR(10) &amp; Хронология[[#This Row],[Бурильщик]]</f>
        <v xml:space="preserve">
Титов А.А.</v>
      </c>
      <c r="AU226"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600 ОК– КРС Орг_простой Ожидание разрешения Тех. дежурство Бригада КРС </v>
      </c>
      <c r="AV226" s="518" t="str">
        <f>Хронология[[#This Row],[Результат]]&amp;":  "&amp;Хронология[[#This Row],[Событие]]&amp; CHAR(10) &amp;Хронология[[#This Row],[Вид работ]]&amp;"  "&amp;Хронология[[#This Row],[Объект работ]]</f>
        <v>НПВ:  Ожидание разрешения
Тех. дежурство  Бригада КРС</v>
      </c>
      <c r="AW226" s="601">
        <f>SUMIF($AU$2:AU226, Хронология[[#This Row],[Ключ]], $AH$2:AH226)</f>
        <v>4.208333333333333</v>
      </c>
      <c r="AX226" s="516" t="str">
        <f>Хронология[[#This Row],[Вид работ]] &amp; " " &amp; Хронология[[#This Row],[Объект работ]]</f>
        <v>Тех. дежурство Бригада КРС</v>
      </c>
    </row>
    <row r="227" spans="1:50" ht="50.5" customHeight="1">
      <c r="A227" s="540" t="s">
        <v>50</v>
      </c>
      <c r="B227" s="541" t="s">
        <v>263</v>
      </c>
      <c r="C227" s="541" t="s">
        <v>264</v>
      </c>
      <c r="D227" s="542" t="s">
        <v>265</v>
      </c>
      <c r="E227" s="517" t="s">
        <v>266</v>
      </c>
      <c r="F227" s="515" t="s">
        <v>66</v>
      </c>
      <c r="G227" s="517"/>
      <c r="H227" s="517" t="s">
        <v>437</v>
      </c>
      <c r="I227" s="518">
        <v>27</v>
      </c>
      <c r="J227" s="517" t="s">
        <v>448</v>
      </c>
      <c r="K227" s="515"/>
      <c r="L227" s="516" t="s">
        <v>51</v>
      </c>
      <c r="M227" s="516" t="s">
        <v>76</v>
      </c>
      <c r="N227" s="516" t="s">
        <v>77</v>
      </c>
      <c r="O227" s="516" t="s">
        <v>78</v>
      </c>
      <c r="P227" s="516" t="s">
        <v>285</v>
      </c>
      <c r="Q227" s="516" t="s">
        <v>61</v>
      </c>
      <c r="R227" s="516" t="s">
        <v>286</v>
      </c>
      <c r="S227" s="516"/>
      <c r="T227" s="514" t="s">
        <v>449</v>
      </c>
      <c r="U227" s="516">
        <v>7</v>
      </c>
      <c r="V227" s="516">
        <v>2758.16</v>
      </c>
      <c r="W227" s="516" t="s">
        <v>64</v>
      </c>
      <c r="X227" s="516"/>
      <c r="Y227" s="516"/>
      <c r="Z227" s="516"/>
      <c r="AA227" s="516"/>
      <c r="AB227" s="516"/>
      <c r="AC227" s="516"/>
      <c r="AD227" s="516"/>
      <c r="AE227" s="514">
        <f>IFERROR(IF(Хронология[[#This Row],[Забой, м]]-V226&lt;0, 0, Хронология[[#This Row],[Забой, м]]-V226), 0)</f>
        <v>0</v>
      </c>
      <c r="AF227" s="521">
        <f t="shared" si="3"/>
        <v>46192.999999999804</v>
      </c>
      <c r="AG227" s="521">
        <f>Хронология[[#This Row],[Начало]]+Хронология[[#This Row],[Сутки]]</f>
        <v>46193.291666666468</v>
      </c>
      <c r="AH227" s="522">
        <f>Хронология[[#This Row],[Часы]]/24</f>
        <v>0.29166666666666669</v>
      </c>
      <c r="AI227" s="522">
        <f>IFERROR(Хронология[[#This Row],[Сутки]]+AI226, Хронология[[#This Row],[Сутки]])</f>
        <v>48.458333333333215</v>
      </c>
      <c r="AJ227"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НПВ</v>
      </c>
      <c r="AK227"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v>
      </c>
      <c r="AL227"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v>
      </c>
      <c r="AM227" s="527">
        <f>IF(Хронология[[#This Row],[Результат]]="НПВ", Хронология[[#This Row],[Часы]], 0)</f>
        <v>7</v>
      </c>
      <c r="AN227" s="518">
        <f>SUMIFS(Хронология[НПВ], Хронология[Скважина], Хронология[[#This Row],[Скважина]], Хронология[Начало], "&lt;=" &amp; Хронология[[#This Row],[Начало]])</f>
        <v>119</v>
      </c>
      <c r="AO227" s="518">
        <f>SUMIFS(Хронология[ПНВ], Хронология[Скважина], Хронология[[#This Row],[Скважина]], Хронология[Начало], "&lt;=" &amp; Хронология[[#This Row],[Начало]])</f>
        <v>198.51999999999998</v>
      </c>
      <c r="AP227" s="523">
        <f>INT(ROUND(Хронология[[#This Row],[Начало]], 3))</f>
        <v>46193</v>
      </c>
      <c r="AQ227" s="524">
        <f>Хронология[[#This Row],[Начало]]-INT(Хронология[[#This Row],[Начало]])</f>
        <v>0.99999999980354914</v>
      </c>
      <c r="AR227" s="523">
        <f>INT(ROUND(Хронология[[#This Row],[Окончание]], 3))</f>
        <v>46193</v>
      </c>
      <c r="AS227" s="524">
        <f>Хронология[[#This Row],[Окончание]]-INT(Хронология[[#This Row],[Окончание]])</f>
        <v>0.29166666646779049</v>
      </c>
      <c r="AT227" s="524" t="str">
        <f>Хронология[[#This Row],[Мастер]] &amp; CHAR(10) &amp; Хронология[[#This Row],[Помощник мастера]] &amp; CHAR(10) &amp; Хронология[[#This Row],[Бурильщик]]</f>
        <v>Жабин П.П.
Арбузов А.В.</v>
      </c>
      <c r="AU227"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600 ОК– КРС Орг_простой Ожидание разрешения Тех. дежурство Бригада КРС </v>
      </c>
      <c r="AV227" s="518" t="str">
        <f>Хронология[[#This Row],[Результат]]&amp;":  "&amp;Хронология[[#This Row],[Событие]]&amp; CHAR(10) &amp;Хронология[[#This Row],[Вид работ]]&amp;"  "&amp;Хронология[[#This Row],[Объект работ]]</f>
        <v>НПВ:  Ожидание разрешения
Тех. дежурство  Бригада КРС</v>
      </c>
      <c r="AW227" s="601">
        <f>SUMIF($AU$2:AU227, Хронология[[#This Row],[Ключ]], $AH$2:AH227)</f>
        <v>4.5</v>
      </c>
      <c r="AX227" s="516" t="str">
        <f>Хронология[[#This Row],[Вид работ]] &amp; " " &amp; Хронология[[#This Row],[Объект работ]]</f>
        <v>Тех. дежурство Бригада КРС</v>
      </c>
    </row>
    <row r="228" spans="1:50" ht="50.5" customHeight="1">
      <c r="A228" s="540" t="s">
        <v>50</v>
      </c>
      <c r="B228" s="541" t="s">
        <v>263</v>
      </c>
      <c r="C228" s="541" t="s">
        <v>264</v>
      </c>
      <c r="D228" s="542" t="s">
        <v>265</v>
      </c>
      <c r="E228" s="517" t="s">
        <v>266</v>
      </c>
      <c r="F228" s="515" t="s">
        <v>66</v>
      </c>
      <c r="G228" s="517"/>
      <c r="H228" s="517" t="s">
        <v>428</v>
      </c>
      <c r="I228" s="518">
        <v>27</v>
      </c>
      <c r="J228" s="517" t="s">
        <v>450</v>
      </c>
      <c r="K228" s="515"/>
      <c r="L228" s="516" t="s">
        <v>51</v>
      </c>
      <c r="M228" s="516" t="s">
        <v>76</v>
      </c>
      <c r="N228" s="516" t="s">
        <v>77</v>
      </c>
      <c r="O228" s="516" t="s">
        <v>78</v>
      </c>
      <c r="P228" s="516" t="s">
        <v>285</v>
      </c>
      <c r="Q228" s="516" t="s">
        <v>61</v>
      </c>
      <c r="R228" s="516" t="s">
        <v>286</v>
      </c>
      <c r="S228" s="516"/>
      <c r="T228" s="514" t="s">
        <v>451</v>
      </c>
      <c r="U228" s="516">
        <v>5</v>
      </c>
      <c r="V228" s="516">
        <v>2758.16</v>
      </c>
      <c r="W228" s="516" t="s">
        <v>64</v>
      </c>
      <c r="X228" s="516"/>
      <c r="Y228" s="516"/>
      <c r="Z228" s="516"/>
      <c r="AA228" s="516"/>
      <c r="AB228" s="516"/>
      <c r="AC228" s="516"/>
      <c r="AD228" s="516"/>
      <c r="AE228" s="514">
        <f>IFERROR(IF(Хронология[[#This Row],[Забой, м]]-V227&lt;0, 0, Хронология[[#This Row],[Забой, м]]-V227), 0)</f>
        <v>0</v>
      </c>
      <c r="AF228" s="521">
        <f t="shared" si="3"/>
        <v>46193.291666666468</v>
      </c>
      <c r="AG228" s="521">
        <f>Хронология[[#This Row],[Начало]]+Хронология[[#This Row],[Сутки]]</f>
        <v>46193.499999999804</v>
      </c>
      <c r="AH228" s="522">
        <f>Хронология[[#This Row],[Часы]]/24</f>
        <v>0.20833333333333334</v>
      </c>
      <c r="AI228" s="522">
        <f>IFERROR(Хронология[[#This Row],[Сутки]]+AI227, Хронология[[#This Row],[Сутки]])</f>
        <v>48.666666666666551</v>
      </c>
      <c r="AJ228"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НПВ</v>
      </c>
      <c r="AK228"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v>
      </c>
      <c r="AL228"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v>
      </c>
      <c r="AM228" s="527">
        <f>IF(Хронология[[#This Row],[Результат]]="НПВ", Хронология[[#This Row],[Часы]], 0)</f>
        <v>5</v>
      </c>
      <c r="AN228" s="518">
        <f>SUMIFS(Хронология[НПВ], Хронология[Скважина], Хронология[[#This Row],[Скважина]], Хронология[Начало], "&lt;=" &amp; Хронология[[#This Row],[Начало]])</f>
        <v>124</v>
      </c>
      <c r="AO228" s="518">
        <f>SUMIFS(Хронология[ПНВ], Хронология[Скважина], Хронология[[#This Row],[Скважина]], Хронология[Начало], "&lt;=" &amp; Хронология[[#This Row],[Начало]])</f>
        <v>198.51999999999998</v>
      </c>
      <c r="AP228" s="523">
        <f>INT(ROUND(Хронология[[#This Row],[Начало]], 3))</f>
        <v>46193</v>
      </c>
      <c r="AQ228" s="524">
        <f>Хронология[[#This Row],[Начало]]-INT(Хронология[[#This Row],[Начало]])</f>
        <v>0.29166666646779049</v>
      </c>
      <c r="AR228" s="523">
        <f>INT(ROUND(Хронология[[#This Row],[Окончание]], 3))</f>
        <v>46193</v>
      </c>
      <c r="AS228" s="524">
        <f>Хронология[[#This Row],[Окончание]]-INT(Хронология[[#This Row],[Окончание]])</f>
        <v>0.49999999980354914</v>
      </c>
      <c r="AT228" s="524" t="str">
        <f>Хронология[[#This Row],[Мастер]] &amp; CHAR(10) &amp; Хронология[[#This Row],[Помощник мастера]] &amp; CHAR(10) &amp; Хронология[[#This Row],[Бурильщик]]</f>
        <v>Жабин П.П.
Титов А.А.</v>
      </c>
      <c r="AU228"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600 ОК– КРС Орг_простой Ожидание разрешения Тех. дежурство Бригада КРС </v>
      </c>
      <c r="AV228" s="518" t="str">
        <f>Хронология[[#This Row],[Результат]]&amp;":  "&amp;Хронология[[#This Row],[Событие]]&amp; CHAR(10) &amp;Хронология[[#This Row],[Вид работ]]&amp;"  "&amp;Хронология[[#This Row],[Объект работ]]</f>
        <v>НПВ:  Ожидание разрешения
Тех. дежурство  Бригада КРС</v>
      </c>
      <c r="AW228" s="601">
        <f>SUMIF($AU$2:AU228, Хронология[[#This Row],[Ключ]], $AH$2:AH228)</f>
        <v>4.708333333333333</v>
      </c>
      <c r="AX228" s="516" t="str">
        <f>Хронология[[#This Row],[Вид работ]] &amp; " " &amp; Хронология[[#This Row],[Объект работ]]</f>
        <v>Тех. дежурство Бригада КРС</v>
      </c>
    </row>
    <row r="229" spans="1:50" ht="50.5" customHeight="1">
      <c r="A229" s="540" t="s">
        <v>50</v>
      </c>
      <c r="B229" s="541" t="s">
        <v>263</v>
      </c>
      <c r="C229" s="541" t="s">
        <v>264</v>
      </c>
      <c r="D229" s="542" t="s">
        <v>265</v>
      </c>
      <c r="E229" s="517" t="s">
        <v>266</v>
      </c>
      <c r="F229" s="515" t="s">
        <v>66</v>
      </c>
      <c r="G229" s="517"/>
      <c r="H229" s="517" t="s">
        <v>428</v>
      </c>
      <c r="I229" s="518">
        <v>27</v>
      </c>
      <c r="J229" s="517" t="s">
        <v>452</v>
      </c>
      <c r="K229" s="515"/>
      <c r="L229" s="516" t="s">
        <v>51</v>
      </c>
      <c r="M229" s="516" t="s">
        <v>76</v>
      </c>
      <c r="N229" s="516" t="s">
        <v>77</v>
      </c>
      <c r="O229" s="516" t="s">
        <v>78</v>
      </c>
      <c r="P229" s="516" t="s">
        <v>285</v>
      </c>
      <c r="Q229" s="516" t="s">
        <v>61</v>
      </c>
      <c r="R229" s="516" t="s">
        <v>286</v>
      </c>
      <c r="S229" s="516"/>
      <c r="T229" s="514" t="s">
        <v>453</v>
      </c>
      <c r="U229" s="516">
        <v>4</v>
      </c>
      <c r="V229" s="516">
        <v>2758.16</v>
      </c>
      <c r="W229" s="516" t="s">
        <v>64</v>
      </c>
      <c r="X229" s="516"/>
      <c r="Y229" s="516"/>
      <c r="Z229" s="516"/>
      <c r="AA229" s="516"/>
      <c r="AB229" s="516"/>
      <c r="AC229" s="516"/>
      <c r="AD229" s="516"/>
      <c r="AE229" s="514">
        <f>IFERROR(IF(Хронология[[#This Row],[Забой, м]]-V228&lt;0, 0, Хронология[[#This Row],[Забой, м]]-V228), 0)</f>
        <v>0</v>
      </c>
      <c r="AF229" s="521">
        <f t="shared" si="3"/>
        <v>46193.499999999804</v>
      </c>
      <c r="AG229" s="521">
        <f>Хронология[[#This Row],[Начало]]+Хронология[[#This Row],[Сутки]]</f>
        <v>46193.666666666468</v>
      </c>
      <c r="AH229" s="522">
        <f>Хронология[[#This Row],[Часы]]/24</f>
        <v>0.16666666666666666</v>
      </c>
      <c r="AI229" s="522">
        <f>IFERROR(Хронология[[#This Row],[Сутки]]+AI228, Хронология[[#This Row],[Сутки]])</f>
        <v>48.833333333333215</v>
      </c>
      <c r="AJ229"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НПВ</v>
      </c>
      <c r="AK229"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v>
      </c>
      <c r="AL229"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v>
      </c>
      <c r="AM229" s="527">
        <f>IF(Хронология[[#This Row],[Результат]]="НПВ", Хронология[[#This Row],[Часы]], 0)</f>
        <v>4</v>
      </c>
      <c r="AN229" s="518">
        <f>SUMIFS(Хронология[НПВ], Хронология[Скважина], Хронология[[#This Row],[Скважина]], Хронология[Начало], "&lt;=" &amp; Хронология[[#This Row],[Начало]])</f>
        <v>128</v>
      </c>
      <c r="AO229" s="518">
        <f>SUMIFS(Хронология[ПНВ], Хронология[Скважина], Хронология[[#This Row],[Скважина]], Хронология[Начало], "&lt;=" &amp; Хронология[[#This Row],[Начало]])</f>
        <v>198.51999999999998</v>
      </c>
      <c r="AP229" s="523">
        <f>INT(ROUND(Хронология[[#This Row],[Начало]], 3))</f>
        <v>46193</v>
      </c>
      <c r="AQ229" s="524">
        <f>Хронология[[#This Row],[Начало]]-INT(Хронология[[#This Row],[Начало]])</f>
        <v>0.49999999980354914</v>
      </c>
      <c r="AR229" s="523">
        <f>INT(ROUND(Хронология[[#This Row],[Окончание]], 3))</f>
        <v>46193</v>
      </c>
      <c r="AS229" s="524">
        <f>Хронология[[#This Row],[Окончание]]-INT(Хронология[[#This Row],[Окончание]])</f>
        <v>0.66666666646779049</v>
      </c>
      <c r="AT229" s="524" t="str">
        <f>Хронология[[#This Row],[Мастер]] &amp; CHAR(10) &amp; Хронология[[#This Row],[Помощник мастера]] &amp; CHAR(10) &amp; Хронология[[#This Row],[Бурильщик]]</f>
        <v>Жабин П.П.
Титов А.А.</v>
      </c>
      <c r="AU229"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600 ОК– КРС Орг_простой Ожидание разрешения Тех. дежурство Бригада КРС </v>
      </c>
      <c r="AV229" s="518" t="str">
        <f>Хронология[[#This Row],[Результат]]&amp;":  "&amp;Хронология[[#This Row],[Событие]]&amp; CHAR(10) &amp;Хронология[[#This Row],[Вид работ]]&amp;"  "&amp;Хронология[[#This Row],[Объект работ]]</f>
        <v>НПВ:  Ожидание разрешения
Тех. дежурство  Бригада КРС</v>
      </c>
      <c r="AW229" s="601">
        <f>SUMIF($AU$2:AU229, Хронология[[#This Row],[Ключ]], $AH$2:AH229)</f>
        <v>4.875</v>
      </c>
      <c r="AX229" s="516" t="str">
        <f>Хронология[[#This Row],[Вид работ]] &amp; " " &amp; Хронология[[#This Row],[Объект работ]]</f>
        <v>Тех. дежурство Бригада КРС</v>
      </c>
    </row>
    <row r="230" spans="1:50" ht="50.5" customHeight="1">
      <c r="A230" s="540" t="s">
        <v>50</v>
      </c>
      <c r="B230" s="541" t="s">
        <v>263</v>
      </c>
      <c r="C230" s="541" t="s">
        <v>264</v>
      </c>
      <c r="D230" s="542" t="s">
        <v>265</v>
      </c>
      <c r="E230" s="517" t="s">
        <v>266</v>
      </c>
      <c r="F230" s="515" t="s">
        <v>66</v>
      </c>
      <c r="G230" s="517"/>
      <c r="H230" s="517" t="s">
        <v>428</v>
      </c>
      <c r="I230" s="518">
        <v>27</v>
      </c>
      <c r="J230" s="517" t="s">
        <v>454</v>
      </c>
      <c r="K230" s="515"/>
      <c r="L230" s="516" t="s">
        <v>51</v>
      </c>
      <c r="M230" s="516" t="s">
        <v>76</v>
      </c>
      <c r="N230" s="516" t="s">
        <v>77</v>
      </c>
      <c r="O230" s="516" t="s">
        <v>78</v>
      </c>
      <c r="P230" s="516" t="s">
        <v>285</v>
      </c>
      <c r="Q230" s="516" t="s">
        <v>61</v>
      </c>
      <c r="R230" s="516" t="s">
        <v>286</v>
      </c>
      <c r="S230" s="516"/>
      <c r="T230" s="514" t="s">
        <v>455</v>
      </c>
      <c r="U230" s="516">
        <v>4</v>
      </c>
      <c r="V230" s="516">
        <v>2758.16</v>
      </c>
      <c r="W230" s="516" t="s">
        <v>64</v>
      </c>
      <c r="X230" s="516"/>
      <c r="Y230" s="516"/>
      <c r="Z230" s="516"/>
      <c r="AA230" s="516"/>
      <c r="AB230" s="516"/>
      <c r="AC230" s="516"/>
      <c r="AD230" s="516"/>
      <c r="AE230" s="514">
        <f>IFERROR(IF(Хронология[[#This Row],[Забой, м]]-V229&lt;0, 0, Хронология[[#This Row],[Забой, м]]-V229), 0)</f>
        <v>0</v>
      </c>
      <c r="AF230" s="521">
        <f t="shared" si="3"/>
        <v>46193.666666666468</v>
      </c>
      <c r="AG230" s="521">
        <f>Хронология[[#This Row],[Начало]]+Хронология[[#This Row],[Сутки]]</f>
        <v>46193.833333333132</v>
      </c>
      <c r="AH230" s="522">
        <f>Хронология[[#This Row],[Часы]]/24</f>
        <v>0.16666666666666666</v>
      </c>
      <c r="AI230" s="522">
        <f>IFERROR(Хронология[[#This Row],[Сутки]]+AI229, Хронология[[#This Row],[Сутки]])</f>
        <v>48.999999999999879</v>
      </c>
      <c r="AJ230"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НПВ</v>
      </c>
      <c r="AK230"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v>
      </c>
      <c r="AL230"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v>
      </c>
      <c r="AM230" s="527">
        <f>IF(Хронология[[#This Row],[Результат]]="НПВ", Хронология[[#This Row],[Часы]], 0)</f>
        <v>4</v>
      </c>
      <c r="AN230" s="518">
        <f>SUMIFS(Хронология[НПВ], Хронология[Скважина], Хронология[[#This Row],[Скважина]], Хронология[Начало], "&lt;=" &amp; Хронология[[#This Row],[Начало]])</f>
        <v>132</v>
      </c>
      <c r="AO230" s="518">
        <f>SUMIFS(Хронология[ПНВ], Хронология[Скважина], Хронология[[#This Row],[Скважина]], Хронология[Начало], "&lt;=" &amp; Хронология[[#This Row],[Начало]])</f>
        <v>198.51999999999998</v>
      </c>
      <c r="AP230" s="523">
        <f>INT(ROUND(Хронология[[#This Row],[Начало]], 3))</f>
        <v>46193</v>
      </c>
      <c r="AQ230" s="524">
        <f>Хронология[[#This Row],[Начало]]-INT(Хронология[[#This Row],[Начало]])</f>
        <v>0.66666666646779049</v>
      </c>
      <c r="AR230" s="523">
        <f>INT(ROUND(Хронология[[#This Row],[Окончание]], 3))</f>
        <v>46193</v>
      </c>
      <c r="AS230" s="524">
        <f>Хронология[[#This Row],[Окончание]]-INT(Хронология[[#This Row],[Окончание]])</f>
        <v>0.83333333313203184</v>
      </c>
      <c r="AT230" s="524" t="str">
        <f>Хронология[[#This Row],[Мастер]] &amp; CHAR(10) &amp; Хронология[[#This Row],[Помощник мастера]] &amp; CHAR(10) &amp; Хронология[[#This Row],[Бурильщик]]</f>
        <v>Жабин П.П.
Титов А.А.</v>
      </c>
      <c r="AU230"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600 ОК– КРС Орг_простой Ожидание разрешения Тех. дежурство Бригада КРС </v>
      </c>
      <c r="AV230" s="518" t="str">
        <f>Хронология[[#This Row],[Результат]]&amp;":  "&amp;Хронология[[#This Row],[Событие]]&amp; CHAR(10) &amp;Хронология[[#This Row],[Вид работ]]&amp;"  "&amp;Хронология[[#This Row],[Объект работ]]</f>
        <v>НПВ:  Ожидание разрешения
Тех. дежурство  Бригада КРС</v>
      </c>
      <c r="AW230" s="601">
        <f>SUMIF($AU$2:AU230, Хронология[[#This Row],[Ключ]], $AH$2:AH230)</f>
        <v>5.041666666666667</v>
      </c>
      <c r="AX230" s="516" t="str">
        <f>Хронология[[#This Row],[Вид работ]] &amp; " " &amp; Хронология[[#This Row],[Объект работ]]</f>
        <v>Тех. дежурство Бригада КРС</v>
      </c>
    </row>
    <row r="231" spans="1:50" ht="50.5" customHeight="1">
      <c r="A231" s="540" t="s">
        <v>50</v>
      </c>
      <c r="B231" s="541" t="s">
        <v>263</v>
      </c>
      <c r="C231" s="541" t="s">
        <v>264</v>
      </c>
      <c r="D231" s="542" t="s">
        <v>265</v>
      </c>
      <c r="E231" s="517" t="s">
        <v>266</v>
      </c>
      <c r="F231" s="515" t="s">
        <v>66</v>
      </c>
      <c r="G231" s="517"/>
      <c r="H231" s="517" t="s">
        <v>428</v>
      </c>
      <c r="I231" s="518">
        <v>27</v>
      </c>
      <c r="J231" s="517" t="s">
        <v>456</v>
      </c>
      <c r="K231" s="515"/>
      <c r="L231" s="516" t="s">
        <v>51</v>
      </c>
      <c r="M231" s="516" t="s">
        <v>76</v>
      </c>
      <c r="N231" s="516" t="s">
        <v>77</v>
      </c>
      <c r="O231" s="516" t="s">
        <v>78</v>
      </c>
      <c r="P231" s="516" t="s">
        <v>285</v>
      </c>
      <c r="Q231" s="516" t="s">
        <v>61</v>
      </c>
      <c r="R231" s="516" t="s">
        <v>286</v>
      </c>
      <c r="S231" s="516"/>
      <c r="T231" s="514" t="s">
        <v>457</v>
      </c>
      <c r="U231" s="516">
        <v>4</v>
      </c>
      <c r="V231" s="516">
        <v>2758.16</v>
      </c>
      <c r="W231" s="516" t="s">
        <v>64</v>
      </c>
      <c r="X231" s="516"/>
      <c r="Y231" s="516"/>
      <c r="Z231" s="516"/>
      <c r="AA231" s="516"/>
      <c r="AB231" s="516"/>
      <c r="AC231" s="516"/>
      <c r="AD231" s="516"/>
      <c r="AE231" s="514">
        <f>IFERROR(IF(Хронология[[#This Row],[Забой, м]]-V230&lt;0, 0, Хронология[[#This Row],[Забой, м]]-V230), 0)</f>
        <v>0</v>
      </c>
      <c r="AF231" s="521">
        <f t="shared" si="3"/>
        <v>46193.833333333132</v>
      </c>
      <c r="AG231" s="521">
        <f>Хронология[[#This Row],[Начало]]+Хронология[[#This Row],[Сутки]]</f>
        <v>46193.999999999796</v>
      </c>
      <c r="AH231" s="522">
        <f>Хронология[[#This Row],[Часы]]/24</f>
        <v>0.16666666666666666</v>
      </c>
      <c r="AI231" s="522">
        <f>IFERROR(Хронология[[#This Row],[Сутки]]+AI230, Хронология[[#This Row],[Сутки]])</f>
        <v>49.166666666666544</v>
      </c>
      <c r="AJ231"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НПВ</v>
      </c>
      <c r="AK231"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v>
      </c>
      <c r="AL231"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v>
      </c>
      <c r="AM231" s="527">
        <f>IF(Хронология[[#This Row],[Результат]]="НПВ", Хронология[[#This Row],[Часы]], 0)</f>
        <v>4</v>
      </c>
      <c r="AN231" s="518">
        <f>SUMIFS(Хронология[НПВ], Хронология[Скважина], Хронология[[#This Row],[Скважина]], Хронология[Начало], "&lt;=" &amp; Хронология[[#This Row],[Начало]])</f>
        <v>136</v>
      </c>
      <c r="AO231" s="518">
        <f>SUMIFS(Хронология[ПНВ], Хронология[Скважина], Хронология[[#This Row],[Скважина]], Хронология[Начало], "&lt;=" &amp; Хронология[[#This Row],[Начало]])</f>
        <v>198.51999999999998</v>
      </c>
      <c r="AP231" s="523">
        <f>INT(ROUND(Хронология[[#This Row],[Начало]], 3))</f>
        <v>46193</v>
      </c>
      <c r="AQ231" s="524">
        <f>Хронология[[#This Row],[Начало]]-INT(Хронология[[#This Row],[Начало]])</f>
        <v>0.83333333313203184</v>
      </c>
      <c r="AR231" s="523">
        <f>INT(ROUND(Хронология[[#This Row],[Окончание]], 3))</f>
        <v>46194</v>
      </c>
      <c r="AS231" s="524">
        <f>Хронология[[#This Row],[Окончание]]-INT(Хронология[[#This Row],[Окончание]])</f>
        <v>0.99999999979627319</v>
      </c>
      <c r="AT231" s="524" t="str">
        <f>Хронология[[#This Row],[Мастер]] &amp; CHAR(10) &amp; Хронология[[#This Row],[Помощник мастера]] &amp; CHAR(10) &amp; Хронология[[#This Row],[Бурильщик]]</f>
        <v>Жабин П.П.
Титов А.А.</v>
      </c>
      <c r="AU231"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600 ОК– КРС Орг_простой Ожидание разрешения Тех. дежурство Бригада КРС </v>
      </c>
      <c r="AV231" s="518" t="str">
        <f>Хронология[[#This Row],[Результат]]&amp;":  "&amp;Хронология[[#This Row],[Событие]]&amp; CHAR(10) &amp;Хронология[[#This Row],[Вид работ]]&amp;"  "&amp;Хронология[[#This Row],[Объект работ]]</f>
        <v>НПВ:  Ожидание разрешения
Тех. дежурство  Бригада КРС</v>
      </c>
      <c r="AW231" s="601">
        <f>SUMIF($AU$2:AU231, Хронология[[#This Row],[Ключ]], $AH$2:AH231)</f>
        <v>5.2083333333333339</v>
      </c>
      <c r="AX231" s="516" t="str">
        <f>Хронология[[#This Row],[Вид работ]] &amp; " " &amp; Хронология[[#This Row],[Объект работ]]</f>
        <v>Тех. дежурство Бригада КРС</v>
      </c>
    </row>
    <row r="232" spans="1:50" ht="50.5" customHeight="1">
      <c r="A232" s="540" t="s">
        <v>50</v>
      </c>
      <c r="B232" s="541" t="s">
        <v>263</v>
      </c>
      <c r="C232" s="541" t="s">
        <v>264</v>
      </c>
      <c r="D232" s="542" t="s">
        <v>265</v>
      </c>
      <c r="E232" s="517" t="s">
        <v>266</v>
      </c>
      <c r="F232" s="515"/>
      <c r="G232" s="517"/>
      <c r="H232" s="517" t="s">
        <v>437</v>
      </c>
      <c r="I232" s="518">
        <v>28</v>
      </c>
      <c r="J232" s="517" t="s">
        <v>458</v>
      </c>
      <c r="K232" s="515"/>
      <c r="L232" s="516" t="s">
        <v>51</v>
      </c>
      <c r="M232" s="516" t="s">
        <v>76</v>
      </c>
      <c r="N232" s="516" t="s">
        <v>77</v>
      </c>
      <c r="O232" s="516" t="s">
        <v>78</v>
      </c>
      <c r="P232" s="516" t="s">
        <v>285</v>
      </c>
      <c r="Q232" s="516" t="s">
        <v>61</v>
      </c>
      <c r="R232" s="516" t="s">
        <v>286</v>
      </c>
      <c r="S232" s="516"/>
      <c r="T232" s="514" t="s">
        <v>459</v>
      </c>
      <c r="U232" s="516">
        <v>7</v>
      </c>
      <c r="V232" s="516">
        <v>2758.16</v>
      </c>
      <c r="W232" s="516" t="s">
        <v>64</v>
      </c>
      <c r="X232" s="516"/>
      <c r="Y232" s="516"/>
      <c r="Z232" s="516"/>
      <c r="AA232" s="516"/>
      <c r="AB232" s="516"/>
      <c r="AC232" s="516"/>
      <c r="AD232" s="516"/>
      <c r="AE232" s="514">
        <f>IFERROR(IF(Хронология[[#This Row],[Забой, м]]-V231&lt;0, 0, Хронология[[#This Row],[Забой, м]]-V231), 0)</f>
        <v>0</v>
      </c>
      <c r="AF232" s="521">
        <f t="shared" si="3"/>
        <v>46193.999999999796</v>
      </c>
      <c r="AG232" s="521">
        <f>Хронология[[#This Row],[Начало]]+Хронология[[#This Row],[Сутки]]</f>
        <v>46194.291666666461</v>
      </c>
      <c r="AH232" s="522">
        <f>Хронология[[#This Row],[Часы]]/24</f>
        <v>0.29166666666666669</v>
      </c>
      <c r="AI232" s="522">
        <f>IFERROR(Хронология[[#This Row],[Сутки]]+AI231, Хронология[[#This Row],[Сутки]])</f>
        <v>49.458333333333208</v>
      </c>
      <c r="AJ232"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НПВ</v>
      </c>
      <c r="AK232"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v>
      </c>
      <c r="AL232"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v>
      </c>
      <c r="AM232" s="527">
        <f>IF(Хронология[[#This Row],[Результат]]="НПВ", Хронология[[#This Row],[Часы]], 0)</f>
        <v>7</v>
      </c>
      <c r="AN232" s="518">
        <f>SUMIFS(Хронология[НПВ], Хронология[Скважина], Хронология[[#This Row],[Скважина]], Хронология[Начало], "&lt;=" &amp; Хронология[[#This Row],[Начало]])</f>
        <v>143</v>
      </c>
      <c r="AO232" s="518">
        <f>SUMIFS(Хронология[ПНВ], Хронология[Скважина], Хронология[[#This Row],[Скважина]], Хронология[Начало], "&lt;=" &amp; Хронология[[#This Row],[Начало]])</f>
        <v>198.51999999999998</v>
      </c>
      <c r="AP232" s="523">
        <f>INT(ROUND(Хронология[[#This Row],[Начало]], 3))</f>
        <v>46194</v>
      </c>
      <c r="AQ232" s="524">
        <f>Хронология[[#This Row],[Начало]]-INT(Хронология[[#This Row],[Начало]])</f>
        <v>0.99999999979627319</v>
      </c>
      <c r="AR232" s="523">
        <f>INT(ROUND(Хронология[[#This Row],[Окончание]], 3))</f>
        <v>46194</v>
      </c>
      <c r="AS232" s="524">
        <f>Хронология[[#This Row],[Окончание]]-INT(Хронология[[#This Row],[Окончание]])</f>
        <v>0.29166666646051453</v>
      </c>
      <c r="AT232" s="524" t="str">
        <f>Хронология[[#This Row],[Мастер]] &amp; CHAR(10) &amp; Хронология[[#This Row],[Помощник мастера]] &amp; CHAR(10) &amp; Хронология[[#This Row],[Бурильщик]]</f>
        <v xml:space="preserve">
Арбузов А.В.</v>
      </c>
      <c r="AU232"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600 ОК– КРС Орг_простой Ожидание разрешения Тех. дежурство Бригада КРС </v>
      </c>
      <c r="AV232" s="518" t="str">
        <f>Хронология[[#This Row],[Результат]]&amp;":  "&amp;Хронология[[#This Row],[Событие]]&amp; CHAR(10) &amp;Хронология[[#This Row],[Вид работ]]&amp;"  "&amp;Хронология[[#This Row],[Объект работ]]</f>
        <v>НПВ:  Ожидание разрешения
Тех. дежурство  Бригада КРС</v>
      </c>
      <c r="AW232" s="601">
        <f>SUMIF($AU$2:AU232, Хронология[[#This Row],[Ключ]], $AH$2:AH232)</f>
        <v>5.5000000000000009</v>
      </c>
      <c r="AX232" s="516" t="str">
        <f>Хронология[[#This Row],[Вид работ]] &amp; " " &amp; Хронология[[#This Row],[Объект работ]]</f>
        <v>Тех. дежурство Бригада КРС</v>
      </c>
    </row>
    <row r="233" spans="1:50" ht="50.5" customHeight="1">
      <c r="A233" s="540" t="s">
        <v>50</v>
      </c>
      <c r="B233" s="541" t="s">
        <v>263</v>
      </c>
      <c r="C233" s="541" t="s">
        <v>264</v>
      </c>
      <c r="D233" s="542" t="s">
        <v>265</v>
      </c>
      <c r="E233" s="517" t="s">
        <v>266</v>
      </c>
      <c r="F233" s="515"/>
      <c r="G233" s="517"/>
      <c r="H233" s="517" t="s">
        <v>428</v>
      </c>
      <c r="I233" s="518">
        <v>28</v>
      </c>
      <c r="J233" s="517" t="s">
        <v>460</v>
      </c>
      <c r="K233" s="515"/>
      <c r="L233" s="516" t="s">
        <v>51</v>
      </c>
      <c r="M233" s="516" t="s">
        <v>76</v>
      </c>
      <c r="N233" s="516" t="s">
        <v>77</v>
      </c>
      <c r="O233" s="516" t="s">
        <v>78</v>
      </c>
      <c r="P233" s="516" t="s">
        <v>285</v>
      </c>
      <c r="Q233" s="516" t="s">
        <v>61</v>
      </c>
      <c r="R233" s="516" t="s">
        <v>286</v>
      </c>
      <c r="S233" s="516"/>
      <c r="T233" s="514" t="s">
        <v>461</v>
      </c>
      <c r="U233" s="516">
        <v>5</v>
      </c>
      <c r="V233" s="516">
        <v>2758.16</v>
      </c>
      <c r="W233" s="516" t="s">
        <v>64</v>
      </c>
      <c r="X233" s="516"/>
      <c r="Y233" s="516"/>
      <c r="Z233" s="516"/>
      <c r="AA233" s="516"/>
      <c r="AB233" s="516"/>
      <c r="AC233" s="516"/>
      <c r="AD233" s="516"/>
      <c r="AE233" s="514">
        <f>IFERROR(IF(Хронология[[#This Row],[Забой, м]]-V232&lt;0, 0, Хронология[[#This Row],[Забой, м]]-V232), 0)</f>
        <v>0</v>
      </c>
      <c r="AF233" s="521">
        <f t="shared" si="3"/>
        <v>46194.291666666461</v>
      </c>
      <c r="AG233" s="521">
        <f>Хронология[[#This Row],[Начало]]+Хронология[[#This Row],[Сутки]]</f>
        <v>46194.499999999796</v>
      </c>
      <c r="AH233" s="522">
        <f>Хронология[[#This Row],[Часы]]/24</f>
        <v>0.20833333333333334</v>
      </c>
      <c r="AI233" s="522">
        <f>IFERROR(Хронология[[#This Row],[Сутки]]+AI232, Хронология[[#This Row],[Сутки]])</f>
        <v>49.666666666666544</v>
      </c>
      <c r="AJ233"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НПВ</v>
      </c>
      <c r="AK233"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v>
      </c>
      <c r="AL233"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v>
      </c>
      <c r="AM233" s="527">
        <f>IF(Хронология[[#This Row],[Результат]]="НПВ", Хронология[[#This Row],[Часы]], 0)</f>
        <v>5</v>
      </c>
      <c r="AN233" s="518">
        <f>SUMIFS(Хронология[НПВ], Хронология[Скважина], Хронология[[#This Row],[Скважина]], Хронология[Начало], "&lt;=" &amp; Хронология[[#This Row],[Начало]])</f>
        <v>148</v>
      </c>
      <c r="AO233" s="518">
        <f>SUMIFS(Хронология[ПНВ], Хронология[Скважина], Хронология[[#This Row],[Скважина]], Хронология[Начало], "&lt;=" &amp; Хронология[[#This Row],[Начало]])</f>
        <v>198.51999999999998</v>
      </c>
      <c r="AP233" s="523">
        <f>INT(ROUND(Хронология[[#This Row],[Начало]], 3))</f>
        <v>46194</v>
      </c>
      <c r="AQ233" s="524">
        <f>Хронология[[#This Row],[Начало]]-INT(Хронология[[#This Row],[Начало]])</f>
        <v>0.29166666646051453</v>
      </c>
      <c r="AR233" s="523">
        <f>INT(ROUND(Хронология[[#This Row],[Окончание]], 3))</f>
        <v>46194</v>
      </c>
      <c r="AS233" s="524">
        <f>Хронология[[#This Row],[Окончание]]-INT(Хронология[[#This Row],[Окончание]])</f>
        <v>0.49999999979627319</v>
      </c>
      <c r="AT233" s="524" t="str">
        <f>Хронология[[#This Row],[Мастер]] &amp; CHAR(10) &amp; Хронология[[#This Row],[Помощник мастера]] &amp; CHAR(10) &amp; Хронология[[#This Row],[Бурильщик]]</f>
        <v xml:space="preserve">
Титов А.А.</v>
      </c>
      <c r="AU233"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600 ОК– КРС Орг_простой Ожидание разрешения Тех. дежурство Бригада КРС </v>
      </c>
      <c r="AV233" s="518" t="str">
        <f>Хронология[[#This Row],[Результат]]&amp;":  "&amp;Хронология[[#This Row],[Событие]]&amp; CHAR(10) &amp;Хронология[[#This Row],[Вид работ]]&amp;"  "&amp;Хронология[[#This Row],[Объект работ]]</f>
        <v>НПВ:  Ожидание разрешения
Тех. дежурство  Бригада КРС</v>
      </c>
      <c r="AW233" s="601">
        <f>SUMIF($AU$2:AU233, Хронология[[#This Row],[Ключ]], $AH$2:AH233)</f>
        <v>5.7083333333333339</v>
      </c>
      <c r="AX233" s="516" t="str">
        <f>Хронология[[#This Row],[Вид работ]] &amp; " " &amp; Хронология[[#This Row],[Объект работ]]</f>
        <v>Тех. дежурство Бригада КРС</v>
      </c>
    </row>
    <row r="234" spans="1:50" ht="50.5" customHeight="1">
      <c r="A234" s="540" t="s">
        <v>50</v>
      </c>
      <c r="B234" s="541" t="s">
        <v>263</v>
      </c>
      <c r="C234" s="541" t="s">
        <v>264</v>
      </c>
      <c r="D234" s="542" t="s">
        <v>265</v>
      </c>
      <c r="E234" s="517" t="s">
        <v>266</v>
      </c>
      <c r="F234" s="515"/>
      <c r="G234" s="517"/>
      <c r="H234" s="517" t="s">
        <v>428</v>
      </c>
      <c r="I234" s="518">
        <v>28</v>
      </c>
      <c r="J234" s="517" t="s">
        <v>462</v>
      </c>
      <c r="K234" s="515"/>
      <c r="L234" s="516" t="s">
        <v>51</v>
      </c>
      <c r="M234" s="516" t="s">
        <v>76</v>
      </c>
      <c r="N234" s="516" t="s">
        <v>77</v>
      </c>
      <c r="O234" s="516" t="s">
        <v>78</v>
      </c>
      <c r="P234" s="516" t="s">
        <v>285</v>
      </c>
      <c r="Q234" s="516" t="s">
        <v>61</v>
      </c>
      <c r="R234" s="516" t="s">
        <v>286</v>
      </c>
      <c r="S234" s="516"/>
      <c r="T234" s="514" t="s">
        <v>463</v>
      </c>
      <c r="U234" s="516">
        <v>4</v>
      </c>
      <c r="V234" s="516">
        <v>2758.16</v>
      </c>
      <c r="W234" s="516" t="s">
        <v>64</v>
      </c>
      <c r="X234" s="516"/>
      <c r="Y234" s="516"/>
      <c r="Z234" s="516"/>
      <c r="AA234" s="516"/>
      <c r="AB234" s="516"/>
      <c r="AC234" s="516"/>
      <c r="AD234" s="516"/>
      <c r="AE234" s="514">
        <f>IFERROR(IF(Хронология[[#This Row],[Забой, м]]-V233&lt;0, 0, Хронология[[#This Row],[Забой, м]]-V233), 0)</f>
        <v>0</v>
      </c>
      <c r="AF234" s="521">
        <f t="shared" si="3"/>
        <v>46194.499999999796</v>
      </c>
      <c r="AG234" s="521">
        <f>Хронология[[#This Row],[Начало]]+Хронология[[#This Row],[Сутки]]</f>
        <v>46194.666666666461</v>
      </c>
      <c r="AH234" s="522">
        <f>Хронология[[#This Row],[Часы]]/24</f>
        <v>0.16666666666666666</v>
      </c>
      <c r="AI234" s="522">
        <f>IFERROR(Хронология[[#This Row],[Сутки]]+AI233, Хронология[[#This Row],[Сутки]])</f>
        <v>49.833333333333208</v>
      </c>
      <c r="AJ234"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НПВ</v>
      </c>
      <c r="AK234"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v>
      </c>
      <c r="AL234"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v>
      </c>
      <c r="AM234" s="527">
        <f>IF(Хронология[[#This Row],[Результат]]="НПВ", Хронология[[#This Row],[Часы]], 0)</f>
        <v>4</v>
      </c>
      <c r="AN234" s="518">
        <f>SUMIFS(Хронология[НПВ], Хронология[Скважина], Хронология[[#This Row],[Скважина]], Хронология[Начало], "&lt;=" &amp; Хронология[[#This Row],[Начало]])</f>
        <v>152</v>
      </c>
      <c r="AO234" s="518">
        <f>SUMIFS(Хронология[ПНВ], Хронология[Скважина], Хронология[[#This Row],[Скважина]], Хронология[Начало], "&lt;=" &amp; Хронология[[#This Row],[Начало]])</f>
        <v>198.51999999999998</v>
      </c>
      <c r="AP234" s="523">
        <f>INT(ROUND(Хронология[[#This Row],[Начало]], 3))</f>
        <v>46194</v>
      </c>
      <c r="AQ234" s="524">
        <f>Хронология[[#This Row],[Начало]]-INT(Хронология[[#This Row],[Начало]])</f>
        <v>0.49999999979627319</v>
      </c>
      <c r="AR234" s="523">
        <f>INT(ROUND(Хронология[[#This Row],[Окончание]], 3))</f>
        <v>46194</v>
      </c>
      <c r="AS234" s="524">
        <f>Хронология[[#This Row],[Окончание]]-INT(Хронология[[#This Row],[Окончание]])</f>
        <v>0.66666666646051453</v>
      </c>
      <c r="AT234" s="524" t="str">
        <f>Хронология[[#This Row],[Мастер]] &amp; CHAR(10) &amp; Хронология[[#This Row],[Помощник мастера]] &amp; CHAR(10) &amp; Хронология[[#This Row],[Бурильщик]]</f>
        <v xml:space="preserve">
Титов А.А.</v>
      </c>
      <c r="AU234"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600 ОК– КРС Орг_простой Ожидание разрешения Тех. дежурство Бригада КРС </v>
      </c>
      <c r="AV234" s="518" t="str">
        <f>Хронология[[#This Row],[Результат]]&amp;":  "&amp;Хронология[[#This Row],[Событие]]&amp; CHAR(10) &amp;Хронология[[#This Row],[Вид работ]]&amp;"  "&amp;Хронология[[#This Row],[Объект работ]]</f>
        <v>НПВ:  Ожидание разрешения
Тех. дежурство  Бригада КРС</v>
      </c>
      <c r="AW234" s="601">
        <f>SUMIF($AU$2:AU234, Хронология[[#This Row],[Ключ]], $AH$2:AH234)</f>
        <v>5.8750000000000009</v>
      </c>
      <c r="AX234" s="516" t="str">
        <f>Хронология[[#This Row],[Вид работ]] &amp; " " &amp; Хронология[[#This Row],[Объект работ]]</f>
        <v>Тех. дежурство Бригада КРС</v>
      </c>
    </row>
    <row r="235" spans="1:50" ht="50.5" customHeight="1">
      <c r="A235" s="540" t="s">
        <v>50</v>
      </c>
      <c r="B235" s="541" t="s">
        <v>263</v>
      </c>
      <c r="C235" s="541" t="s">
        <v>264</v>
      </c>
      <c r="D235" s="542" t="s">
        <v>265</v>
      </c>
      <c r="E235" s="517" t="s">
        <v>266</v>
      </c>
      <c r="F235" s="515"/>
      <c r="G235" s="517"/>
      <c r="H235" s="517" t="s">
        <v>428</v>
      </c>
      <c r="I235" s="518">
        <v>28</v>
      </c>
      <c r="J235" s="517" t="s">
        <v>464</v>
      </c>
      <c r="K235" s="515"/>
      <c r="L235" s="516" t="s">
        <v>51</v>
      </c>
      <c r="M235" s="516" t="s">
        <v>76</v>
      </c>
      <c r="N235" s="516" t="s">
        <v>77</v>
      </c>
      <c r="O235" s="516" t="s">
        <v>78</v>
      </c>
      <c r="P235" s="516" t="s">
        <v>285</v>
      </c>
      <c r="Q235" s="516" t="s">
        <v>61</v>
      </c>
      <c r="R235" s="516" t="s">
        <v>286</v>
      </c>
      <c r="S235" s="516"/>
      <c r="T235" s="514" t="s">
        <v>465</v>
      </c>
      <c r="U235" s="516">
        <v>4</v>
      </c>
      <c r="V235" s="516">
        <v>2758.16</v>
      </c>
      <c r="W235" s="516" t="s">
        <v>64</v>
      </c>
      <c r="X235" s="516"/>
      <c r="Y235" s="516"/>
      <c r="Z235" s="516"/>
      <c r="AA235" s="516"/>
      <c r="AB235" s="516"/>
      <c r="AC235" s="516"/>
      <c r="AD235" s="516"/>
      <c r="AE235" s="514">
        <f>IFERROR(IF(Хронология[[#This Row],[Забой, м]]-V234&lt;0, 0, Хронология[[#This Row],[Забой, м]]-V234), 0)</f>
        <v>0</v>
      </c>
      <c r="AF235" s="521">
        <f t="shared" si="3"/>
        <v>46194.666666666461</v>
      </c>
      <c r="AG235" s="521">
        <f>Хронология[[#This Row],[Начало]]+Хронология[[#This Row],[Сутки]]</f>
        <v>46194.833333333125</v>
      </c>
      <c r="AH235" s="522">
        <f>Хронология[[#This Row],[Часы]]/24</f>
        <v>0.16666666666666666</v>
      </c>
      <c r="AI235" s="522">
        <f>IFERROR(Хронология[[#This Row],[Сутки]]+AI234, Хронология[[#This Row],[Сутки]])</f>
        <v>49.999999999999872</v>
      </c>
      <c r="AJ235"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НПВ</v>
      </c>
      <c r="AK235"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v>
      </c>
      <c r="AL235"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v>
      </c>
      <c r="AM235" s="527">
        <f>IF(Хронология[[#This Row],[Результат]]="НПВ", Хронология[[#This Row],[Часы]], 0)</f>
        <v>4</v>
      </c>
      <c r="AN235" s="518">
        <f>SUMIFS(Хронология[НПВ], Хронология[Скважина], Хронология[[#This Row],[Скважина]], Хронология[Начало], "&lt;=" &amp; Хронология[[#This Row],[Начало]])</f>
        <v>156</v>
      </c>
      <c r="AO235" s="518">
        <f>SUMIFS(Хронология[ПНВ], Хронология[Скважина], Хронология[[#This Row],[Скважина]], Хронология[Начало], "&lt;=" &amp; Хронология[[#This Row],[Начало]])</f>
        <v>198.51999999999998</v>
      </c>
      <c r="AP235" s="523">
        <f>INT(ROUND(Хронология[[#This Row],[Начало]], 3))</f>
        <v>46194</v>
      </c>
      <c r="AQ235" s="524">
        <f>Хронология[[#This Row],[Начало]]-INT(Хронология[[#This Row],[Начало]])</f>
        <v>0.66666666646051453</v>
      </c>
      <c r="AR235" s="523">
        <f>INT(ROUND(Хронология[[#This Row],[Окончание]], 3))</f>
        <v>46194</v>
      </c>
      <c r="AS235" s="524">
        <f>Хронология[[#This Row],[Окончание]]-INT(Хронология[[#This Row],[Окончание]])</f>
        <v>0.83333333312475588</v>
      </c>
      <c r="AT235" s="524" t="str">
        <f>Хронология[[#This Row],[Мастер]] &amp; CHAR(10) &amp; Хронология[[#This Row],[Помощник мастера]] &amp; CHAR(10) &amp; Хронология[[#This Row],[Бурильщик]]</f>
        <v xml:space="preserve">
Титов А.А.</v>
      </c>
      <c r="AU235"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600 ОК– КРС Орг_простой Ожидание разрешения Тех. дежурство Бригада КРС </v>
      </c>
      <c r="AV235" s="518" t="str">
        <f>Хронология[[#This Row],[Результат]]&amp;":  "&amp;Хронология[[#This Row],[Событие]]&amp; CHAR(10) &amp;Хронология[[#This Row],[Вид работ]]&amp;"  "&amp;Хронология[[#This Row],[Объект работ]]</f>
        <v>НПВ:  Ожидание разрешения
Тех. дежурство  Бригада КРС</v>
      </c>
      <c r="AW235" s="601">
        <f>SUMIF($AU$2:AU235, Хронология[[#This Row],[Ключ]], $AH$2:AH235)</f>
        <v>6.0416666666666679</v>
      </c>
      <c r="AX235" s="516" t="str">
        <f>Хронология[[#This Row],[Вид работ]] &amp; " " &amp; Хронология[[#This Row],[Объект работ]]</f>
        <v>Тех. дежурство Бригада КРС</v>
      </c>
    </row>
    <row r="236" spans="1:50" ht="50.5" customHeight="1">
      <c r="A236" s="540" t="s">
        <v>50</v>
      </c>
      <c r="B236" s="541" t="s">
        <v>263</v>
      </c>
      <c r="C236" s="541" t="s">
        <v>264</v>
      </c>
      <c r="D236" s="542" t="s">
        <v>265</v>
      </c>
      <c r="E236" s="517" t="s">
        <v>266</v>
      </c>
      <c r="F236" s="515"/>
      <c r="G236" s="517"/>
      <c r="H236" s="517" t="s">
        <v>428</v>
      </c>
      <c r="I236" s="518">
        <v>28</v>
      </c>
      <c r="J236" s="517" t="s">
        <v>466</v>
      </c>
      <c r="K236" s="515"/>
      <c r="L236" s="516" t="s">
        <v>51</v>
      </c>
      <c r="M236" s="516" t="s">
        <v>76</v>
      </c>
      <c r="N236" s="516" t="s">
        <v>77</v>
      </c>
      <c r="O236" s="516" t="s">
        <v>78</v>
      </c>
      <c r="P236" s="516" t="s">
        <v>285</v>
      </c>
      <c r="Q236" s="516" t="s">
        <v>61</v>
      </c>
      <c r="R236" s="516" t="s">
        <v>286</v>
      </c>
      <c r="S236" s="516"/>
      <c r="T236" s="514" t="s">
        <v>467</v>
      </c>
      <c r="U236" s="516">
        <v>4</v>
      </c>
      <c r="V236" s="516">
        <v>2758.16</v>
      </c>
      <c r="W236" s="516" t="s">
        <v>64</v>
      </c>
      <c r="X236" s="516"/>
      <c r="Y236" s="516"/>
      <c r="Z236" s="516"/>
      <c r="AA236" s="516"/>
      <c r="AB236" s="516"/>
      <c r="AC236" s="516"/>
      <c r="AD236" s="516"/>
      <c r="AE236" s="514">
        <f>IFERROR(IF(Хронология[[#This Row],[Забой, м]]-V235&lt;0, 0, Хронология[[#This Row],[Забой, м]]-V235), 0)</f>
        <v>0</v>
      </c>
      <c r="AF236" s="521">
        <f t="shared" si="3"/>
        <v>46194.833333333125</v>
      </c>
      <c r="AG236" s="521">
        <f>Хронология[[#This Row],[Начало]]+Хронология[[#This Row],[Сутки]]</f>
        <v>46194.999999999789</v>
      </c>
      <c r="AH236" s="522">
        <f>Хронология[[#This Row],[Часы]]/24</f>
        <v>0.16666666666666666</v>
      </c>
      <c r="AI236" s="522">
        <f>IFERROR(Хронология[[#This Row],[Сутки]]+AI235, Хронология[[#This Row],[Сутки]])</f>
        <v>50.166666666666536</v>
      </c>
      <c r="AJ236"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НПВ</v>
      </c>
      <c r="AK236"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v>
      </c>
      <c r="AL236"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v>
      </c>
      <c r="AM236" s="527">
        <f>IF(Хронология[[#This Row],[Результат]]="НПВ", Хронология[[#This Row],[Часы]], 0)</f>
        <v>4</v>
      </c>
      <c r="AN236" s="518">
        <f>SUMIFS(Хронология[НПВ], Хронология[Скважина], Хронология[[#This Row],[Скважина]], Хронология[Начало], "&lt;=" &amp; Хронология[[#This Row],[Начало]])</f>
        <v>160</v>
      </c>
      <c r="AO236" s="518">
        <f>SUMIFS(Хронология[ПНВ], Хронология[Скважина], Хронология[[#This Row],[Скважина]], Хронология[Начало], "&lt;=" &amp; Хронология[[#This Row],[Начало]])</f>
        <v>198.51999999999998</v>
      </c>
      <c r="AP236" s="523">
        <f>INT(ROUND(Хронология[[#This Row],[Начало]], 3))</f>
        <v>46194</v>
      </c>
      <c r="AQ236" s="524">
        <f>Хронология[[#This Row],[Начало]]-INT(Хронология[[#This Row],[Начало]])</f>
        <v>0.83333333312475588</v>
      </c>
      <c r="AR236" s="523">
        <f>INT(ROUND(Хронология[[#This Row],[Окончание]], 3))</f>
        <v>46195</v>
      </c>
      <c r="AS236" s="524">
        <f>Хронология[[#This Row],[Окончание]]-INT(Хронология[[#This Row],[Окончание]])</f>
        <v>0.99999999978899723</v>
      </c>
      <c r="AT236" s="524" t="str">
        <f>Хронология[[#This Row],[Мастер]] &amp; CHAR(10) &amp; Хронология[[#This Row],[Помощник мастера]] &amp; CHAR(10) &amp; Хронология[[#This Row],[Бурильщик]]</f>
        <v xml:space="preserve">
Титов А.А.</v>
      </c>
      <c r="AU236"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600 ОК– КРС Орг_простой Ожидание разрешения Тех. дежурство Бригада КРС </v>
      </c>
      <c r="AV236" s="518" t="str">
        <f>Хронология[[#This Row],[Результат]]&amp;":  "&amp;Хронология[[#This Row],[Событие]]&amp; CHAR(10) &amp;Хронология[[#This Row],[Вид работ]]&amp;"  "&amp;Хронология[[#This Row],[Объект работ]]</f>
        <v>НПВ:  Ожидание разрешения
Тех. дежурство  Бригада КРС</v>
      </c>
      <c r="AW236" s="601">
        <f>SUMIF($AU$2:AU236, Хронология[[#This Row],[Ключ]], $AH$2:AH236)</f>
        <v>6.2083333333333348</v>
      </c>
      <c r="AX236" s="516" t="str">
        <f>Хронология[[#This Row],[Вид работ]] &amp; " " &amp; Хронология[[#This Row],[Объект работ]]</f>
        <v>Тех. дежурство Бригада КРС</v>
      </c>
    </row>
    <row r="237" spans="1:50" ht="50.5" customHeight="1">
      <c r="A237" s="540" t="s">
        <v>50</v>
      </c>
      <c r="B237" s="541" t="s">
        <v>263</v>
      </c>
      <c r="C237" s="541" t="s">
        <v>264</v>
      </c>
      <c r="D237" s="542" t="s">
        <v>265</v>
      </c>
      <c r="E237" s="517" t="s">
        <v>266</v>
      </c>
      <c r="F237" s="515" t="s">
        <v>66</v>
      </c>
      <c r="G237" s="517"/>
      <c r="H237" s="517" t="s">
        <v>437</v>
      </c>
      <c r="I237" s="518">
        <v>29</v>
      </c>
      <c r="J237" s="517" t="s">
        <v>468</v>
      </c>
      <c r="K237" s="515"/>
      <c r="L237" s="516" t="s">
        <v>51</v>
      </c>
      <c r="M237" s="516" t="s">
        <v>76</v>
      </c>
      <c r="N237" s="516" t="s">
        <v>77</v>
      </c>
      <c r="O237" s="516" t="s">
        <v>78</v>
      </c>
      <c r="P237" s="516" t="s">
        <v>285</v>
      </c>
      <c r="Q237" s="516" t="s">
        <v>61</v>
      </c>
      <c r="R237" s="516" t="s">
        <v>286</v>
      </c>
      <c r="S237" s="516"/>
      <c r="T237" s="514" t="s">
        <v>469</v>
      </c>
      <c r="U237" s="516">
        <v>7</v>
      </c>
      <c r="V237" s="516">
        <v>2758.16</v>
      </c>
      <c r="W237" s="516" t="s">
        <v>64</v>
      </c>
      <c r="X237" s="516"/>
      <c r="Y237" s="516"/>
      <c r="Z237" s="516"/>
      <c r="AA237" s="516"/>
      <c r="AB237" s="516"/>
      <c r="AC237" s="516"/>
      <c r="AD237" s="516"/>
      <c r="AE237" s="514">
        <f>IFERROR(IF(Хронология[[#This Row],[Забой, м]]-V236&lt;0, 0, Хронология[[#This Row],[Забой, м]]-V236), 0)</f>
        <v>0</v>
      </c>
      <c r="AF237" s="521">
        <f t="shared" si="3"/>
        <v>46194.999999999789</v>
      </c>
      <c r="AG237" s="521">
        <f>Хронология[[#This Row],[Начало]]+Хронология[[#This Row],[Сутки]]</f>
        <v>46195.291666666453</v>
      </c>
      <c r="AH237" s="522">
        <f>Хронология[[#This Row],[Часы]]/24</f>
        <v>0.29166666666666669</v>
      </c>
      <c r="AI237" s="522">
        <f>IFERROR(Хронология[[#This Row],[Сутки]]+AI236, Хронология[[#This Row],[Сутки]])</f>
        <v>50.458333333333201</v>
      </c>
      <c r="AJ237"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НПВ</v>
      </c>
      <c r="AK237"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v>
      </c>
      <c r="AL237"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v>
      </c>
      <c r="AM237" s="527">
        <f>IF(Хронология[[#This Row],[Результат]]="НПВ", Хронология[[#This Row],[Часы]], 0)</f>
        <v>7</v>
      </c>
      <c r="AN237" s="518">
        <f>SUMIFS(Хронология[НПВ], Хронология[Скважина], Хронология[[#This Row],[Скважина]], Хронология[Начало], "&lt;=" &amp; Хронология[[#This Row],[Начало]])</f>
        <v>167</v>
      </c>
      <c r="AO237" s="518">
        <f>SUMIFS(Хронология[ПНВ], Хронология[Скважина], Хронология[[#This Row],[Скважина]], Хронология[Начало], "&lt;=" &amp; Хронология[[#This Row],[Начало]])</f>
        <v>198.51999999999998</v>
      </c>
      <c r="AP237" s="523">
        <f>INT(ROUND(Хронология[[#This Row],[Начало]], 3))</f>
        <v>46195</v>
      </c>
      <c r="AQ237" s="524">
        <f>Хронология[[#This Row],[Начало]]-INT(Хронология[[#This Row],[Начало]])</f>
        <v>0.99999999978899723</v>
      </c>
      <c r="AR237" s="523">
        <f>INT(ROUND(Хронология[[#This Row],[Окончание]], 3))</f>
        <v>46195</v>
      </c>
      <c r="AS237" s="524">
        <f>Хронология[[#This Row],[Окончание]]-INT(Хронология[[#This Row],[Окончание]])</f>
        <v>0.29166666645323858</v>
      </c>
      <c r="AT237" s="524" t="str">
        <f>Хронология[[#This Row],[Мастер]] &amp; CHAR(10) &amp; Хронология[[#This Row],[Помощник мастера]] &amp; CHAR(10) &amp; Хронология[[#This Row],[Бурильщик]]</f>
        <v>Жабин П.П.
Арбузов А.В.</v>
      </c>
      <c r="AU237"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600 ОК– КРС Орг_простой Ожидание разрешения Тех. дежурство Бригада КРС </v>
      </c>
      <c r="AV237" s="518" t="str">
        <f>Хронология[[#This Row],[Результат]]&amp;":  "&amp;Хронология[[#This Row],[Событие]]&amp; CHAR(10) &amp;Хронология[[#This Row],[Вид работ]]&amp;"  "&amp;Хронология[[#This Row],[Объект работ]]</f>
        <v>НПВ:  Ожидание разрешения
Тех. дежурство  Бригада КРС</v>
      </c>
      <c r="AW237" s="601">
        <f>SUMIF($AU$2:AU237, Хронология[[#This Row],[Ключ]], $AH$2:AH237)</f>
        <v>6.5000000000000018</v>
      </c>
      <c r="AX237" s="516" t="str">
        <f>Хронология[[#This Row],[Вид работ]] &amp; " " &amp; Хронология[[#This Row],[Объект работ]]</f>
        <v>Тех. дежурство Бригада КРС</v>
      </c>
    </row>
    <row r="238" spans="1:50" ht="50.5" customHeight="1">
      <c r="A238" s="540" t="s">
        <v>50</v>
      </c>
      <c r="B238" s="541" t="s">
        <v>263</v>
      </c>
      <c r="C238" s="541" t="s">
        <v>264</v>
      </c>
      <c r="D238" s="542" t="s">
        <v>265</v>
      </c>
      <c r="E238" s="517" t="s">
        <v>266</v>
      </c>
      <c r="F238" s="515" t="s">
        <v>66</v>
      </c>
      <c r="G238" s="517"/>
      <c r="H238" s="517" t="s">
        <v>428</v>
      </c>
      <c r="I238" s="518">
        <v>29</v>
      </c>
      <c r="J238" s="517" t="s">
        <v>470</v>
      </c>
      <c r="K238" s="515"/>
      <c r="L238" s="516" t="s">
        <v>51</v>
      </c>
      <c r="M238" s="516" t="s">
        <v>76</v>
      </c>
      <c r="N238" s="516" t="s">
        <v>77</v>
      </c>
      <c r="O238" s="516" t="s">
        <v>78</v>
      </c>
      <c r="P238" s="516" t="s">
        <v>285</v>
      </c>
      <c r="Q238" s="516" t="s">
        <v>61</v>
      </c>
      <c r="R238" s="516" t="s">
        <v>286</v>
      </c>
      <c r="S238" s="516"/>
      <c r="T238" s="514" t="s">
        <v>471</v>
      </c>
      <c r="U238" s="516">
        <v>5</v>
      </c>
      <c r="V238" s="516">
        <v>2758.16</v>
      </c>
      <c r="W238" s="516" t="s">
        <v>472</v>
      </c>
      <c r="X238" s="516"/>
      <c r="Y238" s="516"/>
      <c r="Z238" s="516"/>
      <c r="AA238" s="516"/>
      <c r="AB238" s="516"/>
      <c r="AC238" s="516"/>
      <c r="AD238" s="516"/>
      <c r="AE238" s="514">
        <f>IFERROR(IF(Хронология[[#This Row],[Забой, м]]-V237&lt;0, 0, Хронология[[#This Row],[Забой, м]]-V237), 0)</f>
        <v>0</v>
      </c>
      <c r="AF238" s="521">
        <f t="shared" si="3"/>
        <v>46195.291666666453</v>
      </c>
      <c r="AG238" s="521">
        <f>Хронология[[#This Row],[Начало]]+Хронология[[#This Row],[Сутки]]</f>
        <v>46195.499999999789</v>
      </c>
      <c r="AH238" s="522">
        <f>Хронология[[#This Row],[Часы]]/24</f>
        <v>0.20833333333333334</v>
      </c>
      <c r="AI238" s="522">
        <f>IFERROR(Хронология[[#This Row],[Сутки]]+AI237, Хронология[[#This Row],[Сутки]])</f>
        <v>50.666666666666536</v>
      </c>
      <c r="AJ238" s="516" t="str">
        <f>IF(Хронология[[#This Row],[Этап]]="Доп. работы", "ПВ", IFERROR(
    IF(AND(
            MATCH(Хронология[[#This Row],[Ключ]], Планирование[Ключ], 0),  Хронология[[#This Row],[Подытог за операцию]] &lt;= INDEX(Планирование[Сутки (план)], MATCH(Хронология[[#This Row],[Ключ]], Планирование[Ключ], 0)) ), "ПВ", "ПНВ"), "НПВ"))</f>
        <v>НПВ</v>
      </c>
      <c r="AK238" s="527">
        <f>IF(
   OR(Хронология[[#This Row],[Результат]]="ПВ", Хронология[[#This Row],[Результат]]="ПНВ"),
   Хронология[[#This Row],[Часы]] - 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
   0
)</f>
        <v>0</v>
      </c>
      <c r="AL238" s="527">
        <f>IF(
   Хронология[[#This Row],[Результат]]="ПНВ",
   MAX(0,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MAX(0, SUMIFS(Хронология[Часы], Хронология[Ключ], Хронология[[#This Row],[Ключ]], Хронология[Начало], "&lt;" &amp; Хронология[[#This Row],[Начало]]) - IFERROR(INDEX(Планирование[Часы (план)], MATCH(Хронология[[#This Row],[Ключ]], Планирование[Ключ], 0)), 0))
   ),
   0
)</f>
        <v>0</v>
      </c>
      <c r="AM238" s="527">
        <f>IF(Хронология[[#This Row],[Результат]]="НПВ", Хронология[[#This Row],[Часы]], 0)</f>
        <v>5</v>
      </c>
      <c r="AN238" s="518">
        <f>SUMIFS(Хронология[НПВ], Хронология[Скважина], Хронология[[#This Row],[Скважина]], Хронология[Начало], "&lt;=" &amp; Хронология[[#This Row],[Начало]])</f>
        <v>172</v>
      </c>
      <c r="AO238" s="518">
        <f>SUMIFS(Хронология[ПНВ], Хронология[Скважина], Хронология[[#This Row],[Скважина]], Хронология[Начало], "&lt;=" &amp; Хронология[[#This Row],[Начало]])</f>
        <v>198.51999999999998</v>
      </c>
      <c r="AP238" s="523">
        <f>INT(ROUND(Хронология[[#This Row],[Начало]], 3))</f>
        <v>46195</v>
      </c>
      <c r="AQ238" s="524">
        <f>Хронология[[#This Row],[Начало]]-INT(Хронология[[#This Row],[Начало]])</f>
        <v>0.29166666645323858</v>
      </c>
      <c r="AR238" s="523">
        <f>INT(ROUND(Хронология[[#This Row],[Окончание]], 3))</f>
        <v>46195</v>
      </c>
      <c r="AS238" s="524">
        <f>Хронология[[#This Row],[Окончание]]-INT(Хронология[[#This Row],[Окончание]])</f>
        <v>0.49999999978899723</v>
      </c>
      <c r="AT238" s="524" t="str">
        <f>Хронология[[#This Row],[Мастер]] &amp; CHAR(10) &amp; Хронология[[#This Row],[Помощник мастера]] &amp; CHAR(10) &amp; Хронология[[#This Row],[Бурильщик]]</f>
        <v>Жабин П.П.
Титов А.А.</v>
      </c>
      <c r="AU238" s="516" t="str">
        <f>IF(Хронология[[#This Row],[Контекст простоя]]="Штатно", Хронология[[#This Row],[Скважина]] &amp; " " &amp; "ОК–" &amp;Хронология[[#This Row],[ОК]] &amp; " "  &amp; Хронология[[#This Row],[Этап]] &amp; " " &amp; Хронология[[#This Row],[Вид работ]] &amp; " " &amp; Хронология[[#This Row],[Объект работ]] &amp; " " &amp; Хронология[[#This Row],[Рейс]], Хронология[[#This Row],[Скважина]] &amp; " " &amp; "ОК–" &amp;Хронология[[#This Row],[ОК]] &amp; " " &amp; Хронология[[#This Row],[Этап]] &amp; " " &amp; Хронология[[#This Row],[Контекст простоя]] &amp; " " &amp; Хронология[[#This Row],[Событие]] &amp; " " &amp; Хронология[[#This Row],[Вид работ]] &amp; " " &amp; Хронология[[#This Row],[Объект работ]] &amp; " " &amp; Хронология[[#This Row],[Рейс]])</f>
        <v xml:space="preserve">600 ОК– КРС Орг_простой Ожидание разрешения Тех. дежурство Бригада КРС </v>
      </c>
      <c r="AV238" s="518" t="str">
        <f>Хронология[[#This Row],[Результат]]&amp;":  "&amp;Хронология[[#This Row],[Событие]]&amp; CHAR(10) &amp;Хронология[[#This Row],[Вид работ]]&amp;"  "&amp;Хронология[[#This Row],[Объект работ]]</f>
        <v>НПВ:  Ожидание разрешения
Тех. дежурство  Бригада КРС</v>
      </c>
      <c r="AW238" s="601">
        <f>SUMIF($AU$2:AU238, Хронология[[#This Row],[Ключ]], $AH$2:AH238)</f>
        <v>6.7083333333333348</v>
      </c>
      <c r="AX238" s="516" t="str">
        <f>Хронология[[#This Row],[Вид работ]] &amp; " " &amp; Хронология[[#This Row],[Объект работ]]</f>
        <v>Тех. дежурство Бригада КРС</v>
      </c>
    </row>
  </sheetData>
  <dataValidations count="3">
    <dataValidation type="decimal" allowBlank="1" showInputMessage="1" showErrorMessage="1" sqref="Z2:AD93" xr:uid="{00000000-0002-0000-0200-000000000000}">
      <formula1>0</formula1>
      <formula2>100000</formula2>
    </dataValidation>
    <dataValidation type="list" allowBlank="1" showInputMessage="1" showErrorMessage="1" sqref="AI137:AI1048576 AQ137:AR1048576 AT137:AT1048576 AY94:AY1048576 BG5:BG64 BM65:BM93 BQ94:BQ1048576" xr:uid="{00000000-0002-0000-0200-000001000000}">
      <formula1>#REF!</formula1>
    </dataValidation>
    <dataValidation type="list" allowBlank="1" showInputMessage="1" showErrorMessage="1" sqref="N2:N1048576 P2:P1048576 R2:R1048576" xr:uid="{00000000-0002-0000-0200-000002000000}">
      <formula1>INDIRECT(M2)</formula1>
    </dataValidation>
  </dataValidations>
  <pageMargins left="0.70866141732283472" right="0.70866141732283472" top="0.74803149606299213" bottom="0.74803149606299213" header="0.31496062992125978" footer="0.31496062992125978"/>
  <pageSetup paperSize="8" scale="10" orientation="landscape"/>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pageSetUpPr fitToPage="1"/>
  </sheetPr>
  <dimension ref="B1:I249"/>
  <sheetViews>
    <sheetView zoomScale="50" zoomScaleNormal="50" workbookViewId="0">
      <selection activeCell="E25" sqref="E25"/>
    </sheetView>
  </sheetViews>
  <sheetFormatPr defaultColWidth="11.15234375" defaultRowHeight="15.5" outlineLevelRow="3"/>
  <cols>
    <col min="2" max="2" width="26.53515625" customWidth="1"/>
    <col min="3" max="3" width="38.84375" customWidth="1"/>
    <col min="4" max="4" width="46.3828125" customWidth="1"/>
    <col min="5" max="5" width="42.3828125" customWidth="1"/>
    <col min="6" max="6" width="86.53515625" customWidth="1"/>
    <col min="7" max="7" width="38" customWidth="1"/>
    <col min="8" max="8" width="34.3828125" customWidth="1"/>
    <col min="9" max="9" width="30.3828125" bestFit="1" customWidth="1"/>
  </cols>
  <sheetData>
    <row r="1" spans="2:9" ht="25" customHeight="1">
      <c r="B1" s="293"/>
      <c r="C1" s="13"/>
      <c r="D1" s="754" t="s">
        <v>700</v>
      </c>
      <c r="E1" s="613"/>
      <c r="F1" s="344">
        <v>2</v>
      </c>
      <c r="G1" s="12"/>
      <c r="H1" s="14" t="s">
        <v>529</v>
      </c>
      <c r="I1" s="345">
        <f ca="1">TODAY()</f>
        <v>46202</v>
      </c>
    </row>
    <row r="2" spans="2:9">
      <c r="B2" s="12"/>
      <c r="C2" s="343"/>
      <c r="D2" s="12"/>
      <c r="E2" s="12"/>
      <c r="F2" s="12"/>
      <c r="G2" s="12"/>
      <c r="H2" s="12"/>
      <c r="I2" s="12"/>
    </row>
    <row r="3" spans="2:9" ht="18" customHeight="1">
      <c r="B3" s="15"/>
      <c r="C3" s="15"/>
      <c r="D3" s="15"/>
      <c r="E3" s="15"/>
      <c r="F3" s="15"/>
      <c r="G3" s="15"/>
      <c r="H3" s="15"/>
      <c r="I3" s="15"/>
    </row>
    <row r="4" spans="2:9" ht="26" customHeight="1" thickBot="1">
      <c r="B4" s="721" t="s">
        <v>530</v>
      </c>
      <c r="C4" s="613"/>
      <c r="D4" s="613"/>
      <c r="E4" s="613"/>
      <c r="F4" s="613"/>
      <c r="G4" s="613"/>
      <c r="H4" s="613"/>
      <c r="I4" s="613"/>
    </row>
    <row r="5" spans="2:9" ht="19" customHeight="1" outlineLevel="1">
      <c r="B5" s="767" t="s">
        <v>532</v>
      </c>
      <c r="C5" s="730"/>
      <c r="D5" s="16" t="s">
        <v>52</v>
      </c>
      <c r="E5" s="17"/>
      <c r="F5" s="18" t="s">
        <v>701</v>
      </c>
      <c r="G5" s="19" t="s">
        <v>702</v>
      </c>
      <c r="H5" s="20"/>
      <c r="I5" s="21"/>
    </row>
    <row r="6" spans="2:9" ht="18.75" customHeight="1" outlineLevel="1" thickBot="1">
      <c r="B6" s="708" t="s">
        <v>534</v>
      </c>
      <c r="C6" s="703"/>
      <c r="D6" s="22">
        <v>26</v>
      </c>
      <c r="E6" s="12"/>
      <c r="F6" s="23" t="s">
        <v>703</v>
      </c>
      <c r="G6" s="446" t="s">
        <v>704</v>
      </c>
      <c r="H6" s="24"/>
      <c r="I6" s="25"/>
    </row>
    <row r="7" spans="2:9" ht="19" customHeight="1" outlineLevel="1" thickBot="1">
      <c r="B7" s="708" t="s">
        <v>539</v>
      </c>
      <c r="C7" s="703"/>
      <c r="D7" s="22">
        <v>330</v>
      </c>
      <c r="E7" s="12"/>
      <c r="F7" s="26"/>
      <c r="G7" s="27"/>
      <c r="H7" s="27"/>
      <c r="I7" s="28"/>
    </row>
    <row r="8" spans="2:9" ht="19" customHeight="1" outlineLevel="1">
      <c r="B8" s="708" t="s">
        <v>543</v>
      </c>
      <c r="C8" s="703"/>
      <c r="D8" s="22" t="s">
        <v>705</v>
      </c>
      <c r="E8" s="12"/>
      <c r="F8" s="29" t="s">
        <v>706</v>
      </c>
      <c r="G8" s="30" t="s">
        <v>540</v>
      </c>
      <c r="H8" s="30" t="s">
        <v>541</v>
      </c>
      <c r="I8" s="31" t="s">
        <v>707</v>
      </c>
    </row>
    <row r="9" spans="2:9" ht="18" customHeight="1" outlineLevel="1">
      <c r="B9" s="708" t="s">
        <v>544</v>
      </c>
      <c r="C9" s="703"/>
      <c r="D9" s="22" t="s">
        <v>708</v>
      </c>
      <c r="E9" s="12"/>
      <c r="F9" s="32">
        <v>324</v>
      </c>
      <c r="G9" s="33">
        <v>50</v>
      </c>
      <c r="H9" s="33">
        <f>_xlfn.MAXIFS(Хронология[Забой, м], Хронология[ОК], F9)</f>
        <v>0</v>
      </c>
      <c r="I9" s="34" t="str">
        <f>IF(_xlfn.MAXIFS(Хронология[Окончание], Хронология[ОК], F9, Хронология[Вид работ], "Цементаж")=0, " ", _xlfn.MAXIFS(Хронология[Окончание], Хронология[ОК], F9, Хронология[Вид работ], "Цементаж"))</f>
        <v xml:space="preserve"> </v>
      </c>
    </row>
    <row r="10" spans="2:9" ht="18" customHeight="1" outlineLevel="1">
      <c r="B10" s="708" t="s">
        <v>545</v>
      </c>
      <c r="C10" s="703"/>
      <c r="D10" s="35" t="s">
        <v>709</v>
      </c>
      <c r="E10" s="12"/>
      <c r="F10" s="32">
        <v>245</v>
      </c>
      <c r="G10" s="33">
        <v>1150.51</v>
      </c>
      <c r="H10" s="33">
        <f>_xlfn.MAXIFS(Хронология[Забой, м], Хронология[ОК], F10)</f>
        <v>0</v>
      </c>
      <c r="I10" s="34" t="str">
        <f>IF(_xlfn.MAXIFS(Хронология[Окончание], Хронология[ОК], F10, Хронология[Вид работ], "Цементаж")=0, " ", _xlfn.MAXIFS(Хронология[Окончание], Хронология[ОК], F10, Хронология[Вид работ], "Цементаж"))</f>
        <v xml:space="preserve"> </v>
      </c>
    </row>
    <row r="11" spans="2:9" ht="18" customHeight="1" outlineLevel="1">
      <c r="B11" s="708" t="s">
        <v>710</v>
      </c>
      <c r="C11" s="703"/>
      <c r="D11" s="35" t="s">
        <v>711</v>
      </c>
      <c r="E11" s="12"/>
      <c r="F11" s="32">
        <v>146</v>
      </c>
      <c r="G11" s="33">
        <v>2491</v>
      </c>
      <c r="H11" s="33">
        <f>_xlfn.MAXIFS(Хронология[Забой, м], Хронология[ОК], F11)</f>
        <v>0</v>
      </c>
      <c r="I11" s="34" t="str">
        <f>IF(_xlfn.MAXIFS(Хронология[Окончание], Хронология[ОК], F11, Хронология[Вид работ], "Цементаж")=0, " ", _xlfn.MAXIFS(Хронология[Окончание], Хронология[ОК], F11, Хронология[Вид работ], "Цементаж"))</f>
        <v xml:space="preserve"> </v>
      </c>
    </row>
    <row r="12" spans="2:9" ht="19" customHeight="1" outlineLevel="1" thickBot="1">
      <c r="B12" s="708" t="s">
        <v>712</v>
      </c>
      <c r="C12" s="703"/>
      <c r="D12" s="36">
        <v>46063</v>
      </c>
      <c r="E12" s="12"/>
      <c r="F12" s="23">
        <v>102</v>
      </c>
      <c r="G12" s="33">
        <v>3591</v>
      </c>
      <c r="H12" s="33">
        <f>_xlfn.MAXIFS(Хронология[Забой, м], Хронология[Этап], "Бурение")</f>
        <v>0</v>
      </c>
      <c r="I12" s="34" t="str">
        <f>IF(_xlfn.MAXIFS(Хронология[Окончание], Хронология[ОК], F12, Хронология[Вид работ], "Цементаж")=0, " ", _xlfn.MAXIFS(Хронология[Окончание], Хронология[ОК], F12, Хронология[Вид работ], "Цементаж"))</f>
        <v xml:space="preserve"> </v>
      </c>
    </row>
    <row r="13" spans="2:9" ht="19" customHeight="1" outlineLevel="1" thickBot="1">
      <c r="B13" s="708" t="s">
        <v>713</v>
      </c>
      <c r="C13" s="703"/>
      <c r="D13" s="37">
        <f>F1</f>
        <v>2</v>
      </c>
      <c r="E13" s="12"/>
      <c r="F13" s="26"/>
      <c r="G13" s="27"/>
      <c r="H13" s="27"/>
      <c r="I13" s="28"/>
    </row>
    <row r="14" spans="2:9" ht="19" customHeight="1" outlineLevel="1">
      <c r="B14" s="708" t="s">
        <v>714</v>
      </c>
      <c r="C14" s="703"/>
      <c r="D14" s="38">
        <f>Планирование[[#This Row],[Начало (план)]]</f>
        <v>46145.098750000012</v>
      </c>
      <c r="E14" s="12"/>
      <c r="F14" s="18" t="s">
        <v>715</v>
      </c>
      <c r="G14" s="236">
        <v>3591</v>
      </c>
      <c r="H14" s="20"/>
      <c r="I14" s="21"/>
    </row>
    <row r="15" spans="2:9" ht="19" customHeight="1" outlineLevel="1">
      <c r="B15" s="708" t="s">
        <v>547</v>
      </c>
      <c r="C15" s="703"/>
      <c r="D15" s="39">
        <f>Планирование!X5</f>
        <v>7.4962500000000016</v>
      </c>
      <c r="E15" s="12"/>
      <c r="F15" s="32" t="s">
        <v>716</v>
      </c>
      <c r="G15" s="237">
        <v>2475</v>
      </c>
      <c r="H15" s="40"/>
      <c r="I15" s="41"/>
    </row>
    <row r="16" spans="2:9" ht="21" customHeight="1" outlineLevel="1">
      <c r="B16" s="708" t="s">
        <v>717</v>
      </c>
      <c r="C16" s="703"/>
      <c r="D16" s="39">
        <f>MAX(Хронология[Нараст. сутки])</f>
        <v>50.666666666666536</v>
      </c>
      <c r="E16" s="12"/>
      <c r="F16" s="32" t="s">
        <v>718</v>
      </c>
      <c r="G16" s="237">
        <v>2469.3000000000002</v>
      </c>
      <c r="H16" s="40"/>
      <c r="I16" s="41"/>
    </row>
    <row r="17" spans="2:9" ht="19" customHeight="1" outlineLevel="1">
      <c r="B17" s="708" t="s">
        <v>551</v>
      </c>
      <c r="C17" s="703"/>
      <c r="D17" s="39" t="e">
        <f ca="1">IF(Планирование!X6&gt;0, Планирование!X6, "Опережение")</f>
        <v>#REF!</v>
      </c>
      <c r="E17" s="12"/>
      <c r="F17" s="32" t="s">
        <v>719</v>
      </c>
      <c r="G17" s="237" t="s">
        <v>720</v>
      </c>
      <c r="H17" s="40"/>
      <c r="I17" s="41"/>
    </row>
    <row r="18" spans="2:9" ht="19" customHeight="1" outlineLevel="1">
      <c r="B18" s="708" t="s">
        <v>721</v>
      </c>
      <c r="C18" s="703"/>
      <c r="D18" s="42" t="e">
        <f ca="1">D17</f>
        <v>#REF!</v>
      </c>
      <c r="E18" s="12"/>
      <c r="F18" s="32" t="s">
        <v>722</v>
      </c>
      <c r="G18" s="238" t="s">
        <v>723</v>
      </c>
      <c r="H18" s="40"/>
      <c r="I18" s="41"/>
    </row>
    <row r="19" spans="2:9" ht="19" customHeight="1" outlineLevel="1">
      <c r="B19" s="708" t="s">
        <v>553</v>
      </c>
      <c r="C19" s="703"/>
      <c r="D19" s="43">
        <v>126</v>
      </c>
      <c r="E19" s="12"/>
      <c r="F19" s="32" t="s">
        <v>724</v>
      </c>
      <c r="G19" s="238" t="s">
        <v>725</v>
      </c>
      <c r="H19" s="40"/>
      <c r="I19" s="41"/>
    </row>
    <row r="20" spans="2:9" ht="20" customHeight="1" outlineLevel="1" thickBot="1">
      <c r="B20" s="708" t="s">
        <v>726</v>
      </c>
      <c r="C20" s="703"/>
      <c r="D20" s="415">
        <f>F187</f>
        <v>3538</v>
      </c>
      <c r="E20" s="12"/>
      <c r="F20" s="23" t="s">
        <v>727</v>
      </c>
      <c r="G20" s="239">
        <v>2241.61</v>
      </c>
      <c r="H20" s="44"/>
      <c r="I20" s="45"/>
    </row>
    <row r="21" spans="2:9" ht="20.25" customHeight="1" outlineLevel="1">
      <c r="B21" s="708" t="s">
        <v>728</v>
      </c>
      <c r="C21" s="703"/>
      <c r="D21" s="46">
        <f>F190</f>
        <v>2476.2600000000002</v>
      </c>
      <c r="E21" s="12"/>
      <c r="F21" s="47"/>
      <c r="G21" s="27"/>
      <c r="H21" s="27"/>
      <c r="I21" s="28"/>
    </row>
    <row r="22" spans="2:9" ht="20.25" customHeight="1" outlineLevel="1" thickBot="1">
      <c r="B22" s="704" t="s">
        <v>559</v>
      </c>
      <c r="C22" s="705"/>
      <c r="D22" s="416">
        <f>D126</f>
        <v>128</v>
      </c>
      <c r="E22" s="12"/>
      <c r="F22" s="48"/>
      <c r="G22" s="12"/>
      <c r="H22" s="12"/>
      <c r="I22" s="49"/>
    </row>
    <row r="23" spans="2:9" ht="19" customHeight="1" outlineLevel="1" thickBot="1">
      <c r="B23" s="50"/>
      <c r="C23" s="51"/>
      <c r="D23" s="27"/>
      <c r="E23" s="12"/>
      <c r="F23" s="48"/>
      <c r="G23" s="12"/>
      <c r="H23" s="12"/>
      <c r="I23" s="49"/>
    </row>
    <row r="24" spans="2:9" ht="19" customHeight="1" outlineLevel="1">
      <c r="B24" s="729" t="s">
        <v>729</v>
      </c>
      <c r="C24" s="730"/>
      <c r="D24" s="52" t="s">
        <v>730</v>
      </c>
      <c r="E24" s="12"/>
      <c r="F24" s="18" t="s">
        <v>731</v>
      </c>
      <c r="G24" s="417">
        <v>-27</v>
      </c>
      <c r="H24" s="20"/>
      <c r="I24" s="21"/>
    </row>
    <row r="25" spans="2:9" ht="19" customHeight="1" outlineLevel="1">
      <c r="B25" s="742" t="s">
        <v>732</v>
      </c>
      <c r="C25" s="703"/>
      <c r="D25" s="53" t="s">
        <v>730</v>
      </c>
      <c r="E25" s="12"/>
      <c r="F25" s="32" t="s">
        <v>733</v>
      </c>
      <c r="G25" s="54" t="s">
        <v>734</v>
      </c>
      <c r="H25" s="40"/>
      <c r="I25" s="41"/>
    </row>
    <row r="26" spans="2:9" ht="19" customHeight="1" outlineLevel="1">
      <c r="B26" s="736" t="s">
        <v>735</v>
      </c>
      <c r="C26" s="703"/>
      <c r="D26" s="55" t="s">
        <v>736</v>
      </c>
      <c r="E26" s="12"/>
      <c r="F26" s="32" t="s">
        <v>737</v>
      </c>
      <c r="G26" s="54" t="s">
        <v>738</v>
      </c>
      <c r="H26" s="40"/>
      <c r="I26" s="41"/>
    </row>
    <row r="27" spans="2:9" ht="20" customHeight="1" outlineLevel="1" thickBot="1">
      <c r="B27" s="736" t="s">
        <v>739</v>
      </c>
      <c r="C27" s="703"/>
      <c r="D27" s="55" t="s">
        <v>740</v>
      </c>
      <c r="E27" s="12"/>
      <c r="F27" s="56" t="s">
        <v>741</v>
      </c>
      <c r="G27" s="468" t="s">
        <v>742</v>
      </c>
      <c r="H27" s="455" t="s">
        <v>743</v>
      </c>
      <c r="I27" s="456" t="s">
        <v>744</v>
      </c>
    </row>
    <row r="28" spans="2:9" ht="19" customHeight="1" outlineLevel="1" thickBot="1">
      <c r="B28" s="736" t="s">
        <v>745</v>
      </c>
      <c r="C28" s="703"/>
      <c r="D28" s="53" t="s">
        <v>740</v>
      </c>
      <c r="E28" s="12"/>
      <c r="F28" s="57"/>
      <c r="G28" s="12"/>
      <c r="H28" s="12"/>
      <c r="I28" s="49"/>
    </row>
    <row r="29" spans="2:9" ht="18" customHeight="1" outlineLevel="1">
      <c r="B29" s="736" t="s">
        <v>746</v>
      </c>
      <c r="C29" s="703"/>
      <c r="D29" s="53" t="s">
        <v>747</v>
      </c>
      <c r="E29" s="12"/>
      <c r="F29" s="722" t="s">
        <v>748</v>
      </c>
      <c r="G29" s="469" t="s">
        <v>749</v>
      </c>
      <c r="H29" s="58"/>
      <c r="I29" s="59"/>
    </row>
    <row r="30" spans="2:9" ht="19" customHeight="1" outlineLevel="1">
      <c r="B30" s="736" t="s">
        <v>750</v>
      </c>
      <c r="C30" s="703"/>
      <c r="D30" s="55" t="s">
        <v>751</v>
      </c>
      <c r="E30" s="12"/>
      <c r="F30" s="723"/>
      <c r="G30" s="60"/>
      <c r="H30" s="27"/>
      <c r="I30" s="28"/>
    </row>
    <row r="31" spans="2:9" ht="20" customHeight="1" outlineLevel="1" thickBot="1">
      <c r="B31" s="707" t="s">
        <v>752</v>
      </c>
      <c r="C31" s="705"/>
      <c r="D31" s="61" t="s">
        <v>753</v>
      </c>
      <c r="E31" s="62"/>
      <c r="F31" s="724"/>
      <c r="G31" s="63"/>
      <c r="H31" s="64"/>
      <c r="I31" s="65"/>
    </row>
    <row r="32" spans="2:9" ht="18" customHeight="1">
      <c r="B32" s="66"/>
      <c r="C32" s="66"/>
      <c r="D32" s="66"/>
      <c r="E32" s="67"/>
      <c r="F32" s="68"/>
      <c r="G32" s="68"/>
      <c r="H32" s="68"/>
      <c r="I32" s="68"/>
    </row>
    <row r="33" spans="2:9" ht="26" customHeight="1" thickBot="1">
      <c r="B33" s="721" t="s">
        <v>531</v>
      </c>
      <c r="C33" s="613"/>
      <c r="D33" s="613"/>
      <c r="E33" s="613"/>
      <c r="F33" s="613"/>
      <c r="G33" s="613"/>
      <c r="H33" s="613"/>
      <c r="I33" s="613"/>
    </row>
    <row r="34" spans="2:9" ht="25" customHeight="1" outlineLevel="1">
      <c r="B34" s="783" t="s">
        <v>754</v>
      </c>
      <c r="C34" s="698"/>
      <c r="D34" s="698"/>
      <c r="E34" s="698"/>
      <c r="F34" s="698"/>
      <c r="G34" s="698"/>
      <c r="H34" s="698"/>
      <c r="I34" s="699"/>
    </row>
    <row r="35" spans="2:9" ht="44.25" customHeight="1" outlineLevel="2">
      <c r="B35" s="69" t="s">
        <v>21</v>
      </c>
      <c r="C35" s="70" t="s">
        <v>755</v>
      </c>
      <c r="D35" s="70" t="s">
        <v>756</v>
      </c>
      <c r="E35" s="71" t="s">
        <v>757</v>
      </c>
      <c r="F35" s="72" t="s">
        <v>538</v>
      </c>
      <c r="G35" s="72" t="s">
        <v>758</v>
      </c>
      <c r="H35" s="72" t="s">
        <v>9</v>
      </c>
      <c r="I35" s="73" t="s">
        <v>581</v>
      </c>
    </row>
    <row r="36" spans="2:9" ht="96.75" customHeight="1" outlineLevel="2">
      <c r="B36" s="74" t="str">
        <f>IFERROR(INDEX(Хронология[Забой, м], MATCH($H36, Хронология[№ п/п], 0)), " ")</f>
        <v xml:space="preserve"> </v>
      </c>
      <c r="C36" s="447" t="str">
        <f>IFERROR(INDEX(Хронология[Время начала], MATCH($H36, Хронология[№ п/п], 0)), " ")</f>
        <v xml:space="preserve"> </v>
      </c>
      <c r="D36" s="447" t="str">
        <f>IFERROR(INDEX(Хронология[Время окончания], MATCH($H36, Хронология[№ п/п], 0)), " ")</f>
        <v xml:space="preserve"> </v>
      </c>
      <c r="E36" s="448" t="str">
        <f>IFERROR(INDEX(Хронология[Часы], MATCH($H36, Хронология[№ п/п], 0)), " ")</f>
        <v xml:space="preserve"> </v>
      </c>
      <c r="F36" s="449" t="str">
        <f>IFERROR(INDEX(Хронология[Описание работ], MATCH($H36, Хронология[№ п/п], 0)), " ")</f>
        <v xml:space="preserve"> </v>
      </c>
      <c r="G36" s="448" t="str">
        <f>IFERROR(INDEX(Хронология[Результат, вид, объект], MATCH($H36, Хронология[№ п/п], 0)), " ")</f>
        <v xml:space="preserve"> </v>
      </c>
      <c r="H36" s="75" t="str">
        <f>(F1-1)&amp;".1"</f>
        <v>1.1</v>
      </c>
      <c r="I36" s="76"/>
    </row>
    <row r="37" spans="2:9" ht="98.25" customHeight="1" outlineLevel="2">
      <c r="B37" s="74" t="str">
        <f>IFERROR(INDEX(Хронология[Забой, м], MATCH($H37, Хронология[№ п/п], 0)), " ")</f>
        <v xml:space="preserve"> </v>
      </c>
      <c r="C37" s="447" t="str">
        <f>IFERROR(INDEX(Хронология[Время начала], MATCH($H37, Хронология[№ п/п], 0)), " ")</f>
        <v xml:space="preserve"> </v>
      </c>
      <c r="D37" s="447" t="str">
        <f>IFERROR(INDEX(Хронология[Время окончания], MATCH($H37, Хронология[№ п/п], 0)), " ")</f>
        <v xml:space="preserve"> </v>
      </c>
      <c r="E37" s="448" t="str">
        <f>IFERROR(INDEX(Хронология[Часы], MATCH($H37, Хронология[№ п/п], 0)), " ")</f>
        <v xml:space="preserve"> </v>
      </c>
      <c r="F37" s="449" t="str">
        <f>IFERROR(INDEX(Хронология[Описание работ], MATCH($H37, Хронология[№ п/п], 0)), " ")</f>
        <v xml:space="preserve"> </v>
      </c>
      <c r="G37" s="448" t="str">
        <f>IFERROR(INDEX(Хронология[Результат, вид, объект], MATCH($H37, Хронология[№ п/п], 0)), " ")</f>
        <v xml:space="preserve"> </v>
      </c>
      <c r="H37" s="75" t="str">
        <f>(F1-1)&amp;".2"</f>
        <v>1.2</v>
      </c>
      <c r="I37" s="76"/>
    </row>
    <row r="38" spans="2:9" ht="101.25" customHeight="1" outlineLevel="2">
      <c r="B38" s="74" t="str">
        <f>IFERROR(INDEX(Хронология[Забой, м], MATCH($H38, Хронология[№ п/п], 0)), " ")</f>
        <v xml:space="preserve"> </v>
      </c>
      <c r="C38" s="447" t="str">
        <f>IFERROR(INDEX(Хронология[Время начала], MATCH($H38, Хронология[№ п/п], 0)), " ")</f>
        <v xml:space="preserve"> </v>
      </c>
      <c r="D38" s="447" t="str">
        <f>IFERROR(INDEX(Хронология[Время окончания], MATCH($H38, Хронология[№ п/п], 0)), " ")</f>
        <v xml:space="preserve"> </v>
      </c>
      <c r="E38" s="448" t="str">
        <f>IFERROR(INDEX(Хронология[Часы], MATCH($H38, Хронология[№ п/п], 0)), " ")</f>
        <v xml:space="preserve"> </v>
      </c>
      <c r="F38" s="449" t="str">
        <f>IFERROR(INDEX(Хронология[Описание работ], MATCH($H38, Хронология[№ п/п], 0)), " ")</f>
        <v xml:space="preserve"> </v>
      </c>
      <c r="G38" s="448" t="str">
        <f>IFERROR(INDEX(Хронология[Результат, вид, объект], MATCH($H38, Хронология[№ п/п], 0)), " ")</f>
        <v xml:space="preserve"> </v>
      </c>
      <c r="H38" s="75" t="str">
        <f>(F1-1)&amp;".3"</f>
        <v>1.3</v>
      </c>
      <c r="I38" s="76"/>
    </row>
    <row r="39" spans="2:9" ht="86.25" customHeight="1" outlineLevel="2">
      <c r="B39" s="74" t="str">
        <f>IFERROR(INDEX(Хронология[Забой, м], MATCH($H39, Хронология[№ п/п], 0)), " ")</f>
        <v xml:space="preserve"> </v>
      </c>
      <c r="C39" s="447" t="str">
        <f>IFERROR(INDEX(Хронология[Время начала], MATCH($H39, Хронология[№ п/п], 0)), " ")</f>
        <v xml:space="preserve"> </v>
      </c>
      <c r="D39" s="447" t="str">
        <f>IFERROR(INDEX(Хронология[Время окончания], MATCH($H39, Хронология[№ п/п], 0)), " ")</f>
        <v xml:space="preserve"> </v>
      </c>
      <c r="E39" s="448" t="str">
        <f>IFERROR(INDEX(Хронология[Часы], MATCH($H39, Хронология[№ п/п], 0)), " ")</f>
        <v xml:space="preserve"> </v>
      </c>
      <c r="F39" s="449" t="str">
        <f>IFERROR(INDEX(Хронология[Описание работ], MATCH($H39, Хронология[№ п/п], 0)), " ")</f>
        <v xml:space="preserve"> </v>
      </c>
      <c r="G39" s="448" t="str">
        <f>IFERROR(INDEX(Хронология[Результат, вид, объект], MATCH($H39, Хронология[№ п/п], 0)), " ")</f>
        <v xml:space="preserve"> </v>
      </c>
      <c r="H39" s="75" t="str">
        <f>(F1-1)&amp;".4"</f>
        <v>1.4</v>
      </c>
      <c r="I39" s="76"/>
    </row>
    <row r="40" spans="2:9" ht="123.75" customHeight="1" outlineLevel="2">
      <c r="B40" s="74" t="str">
        <f>IFERROR(INDEX(Хронология[Забой, м], MATCH($H40, Хронология[№ п/п], 0)), " ")</f>
        <v xml:space="preserve"> </v>
      </c>
      <c r="C40" s="447" t="str">
        <f>IFERROR(INDEX(Хронология[Время начала], MATCH($H40, Хронология[№ п/п], 0)), " ")</f>
        <v xml:space="preserve"> </v>
      </c>
      <c r="D40" s="447" t="str">
        <f>IFERROR(INDEX(Хронология[Время окончания], MATCH($H40, Хронология[№ п/п], 0)), " ")</f>
        <v xml:space="preserve"> </v>
      </c>
      <c r="E40" s="448" t="str">
        <f>IFERROR(INDEX(Хронология[Часы], MATCH($H40, Хронология[№ п/п], 0)), " ")</f>
        <v xml:space="preserve"> </v>
      </c>
      <c r="F40" s="449" t="str">
        <f>IFERROR(INDEX(Хронология[Описание работ], MATCH($H40, Хронология[№ п/п], 0)), " ")</f>
        <v xml:space="preserve"> </v>
      </c>
      <c r="G40" s="448" t="str">
        <f>IFERROR(INDEX(Хронология[Результат, вид, объект], MATCH($H40, Хронология[№ п/п], 0)), " ")</f>
        <v xml:space="preserve"> </v>
      </c>
      <c r="H40" s="75" t="str">
        <f>(F1-1)&amp;".5"</f>
        <v>1.5</v>
      </c>
      <c r="I40" s="76"/>
    </row>
    <row r="41" spans="2:9" ht="35.25" customHeight="1" outlineLevel="2">
      <c r="B41" s="74" t="str">
        <f>IFERROR(INDEX(Хронология[Забой, м], MATCH($H41, Хронология[№ п/п], 0)), " ")</f>
        <v xml:space="preserve"> </v>
      </c>
      <c r="C41" s="447" t="str">
        <f>IFERROR(INDEX(Хронология[Время начала], MATCH($H41, Хронология[№ п/п], 0)), " ")</f>
        <v xml:space="preserve"> </v>
      </c>
      <c r="D41" s="447" t="str">
        <f>IFERROR(INDEX(Хронология[Время окончания], MATCH($H41, Хронология[№ п/п], 0)), " ")</f>
        <v xml:space="preserve"> </v>
      </c>
      <c r="E41" s="448" t="str">
        <f>IFERROR(INDEX(Хронология[Часы], MATCH($H41, Хронология[№ п/п], 0)), " ")</f>
        <v xml:space="preserve"> </v>
      </c>
      <c r="F41" s="449" t="str">
        <f>IFERROR(INDEX(Хронология[Описание работ], MATCH($H41, Хронология[№ п/п], 0)), " ")</f>
        <v xml:space="preserve"> </v>
      </c>
      <c r="G41" s="448" t="str">
        <f>IFERROR(INDEX(Хронология[Результат, вид, объект], MATCH($H41, Хронология[№ п/п], 0)), " ")</f>
        <v xml:space="preserve"> </v>
      </c>
      <c r="H41" s="75" t="str">
        <f>(F1-1)&amp;".6"</f>
        <v>1.6</v>
      </c>
      <c r="I41" s="76"/>
    </row>
    <row r="42" spans="2:9" ht="128.25" customHeight="1" outlineLevel="2">
      <c r="B42" s="74" t="str">
        <f>IFERROR(INDEX(Хронология[Забой, м], MATCH($H42, Хронология[№ п/п], 0)), " ")</f>
        <v xml:space="preserve"> </v>
      </c>
      <c r="C42" s="447" t="str">
        <f>IFERROR(INDEX(Хронология[Время начала], MATCH($H42, Хронология[№ п/п], 0)), " ")</f>
        <v xml:space="preserve"> </v>
      </c>
      <c r="D42" s="447" t="str">
        <f>IFERROR(INDEX(Хронология[Время окончания], MATCH($H42, Хронология[№ п/п], 0)), " ")</f>
        <v xml:space="preserve"> </v>
      </c>
      <c r="E42" s="448" t="str">
        <f>IFERROR(INDEX(Хронология[Часы], MATCH($H42, Хронология[№ п/п], 0)), " ")</f>
        <v xml:space="preserve"> </v>
      </c>
      <c r="F42" s="449" t="str">
        <f>IFERROR(INDEX(Хронология[Описание работ], MATCH($H42, Хронология[№ п/п], 0)), " ")</f>
        <v xml:space="preserve"> </v>
      </c>
      <c r="G42" s="448" t="str">
        <f>IFERROR(INDEX(Хронология[Результат, вид, объект], MATCH($H42, Хронология[№ п/п], 0)), " ")</f>
        <v xml:space="preserve"> </v>
      </c>
      <c r="H42" s="75" t="str">
        <f>(F1-1)&amp;".7"</f>
        <v>1.7</v>
      </c>
      <c r="I42" s="76"/>
    </row>
    <row r="43" spans="2:9" ht="44.25" customHeight="1" outlineLevel="2">
      <c r="B43" s="74" t="str">
        <f>IFERROR(INDEX(Хронология[Забой, м], MATCH($H43, Хронология[№ п/п], 0)), " ")</f>
        <v xml:space="preserve"> </v>
      </c>
      <c r="C43" s="447" t="str">
        <f>IFERROR(INDEX(Хронология[Время начала], MATCH($H43, Хронология[№ п/п], 0)), " ")</f>
        <v xml:space="preserve"> </v>
      </c>
      <c r="D43" s="447" t="str">
        <f>IFERROR(INDEX(Хронология[Время окончания], MATCH($H43, Хронология[№ п/п], 0)), " ")</f>
        <v xml:space="preserve"> </v>
      </c>
      <c r="E43" s="448" t="str">
        <f>IFERROR(INDEX(Хронология[Часы], MATCH($H43, Хронология[№ п/п], 0)), " ")</f>
        <v xml:space="preserve"> </v>
      </c>
      <c r="F43" s="449" t="str">
        <f>IFERROR(INDEX(Хронология[Описание работ], MATCH($H43, Хронология[№ п/п], 0)), " ")</f>
        <v xml:space="preserve"> </v>
      </c>
      <c r="G43" s="448" t="str">
        <f>IFERROR(INDEX(Хронология[Результат, вид, объект], MATCH($H43, Хронология[№ п/п], 0)), " ")</f>
        <v xml:space="preserve"> </v>
      </c>
      <c r="H43" s="75" t="str">
        <f>(F1-1)&amp;".8"</f>
        <v>1.8</v>
      </c>
      <c r="I43" s="76"/>
    </row>
    <row r="44" spans="2:9" ht="61.5" customHeight="1" outlineLevel="2">
      <c r="B44" s="74" t="str">
        <f>IFERROR(INDEX(Хронология[Забой, м], MATCH($H44, Хронология[№ п/п], 0)), " ")</f>
        <v xml:space="preserve"> </v>
      </c>
      <c r="C44" s="447" t="str">
        <f>IFERROR(INDEX(Хронология[Время начала], MATCH($H44, Хронология[№ п/п], 0)), " ")</f>
        <v xml:space="preserve"> </v>
      </c>
      <c r="D44" s="447" t="str">
        <f>IFERROR(INDEX(Хронология[Время окончания], MATCH($H44, Хронология[№ п/п], 0)), " ")</f>
        <v xml:space="preserve"> </v>
      </c>
      <c r="E44" s="448" t="str">
        <f>IFERROR(INDEX(Хронология[Часы], MATCH($H44, Хронология[№ п/п], 0)), " ")</f>
        <v xml:space="preserve"> </v>
      </c>
      <c r="F44" s="449" t="str">
        <f>IFERROR(INDEX(Хронология[Описание работ], MATCH($H44, Хронология[№ п/п], 0)), " ")</f>
        <v xml:space="preserve"> </v>
      </c>
      <c r="G44" s="448" t="str">
        <f>IFERROR(INDEX(Хронология[Результат, вид, объект], MATCH($H44, Хронология[№ п/п], 0)), " ")</f>
        <v xml:space="preserve"> </v>
      </c>
      <c r="H44" s="75" t="str">
        <f>(F1-1)&amp;".9"</f>
        <v>1.9</v>
      </c>
      <c r="I44" s="76"/>
    </row>
    <row r="45" spans="2:9" ht="30.5" customHeight="1" outlineLevel="2">
      <c r="B45" s="74" t="str">
        <f>IFERROR(INDEX(Хронология[Забой, м], MATCH($H45, Хронология[№ п/п], 0)), " ")</f>
        <v xml:space="preserve"> </v>
      </c>
      <c r="C45" s="447" t="str">
        <f>IFERROR(INDEX(Хронология[Время начала], MATCH($H45, Хронология[№ п/п], 0)), " ")</f>
        <v xml:space="preserve"> </v>
      </c>
      <c r="D45" s="447" t="str">
        <f>IFERROR(INDEX(Хронология[Время окончания], MATCH($H45, Хронология[№ п/п], 0)), " ")</f>
        <v xml:space="preserve"> </v>
      </c>
      <c r="E45" s="448" t="str">
        <f>IFERROR(INDEX(Хронология[Часы], MATCH($H45, Хронология[№ п/п], 0)), " ")</f>
        <v xml:space="preserve"> </v>
      </c>
      <c r="F45" s="449" t="str">
        <f>IFERROR(INDEX(Хронология[Описание работ], MATCH($H45, Хронология[№ п/п], 0)), " ")</f>
        <v xml:space="preserve"> </v>
      </c>
      <c r="G45" s="448" t="str">
        <f>IFERROR(INDEX(Хронология[Результат, вид, объект], MATCH($H45, Хронология[№ п/п], 0)), " ")</f>
        <v xml:space="preserve"> </v>
      </c>
      <c r="H45" s="75" t="str">
        <f>(F1-1)&amp;".10"</f>
        <v>1.10</v>
      </c>
      <c r="I45" s="76"/>
    </row>
    <row r="46" spans="2:9" ht="30.5" customHeight="1" outlineLevel="2">
      <c r="B46" s="74" t="str">
        <f>IFERROR(INDEX(Хронология[Забой, м], MATCH($H46, Хронология[№ п/п], 0)), " ")</f>
        <v xml:space="preserve"> </v>
      </c>
      <c r="C46" s="447" t="str">
        <f>IFERROR(INDEX(Хронология[Время начала], MATCH($H46, Хронология[№ п/п], 0)), " ")</f>
        <v xml:space="preserve"> </v>
      </c>
      <c r="D46" s="447" t="str">
        <f>IFERROR(INDEX(Хронология[Время окончания], MATCH($H46, Хронология[№ п/п], 0)), " ")</f>
        <v xml:space="preserve"> </v>
      </c>
      <c r="E46" s="448" t="str">
        <f>IFERROR(INDEX(Хронология[Часы], MATCH($H46, Хронология[№ п/п], 0)), " ")</f>
        <v xml:space="preserve"> </v>
      </c>
      <c r="F46" s="449" t="str">
        <f>IFERROR(INDEX(Хронология[Описание работ], MATCH($H46, Хронология[№ п/п], 0)), " ")</f>
        <v xml:space="preserve"> </v>
      </c>
      <c r="G46" s="448" t="str">
        <f>IFERROR(INDEX(Хронология[Результат, вид, объект], MATCH($H46, Хронология[№ п/п], 0)), " ")</f>
        <v xml:space="preserve"> </v>
      </c>
      <c r="H46" s="75" t="str">
        <f>(F1-1)&amp;".11"</f>
        <v>1.11</v>
      </c>
      <c r="I46" s="77"/>
    </row>
    <row r="47" spans="2:9" ht="30.5" customHeight="1" outlineLevel="2">
      <c r="B47" s="74" t="str">
        <f>IFERROR(INDEX(Хронология[Забой, м], MATCH($H47, Хронология[№ п/п], 0)), " ")</f>
        <v xml:space="preserve"> </v>
      </c>
      <c r="C47" s="447" t="str">
        <f>IFERROR(INDEX(Хронология[Время начала], MATCH($H47, Хронология[№ п/п], 0)), " ")</f>
        <v xml:space="preserve"> </v>
      </c>
      <c r="D47" s="447" t="str">
        <f>IFERROR(INDEX(Хронология[Время окончания], MATCH($H47, Хронология[№ п/п], 0)), " ")</f>
        <v xml:space="preserve"> </v>
      </c>
      <c r="E47" s="448" t="str">
        <f>IFERROR(INDEX(Хронология[Часы], MATCH($H47, Хронология[№ п/п], 0)), " ")</f>
        <v xml:space="preserve"> </v>
      </c>
      <c r="F47" s="449" t="str">
        <f>IFERROR(INDEX(Хронология[Описание работ], MATCH($H47, Хронология[№ п/п], 0)), " ")</f>
        <v xml:space="preserve"> </v>
      </c>
      <c r="G47" s="448" t="str">
        <f>IFERROR(INDEX(Хронология[Результат, вид, объект], MATCH($H47, Хронология[№ п/п], 0)), " ")</f>
        <v xml:space="preserve"> </v>
      </c>
      <c r="H47" s="75" t="str">
        <f>(F1-1)&amp;".12"</f>
        <v>1.12</v>
      </c>
      <c r="I47" s="77"/>
    </row>
    <row r="48" spans="2:9" ht="30.5" customHeight="1" outlineLevel="2">
      <c r="B48" s="74" t="str">
        <f>IFERROR(INDEX(Хронология[Забой, м], MATCH($H48, Хронология[№ п/п], 0)), " ")</f>
        <v xml:space="preserve"> </v>
      </c>
      <c r="C48" s="447" t="str">
        <f>IFERROR(INDEX(Хронология[Время начала], MATCH($H48, Хронология[№ п/п], 0)), " ")</f>
        <v xml:space="preserve"> </v>
      </c>
      <c r="D48" s="447" t="str">
        <f>IFERROR(INDEX(Хронология[Время окончания], MATCH($H48, Хронология[№ п/п], 0)), " ")</f>
        <v xml:space="preserve"> </v>
      </c>
      <c r="E48" s="448" t="str">
        <f>IFERROR(INDEX(Хронология[Часы], MATCH($H48, Хронология[№ п/п], 0)), " ")</f>
        <v xml:space="preserve"> </v>
      </c>
      <c r="F48" s="449" t="str">
        <f>IFERROR(INDEX(Хронология[Описание работ], MATCH($H48, Хронология[№ п/п], 0)), " ")</f>
        <v xml:space="preserve"> </v>
      </c>
      <c r="G48" s="448" t="str">
        <f>IFERROR(INDEX(Хронология[Результат, вид, объект], MATCH($H48, Хронология[№ п/п], 0)), " ")</f>
        <v xml:space="preserve"> </v>
      </c>
      <c r="H48" s="75" t="str">
        <f>(F1-1)&amp;".13"</f>
        <v>1.13</v>
      </c>
      <c r="I48" s="77"/>
    </row>
    <row r="49" spans="2:9" ht="30.5" customHeight="1" outlineLevel="2">
      <c r="B49" s="74" t="str">
        <f>IFERROR(INDEX(Хронология[Забой, м], MATCH($H49, Хронология[№ п/п], 0)), " ")</f>
        <v xml:space="preserve"> </v>
      </c>
      <c r="C49" s="447" t="str">
        <f>IFERROR(INDEX(Хронология[Время начала], MATCH($H49, Хронология[№ п/п], 0)), " ")</f>
        <v xml:space="preserve"> </v>
      </c>
      <c r="D49" s="447" t="str">
        <f>IFERROR(INDEX(Хронология[Время окончания], MATCH($H49, Хронология[№ п/п], 0)), " ")</f>
        <v xml:space="preserve"> </v>
      </c>
      <c r="E49" s="448" t="str">
        <f>IFERROR(INDEX(Хронология[Часы], MATCH($H49, Хронология[№ п/п], 0)), " ")</f>
        <v xml:space="preserve"> </v>
      </c>
      <c r="F49" s="449" t="str">
        <f>IFERROR(INDEX(Хронология[Описание работ], MATCH($H49, Хронология[№ п/п], 0)), " ")</f>
        <v xml:space="preserve"> </v>
      </c>
      <c r="G49" s="448" t="str">
        <f>IFERROR(INDEX(Хронология[Результат, вид, объект], MATCH($H49, Хронология[№ п/п], 0)), " ")</f>
        <v xml:space="preserve"> </v>
      </c>
      <c r="H49" s="75" t="str">
        <f>(F1-1)&amp;".14"</f>
        <v>1.14</v>
      </c>
      <c r="I49" s="77"/>
    </row>
    <row r="50" spans="2:9" ht="30.5" customHeight="1" outlineLevel="2">
      <c r="B50" s="74" t="str">
        <f>IFERROR(INDEX(Хронология[Забой, м], MATCH($H50, Хронология[№ п/п], 0)), " ")</f>
        <v xml:space="preserve"> </v>
      </c>
      <c r="C50" s="447" t="str">
        <f>IFERROR(INDEX(Хронология[Время начала], MATCH($H50, Хронология[№ п/п], 0)), " ")</f>
        <v xml:space="preserve"> </v>
      </c>
      <c r="D50" s="447" t="str">
        <f>IFERROR(INDEX(Хронология[Время окончания], MATCH($H50, Хронология[№ п/п], 0)), " ")</f>
        <v xml:space="preserve"> </v>
      </c>
      <c r="E50" s="448" t="str">
        <f>IFERROR(INDEX(Хронология[Часы], MATCH($H50, Хронология[№ п/п], 0)), " ")</f>
        <v xml:space="preserve"> </v>
      </c>
      <c r="F50" s="449" t="str">
        <f>IFERROR(INDEX(Хронология[Описание работ], MATCH($H50, Хронология[№ п/п], 0)), " ")</f>
        <v xml:space="preserve"> </v>
      </c>
      <c r="G50" s="448" t="str">
        <f>IFERROR(INDEX(Хронология[Результат, вид, объект], MATCH($H50, Хронология[№ п/п], 0)), " ")</f>
        <v xml:space="preserve"> </v>
      </c>
      <c r="H50" s="75" t="str">
        <f>(F1-1)&amp;".15"</f>
        <v>1.15</v>
      </c>
      <c r="I50" s="77"/>
    </row>
    <row r="51" spans="2:9" ht="30.5" customHeight="1" outlineLevel="2">
      <c r="B51" s="74" t="str">
        <f>IFERROR(INDEX(Хронология[Забой, м], MATCH($H51, Хронология[№ п/п], 0)), " ")</f>
        <v xml:space="preserve"> </v>
      </c>
      <c r="C51" s="447" t="str">
        <f>IFERROR(INDEX(Хронология[Время начала], MATCH($H51, Хронология[№ п/п], 0)), " ")</f>
        <v xml:space="preserve"> </v>
      </c>
      <c r="D51" s="447" t="str">
        <f>IFERROR(INDEX(Хронология[Время окончания], MATCH($H51, Хронология[№ п/п], 0)), " ")</f>
        <v xml:space="preserve"> </v>
      </c>
      <c r="E51" s="448" t="str">
        <f>IFERROR(INDEX(Хронология[Часы], MATCH($H51, Хронология[№ п/п], 0)), " ")</f>
        <v xml:space="preserve"> </v>
      </c>
      <c r="F51" s="449" t="str">
        <f>IFERROR(INDEX(Хронология[Описание работ], MATCH($H51, Хронология[№ п/п], 0)), " ")</f>
        <v xml:space="preserve"> </v>
      </c>
      <c r="G51" s="448" t="str">
        <f>IFERROR(INDEX(Хронология[Результат, вид, объект], MATCH($H51, Хронология[№ п/п], 0)), " ")</f>
        <v xml:space="preserve"> </v>
      </c>
      <c r="H51" s="75" t="str">
        <f>(F1-1)&amp;".16"</f>
        <v>1.16</v>
      </c>
      <c r="I51" s="77"/>
    </row>
    <row r="52" spans="2:9" ht="30.5" customHeight="1" outlineLevel="2">
      <c r="B52" s="74" t="str">
        <f>IFERROR(INDEX(Хронология[Забой, м], MATCH($H52, Хронология[№ п/п], 0)), " ")</f>
        <v xml:space="preserve"> </v>
      </c>
      <c r="C52" s="447" t="str">
        <f>IFERROR(INDEX(Хронология[Время начала], MATCH($H52, Хронология[№ п/п], 0)), " ")</f>
        <v xml:space="preserve"> </v>
      </c>
      <c r="D52" s="447" t="str">
        <f>IFERROR(INDEX(Хронология[Время окончания], MATCH($H52, Хронология[№ п/п], 0)), " ")</f>
        <v xml:space="preserve"> </v>
      </c>
      <c r="E52" s="448" t="str">
        <f>IFERROR(INDEX(Хронология[Часы], MATCH($H52, Хронология[№ п/п], 0)), " ")</f>
        <v xml:space="preserve"> </v>
      </c>
      <c r="F52" s="449" t="str">
        <f>IFERROR(INDEX(Хронология[Описание работ], MATCH($H52, Хронология[№ п/п], 0)), " ")</f>
        <v xml:space="preserve"> </v>
      </c>
      <c r="G52" s="448" t="str">
        <f>IFERROR(INDEX(Хронология[Результат, вид, объект], MATCH($H52, Хронология[№ п/п], 0)), " ")</f>
        <v xml:space="preserve"> </v>
      </c>
      <c r="H52" s="75" t="str">
        <f>(F1-1)&amp;".17"</f>
        <v>1.17</v>
      </c>
      <c r="I52" s="77"/>
    </row>
    <row r="53" spans="2:9" ht="30.5" customHeight="1" outlineLevel="2">
      <c r="B53" s="74" t="str">
        <f>IFERROR(INDEX(Хронология[Забой, м], MATCH($H53, Хронология[№ п/п], 0)), " ")</f>
        <v xml:space="preserve"> </v>
      </c>
      <c r="C53" s="447" t="str">
        <f>IFERROR(INDEX(Хронология[Время начала], MATCH($H53, Хронология[№ п/п], 0)), " ")</f>
        <v xml:space="preserve"> </v>
      </c>
      <c r="D53" s="447" t="str">
        <f>IFERROR(INDEX(Хронология[Время окончания], MATCH($H53, Хронология[№ п/п], 0)), " ")</f>
        <v xml:space="preserve"> </v>
      </c>
      <c r="E53" s="448" t="str">
        <f>IFERROR(INDEX(Хронология[Часы], MATCH($H53, Хронология[№ п/п], 0)), " ")</f>
        <v xml:space="preserve"> </v>
      </c>
      <c r="F53" s="449" t="str">
        <f>IFERROR(INDEX(Хронология[Описание работ], MATCH($H53, Хронология[№ п/п], 0)), " ")</f>
        <v xml:space="preserve"> </v>
      </c>
      <c r="G53" s="448" t="str">
        <f>IFERROR(INDEX(Хронология[Результат, вид, объект], MATCH($H53, Хронология[№ п/п], 0)), " ")</f>
        <v xml:space="preserve"> </v>
      </c>
      <c r="H53" s="75" t="str">
        <f>(F1-1)&amp;".18"</f>
        <v>1.18</v>
      </c>
      <c r="I53" s="77"/>
    </row>
    <row r="54" spans="2:9" ht="30.5" customHeight="1" outlineLevel="2">
      <c r="B54" s="74" t="str">
        <f>IFERROR(INDEX(Хронология[Забой, м], MATCH($H54, Хронология[№ п/п], 0)), " ")</f>
        <v xml:space="preserve"> </v>
      </c>
      <c r="C54" s="447" t="str">
        <f>IFERROR(INDEX(Хронология[Время начала], MATCH($H54, Хронология[№ п/п], 0)), " ")</f>
        <v xml:space="preserve"> </v>
      </c>
      <c r="D54" s="447" t="str">
        <f>IFERROR(INDEX(Хронология[Время окончания], MATCH($H54, Хронология[№ п/п], 0)), " ")</f>
        <v xml:space="preserve"> </v>
      </c>
      <c r="E54" s="448" t="str">
        <f>IFERROR(INDEX(Хронология[Часы], MATCH($H54, Хронология[№ п/п], 0)), " ")</f>
        <v xml:space="preserve"> </v>
      </c>
      <c r="F54" s="449" t="str">
        <f>IFERROR(INDEX(Хронология[Описание работ], MATCH($H54, Хронология[№ п/п], 0)), " ")</f>
        <v xml:space="preserve"> </v>
      </c>
      <c r="G54" s="448" t="str">
        <f>IFERROR(INDEX(Хронология[Результат, вид, объект], MATCH($H54, Хронология[№ п/п], 0)), " ")</f>
        <v xml:space="preserve"> </v>
      </c>
      <c r="H54" s="75" t="str">
        <f>(F1-1)&amp;".19"</f>
        <v>1.19</v>
      </c>
      <c r="I54" s="77"/>
    </row>
    <row r="55" spans="2:9" ht="30.5" customHeight="1" outlineLevel="2" thickBot="1">
      <c r="B55" s="74" t="str">
        <f>IFERROR(INDEX(Хронология[Забой, м], MATCH($H55, Хронология[№ п/п], 0)), " ")</f>
        <v xml:space="preserve"> </v>
      </c>
      <c r="C55" s="447" t="str">
        <f>IFERROR(INDEX(Хронология[Время начала], MATCH($H55, Хронология[№ п/п], 0)), " ")</f>
        <v xml:space="preserve"> </v>
      </c>
      <c r="D55" s="447" t="str">
        <f>IFERROR(INDEX(Хронология[Время окончания], MATCH($H55, Хронология[№ п/п], 0)), " ")</f>
        <v xml:space="preserve"> </v>
      </c>
      <c r="E55" s="448" t="str">
        <f>IFERROR(INDEX(Хронология[Часы], MATCH($H55, Хронология[№ п/п], 0)), " ")</f>
        <v xml:space="preserve"> </v>
      </c>
      <c r="F55" s="449" t="str">
        <f>IFERROR(INDEX(Хронология[Описание работ], MATCH($H55, Хронология[№ п/п], 0)), " ")</f>
        <v xml:space="preserve"> </v>
      </c>
      <c r="G55" s="448" t="str">
        <f>IFERROR(INDEX(Хронология[Результат, вид, объект], MATCH($H55, Хронология[№ п/п], 0)), " ")</f>
        <v xml:space="preserve"> </v>
      </c>
      <c r="H55" s="346" t="str">
        <f>(F1-1)&amp;".20"</f>
        <v>1.20</v>
      </c>
      <c r="I55" s="78"/>
    </row>
    <row r="56" spans="2:9" ht="31" customHeight="1" outlineLevel="1" thickBot="1">
      <c r="B56" s="709" t="s">
        <v>759</v>
      </c>
      <c r="C56" s="710"/>
      <c r="D56" s="710"/>
      <c r="E56" s="710"/>
      <c r="F56" s="710"/>
      <c r="G56" s="710"/>
      <c r="H56" s="710"/>
      <c r="I56" s="711"/>
    </row>
    <row r="57" spans="2:9" ht="31" customHeight="1" outlineLevel="3">
      <c r="B57" s="347" t="s">
        <v>21</v>
      </c>
      <c r="C57" s="348" t="s">
        <v>755</v>
      </c>
      <c r="D57" s="348" t="s">
        <v>756</v>
      </c>
      <c r="E57" s="349" t="s">
        <v>757</v>
      </c>
      <c r="F57" s="350" t="s">
        <v>538</v>
      </c>
      <c r="G57" s="350" t="s">
        <v>760</v>
      </c>
      <c r="H57" s="350" t="s">
        <v>9</v>
      </c>
      <c r="I57" s="351" t="s">
        <v>581</v>
      </c>
    </row>
    <row r="58" spans="2:9" ht="109.5" customHeight="1" outlineLevel="3">
      <c r="B58" s="450" t="str">
        <f>IFERROR(VLOOKUP($H58,#REF!, 5,FALSE), " ")</f>
        <v xml:space="preserve"> </v>
      </c>
      <c r="C58" s="419" t="str">
        <f>IFERROR(VLOOKUP($H58,#REF!, 7,FALSE), " ")</f>
        <v xml:space="preserve"> </v>
      </c>
      <c r="D58" s="419" t="str">
        <f>IFERROR(VLOOKUP($H58,#REF!, 8,FALSE), " ")</f>
        <v xml:space="preserve"> </v>
      </c>
      <c r="E58" s="419" t="str">
        <f>IFERROR(VLOOKUP($H58,#REF!, 12,FALSE), " ")</f>
        <v xml:space="preserve"> </v>
      </c>
      <c r="F58" s="420" t="str">
        <f>IFERROR(VLOOKUP($H58,#REF!, 11,FALSE), " ")</f>
        <v xml:space="preserve"> </v>
      </c>
      <c r="G58" s="418" t="str">
        <f>IFERROR(VLOOKUP($H58,#REF!, 13,FALSE), " ")</f>
        <v xml:space="preserve"> </v>
      </c>
      <c r="H58" s="421" t="str">
        <f>$F$1&amp;".1"</f>
        <v>2.1</v>
      </c>
      <c r="I58" s="451"/>
    </row>
    <row r="59" spans="2:9" ht="88.5" hidden="1" customHeight="1" outlineLevel="3">
      <c r="B59" s="418" t="str">
        <f>IFERROR(VLOOKUP($H59,#REF!, 5,FALSE), " ")</f>
        <v xml:space="preserve"> </v>
      </c>
      <c r="C59" s="419" t="str">
        <f>IFERROR(VLOOKUP($H59,#REF!, 7,FALSE), " ")</f>
        <v xml:space="preserve"> </v>
      </c>
      <c r="D59" s="419" t="str">
        <f>IFERROR(VLOOKUP($H59,#REF!, 8,FALSE), " ")</f>
        <v xml:space="preserve"> </v>
      </c>
      <c r="E59" s="419" t="str">
        <f>IFERROR(VLOOKUP($H59,#REF!, 12,FALSE), " ")</f>
        <v xml:space="preserve"> </v>
      </c>
      <c r="F59" s="420" t="str">
        <f>IFERROR(VLOOKUP($H59,#REF!, 11,FALSE), " ")</f>
        <v xml:space="preserve"> </v>
      </c>
      <c r="G59" s="418" t="str">
        <f>IFERROR(VLOOKUP($H59,#REF!, 13,FALSE), " ")</f>
        <v xml:space="preserve"> </v>
      </c>
      <c r="H59" s="421" t="str">
        <f>$F$1&amp;".2"</f>
        <v>2.2</v>
      </c>
      <c r="I59" s="422"/>
    </row>
    <row r="60" spans="2:9" ht="27" hidden="1" customHeight="1" outlineLevel="3">
      <c r="B60" s="418" t="str">
        <f>IFERROR(VLOOKUP($H60,#REF!, 5,FALSE), " ")</f>
        <v xml:space="preserve"> </v>
      </c>
      <c r="C60" s="419" t="str">
        <f>IFERROR(VLOOKUP($H60,#REF!, 7,FALSE), " ")</f>
        <v xml:space="preserve"> </v>
      </c>
      <c r="D60" s="419" t="str">
        <f>IFERROR(VLOOKUP($H60,#REF!, 8,FALSE), " ")</f>
        <v xml:space="preserve"> </v>
      </c>
      <c r="E60" s="419" t="str">
        <f>IFERROR(VLOOKUP($H60,#REF!, 12,FALSE), " ")</f>
        <v xml:space="preserve"> </v>
      </c>
      <c r="F60" s="420" t="str">
        <f>IFERROR(VLOOKUP($H60,#REF!, 11,FALSE), " ")</f>
        <v xml:space="preserve"> </v>
      </c>
      <c r="G60" s="418" t="str">
        <f>IFERROR(VLOOKUP($H60,#REF!, 13,FALSE), " ")</f>
        <v xml:space="preserve"> </v>
      </c>
      <c r="H60" s="421" t="str">
        <f>$F$1&amp;".3"</f>
        <v>2.3</v>
      </c>
      <c r="I60" s="422"/>
    </row>
    <row r="61" spans="2:9" ht="66" hidden="1" customHeight="1" outlineLevel="3">
      <c r="B61" s="418" t="str">
        <f>IFERROR(VLOOKUP($H61,#REF!, 5,FALSE), " ")</f>
        <v xml:space="preserve"> </v>
      </c>
      <c r="C61" s="419" t="str">
        <f>IFERROR(VLOOKUP($H61,#REF!, 7,FALSE), " ")</f>
        <v xml:space="preserve"> </v>
      </c>
      <c r="D61" s="419" t="str">
        <f>IFERROR(VLOOKUP($H61,#REF!, 8,FALSE), " ")</f>
        <v xml:space="preserve"> </v>
      </c>
      <c r="E61" s="419" t="str">
        <f>IFERROR(VLOOKUP($H61,#REF!, 12,FALSE), " ")</f>
        <v xml:space="preserve"> </v>
      </c>
      <c r="F61" s="420" t="str">
        <f>IFERROR(VLOOKUP($H61,#REF!, 11,FALSE), " ")</f>
        <v xml:space="preserve"> </v>
      </c>
      <c r="G61" s="418" t="str">
        <f>IFERROR(VLOOKUP($H61,#REF!, 13,FALSE), " ")</f>
        <v xml:space="preserve"> </v>
      </c>
      <c r="H61" s="421" t="str">
        <f>$F$1&amp;".4"</f>
        <v>2.4</v>
      </c>
      <c r="I61" s="422"/>
    </row>
    <row r="62" spans="2:9" ht="39" hidden="1" customHeight="1" outlineLevel="3">
      <c r="B62" s="418" t="str">
        <f>IFERROR(VLOOKUP($H62,#REF!, 5,FALSE), " ")</f>
        <v xml:space="preserve"> </v>
      </c>
      <c r="C62" s="419" t="str">
        <f>IFERROR(VLOOKUP($H62,#REF!, 7,FALSE), " ")</f>
        <v xml:space="preserve"> </v>
      </c>
      <c r="D62" s="419" t="str">
        <f>IFERROR(VLOOKUP($H62,#REF!, 8,FALSE), " ")</f>
        <v xml:space="preserve"> </v>
      </c>
      <c r="E62" s="419" t="str">
        <f>IFERROR(VLOOKUP($H62,#REF!, 12,FALSE), " ")</f>
        <v xml:space="preserve"> </v>
      </c>
      <c r="F62" s="420" t="str">
        <f>IFERROR(VLOOKUP($H62,#REF!, 11,FALSE), " ")</f>
        <v xml:space="preserve"> </v>
      </c>
      <c r="G62" s="418" t="str">
        <f>IFERROR(VLOOKUP($H62,#REF!, 13,FALSE), " ")</f>
        <v xml:space="preserve"> </v>
      </c>
      <c r="H62" s="421" t="str">
        <f>$F$1&amp;".5"</f>
        <v>2.5</v>
      </c>
      <c r="I62" s="422"/>
    </row>
    <row r="63" spans="2:9" ht="39" hidden="1" customHeight="1" outlineLevel="3">
      <c r="B63" s="418" t="str">
        <f>IFERROR(VLOOKUP($H63,#REF!, 5,FALSE), " ")</f>
        <v xml:space="preserve"> </v>
      </c>
      <c r="C63" s="419" t="str">
        <f>IFERROR(VLOOKUP($H63,#REF!, 7,FALSE), " ")</f>
        <v xml:space="preserve"> </v>
      </c>
      <c r="D63" s="419" t="str">
        <f>IFERROR(VLOOKUP($H63,#REF!, 8,FALSE), " ")</f>
        <v xml:space="preserve"> </v>
      </c>
      <c r="E63" s="419" t="str">
        <f>IFERROR(VLOOKUP($H63,#REF!, 12,FALSE), " ")</f>
        <v xml:space="preserve"> </v>
      </c>
      <c r="F63" s="420" t="str">
        <f>IFERROR(VLOOKUP($H63,#REF!, 11,FALSE), " ")</f>
        <v xml:space="preserve"> </v>
      </c>
      <c r="G63" s="418" t="str">
        <f>IFERROR(VLOOKUP($H63,#REF!, 13,FALSE), " ")</f>
        <v xml:space="preserve"> </v>
      </c>
      <c r="H63" s="421" t="str">
        <f>$F$1&amp;".6"</f>
        <v>2.6</v>
      </c>
      <c r="I63" s="422"/>
    </row>
    <row r="64" spans="2:9" ht="39" hidden="1" customHeight="1" outlineLevel="3">
      <c r="B64" s="418" t="str">
        <f>IFERROR(VLOOKUP($H64,#REF!, 5,FALSE), " ")</f>
        <v xml:space="preserve"> </v>
      </c>
      <c r="C64" s="419" t="str">
        <f>IFERROR(VLOOKUP($H64,#REF!, 7,FALSE), " ")</f>
        <v xml:space="preserve"> </v>
      </c>
      <c r="D64" s="419" t="str">
        <f>IFERROR(VLOOKUP($H64,#REF!, 8,FALSE), " ")</f>
        <v xml:space="preserve"> </v>
      </c>
      <c r="E64" s="419" t="str">
        <f>IFERROR(VLOOKUP($H64,#REF!, 12,FALSE), " ")</f>
        <v xml:space="preserve"> </v>
      </c>
      <c r="F64" s="420" t="str">
        <f>IFERROR(VLOOKUP($H64,#REF!, 11,FALSE), " ")</f>
        <v xml:space="preserve"> </v>
      </c>
      <c r="G64" s="418" t="str">
        <f>IFERROR(VLOOKUP($H64,#REF!, 13,FALSE), " ")</f>
        <v xml:space="preserve"> </v>
      </c>
      <c r="H64" s="421" t="str">
        <f>$F$1&amp;".7"</f>
        <v>2.7</v>
      </c>
      <c r="I64" s="422"/>
    </row>
    <row r="65" spans="2:9" ht="39" hidden="1" customHeight="1" outlineLevel="3">
      <c r="B65" s="418" t="str">
        <f>IFERROR(VLOOKUP($H65,#REF!, 5,FALSE), " ")</f>
        <v xml:space="preserve"> </v>
      </c>
      <c r="C65" s="419" t="str">
        <f>IFERROR(VLOOKUP($H65,#REF!, 7,FALSE), " ")</f>
        <v xml:space="preserve"> </v>
      </c>
      <c r="D65" s="419" t="str">
        <f>IFERROR(VLOOKUP($H65,#REF!, 8,FALSE), " ")</f>
        <v xml:space="preserve"> </v>
      </c>
      <c r="E65" s="419" t="str">
        <f>IFERROR(VLOOKUP($H65,#REF!, 12,FALSE), " ")</f>
        <v xml:space="preserve"> </v>
      </c>
      <c r="F65" s="420" t="str">
        <f>IFERROR(VLOOKUP($H65,#REF!, 11,FALSE), " ")</f>
        <v xml:space="preserve"> </v>
      </c>
      <c r="G65" s="418" t="str">
        <f>IFERROR(VLOOKUP($H65,#REF!, 13,FALSE), " ")</f>
        <v xml:space="preserve"> </v>
      </c>
      <c r="H65" s="421" t="str">
        <f>$F$1&amp;".8"</f>
        <v>2.8</v>
      </c>
      <c r="I65" s="422"/>
    </row>
    <row r="66" spans="2:9" ht="39" hidden="1" customHeight="1" outlineLevel="3">
      <c r="B66" s="418" t="str">
        <f>IFERROR(VLOOKUP($H66,#REF!, 5,FALSE), " ")</f>
        <v xml:space="preserve"> </v>
      </c>
      <c r="C66" s="419" t="str">
        <f>IFERROR(VLOOKUP($H66,#REF!, 7,FALSE), " ")</f>
        <v xml:space="preserve"> </v>
      </c>
      <c r="D66" s="419" t="str">
        <f>IFERROR(VLOOKUP($H66,#REF!, 8,FALSE), " ")</f>
        <v xml:space="preserve"> </v>
      </c>
      <c r="E66" s="419" t="str">
        <f>IFERROR(VLOOKUP($H66,#REF!, 12,FALSE), " ")</f>
        <v xml:space="preserve"> </v>
      </c>
      <c r="F66" s="420" t="str">
        <f>IFERROR(VLOOKUP($H66,#REF!, 11,FALSE), " ")</f>
        <v xml:space="preserve"> </v>
      </c>
      <c r="G66" s="418" t="str">
        <f>IFERROR(VLOOKUP($H66,#REF!, 13,FALSE), " ")</f>
        <v xml:space="preserve"> </v>
      </c>
      <c r="H66" s="421" t="str">
        <f>$F$1&amp;".9"</f>
        <v>2.9</v>
      </c>
      <c r="I66" s="422"/>
    </row>
    <row r="67" spans="2:9" ht="39" hidden="1" customHeight="1" outlineLevel="3">
      <c r="B67" s="418" t="str">
        <f>IFERROR(VLOOKUP($H67,#REF!, 5,FALSE), " ")</f>
        <v xml:space="preserve"> </v>
      </c>
      <c r="C67" s="419" t="str">
        <f>IFERROR(VLOOKUP($H67,#REF!, 7,FALSE), " ")</f>
        <v xml:space="preserve"> </v>
      </c>
      <c r="D67" s="419" t="str">
        <f>IFERROR(VLOOKUP($H67,#REF!, 8,FALSE), " ")</f>
        <v xml:space="preserve"> </v>
      </c>
      <c r="E67" s="419" t="str">
        <f>IFERROR(VLOOKUP($H67,#REF!, 12,FALSE), " ")</f>
        <v xml:space="preserve"> </v>
      </c>
      <c r="F67" s="420" t="str">
        <f>IFERROR(VLOOKUP($H67,#REF!, 11,FALSE), " ")</f>
        <v xml:space="preserve"> </v>
      </c>
      <c r="G67" s="418" t="str">
        <f>IFERROR(VLOOKUP($H67,#REF!, 13,FALSE), " ")</f>
        <v xml:space="preserve"> </v>
      </c>
      <c r="H67" s="421" t="str">
        <f>$F$1&amp;".10"</f>
        <v>2.10</v>
      </c>
      <c r="I67" s="422"/>
    </row>
    <row r="68" spans="2:9" ht="31" hidden="1" customHeight="1">
      <c r="B68" s="12"/>
      <c r="C68" s="12"/>
      <c r="D68" s="12"/>
      <c r="E68" s="12"/>
      <c r="F68" s="12"/>
      <c r="G68" s="12"/>
      <c r="H68" s="12"/>
      <c r="I68" s="12"/>
    </row>
    <row r="69" spans="2:9" ht="31" customHeight="1" thickBot="1">
      <c r="B69" s="721" t="s">
        <v>574</v>
      </c>
      <c r="C69" s="613"/>
      <c r="D69" s="613"/>
      <c r="E69" s="613"/>
      <c r="F69" s="613"/>
      <c r="G69" s="613"/>
      <c r="H69" s="613"/>
      <c r="I69" s="613"/>
    </row>
    <row r="70" spans="2:9" ht="31" customHeight="1" outlineLevel="1" thickTop="1" thickBot="1">
      <c r="B70" s="773" t="s">
        <v>61</v>
      </c>
      <c r="C70" s="774"/>
      <c r="D70" s="409" t="s">
        <v>575</v>
      </c>
      <c r="E70" s="409" t="s">
        <v>576</v>
      </c>
      <c r="F70" s="409" t="s">
        <v>577</v>
      </c>
      <c r="G70" s="409" t="s">
        <v>578</v>
      </c>
      <c r="H70" s="409" t="s">
        <v>579</v>
      </c>
      <c r="I70" s="410" t="s">
        <v>580</v>
      </c>
    </row>
    <row r="71" spans="2:9" ht="27.75" customHeight="1" outlineLevel="1" thickTop="1">
      <c r="B71" s="755" t="s">
        <v>761</v>
      </c>
      <c r="C71" s="756"/>
      <c r="D71" s="435">
        <v>126</v>
      </c>
      <c r="E71" s="436" t="s">
        <v>762</v>
      </c>
      <c r="F71" s="437">
        <v>0.18</v>
      </c>
      <c r="G71" s="438">
        <f>F71</f>
        <v>0.18</v>
      </c>
      <c r="H71" s="439" t="s">
        <v>763</v>
      </c>
      <c r="I71" s="440" t="s">
        <v>764</v>
      </c>
    </row>
    <row r="72" spans="2:9" ht="27.75" customHeight="1" outlineLevel="1">
      <c r="B72" s="712" t="s">
        <v>765</v>
      </c>
      <c r="C72" s="713"/>
      <c r="D72" s="336">
        <v>108</v>
      </c>
      <c r="E72" s="320" t="s">
        <v>766</v>
      </c>
      <c r="F72" s="310">
        <v>7.61</v>
      </c>
      <c r="G72" s="311">
        <f t="shared" ref="G72:G82" si="0">G71+F72</f>
        <v>7.79</v>
      </c>
      <c r="H72" s="441" t="s">
        <v>767</v>
      </c>
      <c r="I72" s="442" t="s">
        <v>768</v>
      </c>
    </row>
    <row r="73" spans="2:9" ht="27.75" customHeight="1" outlineLevel="1">
      <c r="B73" s="411" t="s">
        <v>769</v>
      </c>
      <c r="C73" s="412"/>
      <c r="D73" s="336">
        <v>108</v>
      </c>
      <c r="E73" s="312">
        <v>45</v>
      </c>
      <c r="F73" s="310">
        <v>0.18</v>
      </c>
      <c r="G73" s="311">
        <f t="shared" si="0"/>
        <v>7.97</v>
      </c>
      <c r="H73" s="441" t="s">
        <v>770</v>
      </c>
      <c r="I73" s="442" t="s">
        <v>771</v>
      </c>
    </row>
    <row r="74" spans="2:9" ht="57.75" customHeight="1" outlineLevel="1">
      <c r="B74" s="712" t="s">
        <v>772</v>
      </c>
      <c r="C74" s="713"/>
      <c r="D74" s="336">
        <v>95.2</v>
      </c>
      <c r="E74" s="312">
        <v>31</v>
      </c>
      <c r="F74" s="310">
        <v>9.4499999999999993</v>
      </c>
      <c r="G74" s="311">
        <f t="shared" si="0"/>
        <v>17.419999999999998</v>
      </c>
      <c r="H74" s="441" t="s">
        <v>773</v>
      </c>
      <c r="I74" s="442" t="s">
        <v>774</v>
      </c>
    </row>
    <row r="75" spans="2:9" ht="27.75" customHeight="1" outlineLevel="1">
      <c r="B75" s="712" t="s">
        <v>775</v>
      </c>
      <c r="C75" s="713"/>
      <c r="D75" s="336">
        <v>95</v>
      </c>
      <c r="E75" s="312">
        <v>55.8</v>
      </c>
      <c r="F75" s="310">
        <v>9.25</v>
      </c>
      <c r="G75" s="311">
        <f t="shared" si="0"/>
        <v>26.669999999999998</v>
      </c>
      <c r="H75" s="441" t="s">
        <v>776</v>
      </c>
      <c r="I75" s="442" t="s">
        <v>777</v>
      </c>
    </row>
    <row r="76" spans="2:9" ht="27.75" customHeight="1" outlineLevel="1">
      <c r="B76" s="712" t="s">
        <v>778</v>
      </c>
      <c r="C76" s="713"/>
      <c r="D76" s="337">
        <v>106</v>
      </c>
      <c r="E76" s="336">
        <v>57.6</v>
      </c>
      <c r="F76" s="310">
        <v>0.46</v>
      </c>
      <c r="G76" s="311">
        <f t="shared" si="0"/>
        <v>27.13</v>
      </c>
      <c r="H76" s="312" t="s">
        <v>779</v>
      </c>
      <c r="I76" s="442" t="s">
        <v>780</v>
      </c>
    </row>
    <row r="77" spans="2:9" ht="27.75" customHeight="1" outlineLevel="1">
      <c r="B77" s="712" t="s">
        <v>781</v>
      </c>
      <c r="C77" s="713"/>
      <c r="D77" s="337">
        <v>106</v>
      </c>
      <c r="E77" s="336" t="s">
        <v>766</v>
      </c>
      <c r="F77" s="310">
        <v>0.51</v>
      </c>
      <c r="G77" s="311">
        <f t="shared" si="0"/>
        <v>27.64</v>
      </c>
      <c r="H77" s="312">
        <v>277</v>
      </c>
      <c r="I77" s="442" t="s">
        <v>782</v>
      </c>
    </row>
    <row r="78" spans="2:9" ht="27.75" customHeight="1" outlineLevel="1">
      <c r="B78" s="411" t="s">
        <v>783</v>
      </c>
      <c r="C78" s="412"/>
      <c r="D78" s="336">
        <v>88.9</v>
      </c>
      <c r="E78" s="320">
        <v>50.8</v>
      </c>
      <c r="F78" s="310">
        <v>788.46</v>
      </c>
      <c r="G78" s="311">
        <f t="shared" si="0"/>
        <v>816.1</v>
      </c>
      <c r="H78" s="441">
        <v>4</v>
      </c>
      <c r="I78" s="442" t="s">
        <v>782</v>
      </c>
    </row>
    <row r="79" spans="2:9" ht="27.75" customHeight="1" outlineLevel="1">
      <c r="B79" s="411" t="s">
        <v>784</v>
      </c>
      <c r="C79" s="412"/>
      <c r="D79" s="336">
        <v>88.9</v>
      </c>
      <c r="E79" s="312">
        <v>53</v>
      </c>
      <c r="F79" s="310">
        <v>55.18</v>
      </c>
      <c r="G79" s="311">
        <f t="shared" si="0"/>
        <v>871.28</v>
      </c>
      <c r="H79" s="312">
        <v>19</v>
      </c>
      <c r="I79" s="442" t="s">
        <v>782</v>
      </c>
    </row>
    <row r="80" spans="2:9" ht="27.75" customHeight="1" outlineLevel="1">
      <c r="B80" s="470" t="s">
        <v>785</v>
      </c>
      <c r="C80" s="471"/>
      <c r="D80" s="312">
        <v>108</v>
      </c>
      <c r="E80" s="312">
        <v>50.8</v>
      </c>
      <c r="F80" s="310">
        <v>5.74</v>
      </c>
      <c r="G80" s="311">
        <f t="shared" si="0"/>
        <v>877.02</v>
      </c>
      <c r="H80" s="441">
        <v>146</v>
      </c>
      <c r="I80" s="442" t="s">
        <v>782</v>
      </c>
    </row>
    <row r="81" spans="2:9" ht="27.75" customHeight="1" outlineLevel="1">
      <c r="B81" s="712" t="s">
        <v>784</v>
      </c>
      <c r="C81" s="713"/>
      <c r="D81" s="312">
        <v>88.9</v>
      </c>
      <c r="E81" s="312">
        <v>53</v>
      </c>
      <c r="F81" s="310">
        <v>55.28</v>
      </c>
      <c r="G81" s="311">
        <f t="shared" si="0"/>
        <v>932.3</v>
      </c>
      <c r="H81" s="443">
        <v>19</v>
      </c>
      <c r="I81" s="442" t="s">
        <v>782</v>
      </c>
    </row>
    <row r="82" spans="2:9" ht="30.5" customHeight="1" outlineLevel="1" thickBot="1">
      <c r="B82" s="760" t="s">
        <v>786</v>
      </c>
      <c r="C82" s="761"/>
      <c r="D82" s="476">
        <v>88.9</v>
      </c>
      <c r="E82" s="476">
        <v>50.8</v>
      </c>
      <c r="F82" s="476">
        <v>2658.7</v>
      </c>
      <c r="G82" s="477">
        <f t="shared" si="0"/>
        <v>3591</v>
      </c>
      <c r="H82" s="476">
        <v>4</v>
      </c>
      <c r="I82" s="478" t="s">
        <v>782</v>
      </c>
    </row>
    <row r="83" spans="2:9" ht="30.5" hidden="1" customHeight="1" outlineLevel="1">
      <c r="B83" s="762"/>
      <c r="C83" s="763"/>
      <c r="D83" s="320"/>
      <c r="E83" s="320"/>
      <c r="F83" s="472"/>
      <c r="G83" s="473"/>
      <c r="H83" s="474"/>
      <c r="I83" s="475"/>
    </row>
    <row r="84" spans="2:9" ht="30.5" hidden="1" customHeight="1" outlineLevel="1">
      <c r="B84" s="714"/>
      <c r="C84" s="696"/>
      <c r="D84" s="312"/>
      <c r="E84" s="312"/>
      <c r="F84" s="310"/>
      <c r="G84" s="311"/>
      <c r="H84" s="312"/>
      <c r="I84" s="335"/>
    </row>
    <row r="85" spans="2:9" ht="30.5" hidden="1" customHeight="1" outlineLevel="1">
      <c r="B85" s="714"/>
      <c r="C85" s="696"/>
      <c r="D85" s="312"/>
      <c r="E85" s="312"/>
      <c r="F85" s="310"/>
      <c r="G85" s="311"/>
      <c r="H85" s="312"/>
      <c r="I85" s="335"/>
    </row>
    <row r="86" spans="2:9" ht="30.5" hidden="1" customHeight="1" outlineLevel="1">
      <c r="B86" s="714"/>
      <c r="C86" s="696"/>
      <c r="D86" s="312"/>
      <c r="E86" s="312"/>
      <c r="F86" s="310"/>
      <c r="G86" s="311"/>
      <c r="H86" s="312"/>
      <c r="I86" s="335"/>
    </row>
    <row r="87" spans="2:9" ht="30.5" hidden="1" customHeight="1" outlineLevel="1">
      <c r="B87" s="714"/>
      <c r="C87" s="696"/>
      <c r="D87" s="312"/>
      <c r="E87" s="312"/>
      <c r="F87" s="310"/>
      <c r="G87" s="311"/>
      <c r="H87" s="312"/>
      <c r="I87" s="335"/>
    </row>
    <row r="88" spans="2:9" ht="30.5" hidden="1" customHeight="1" outlineLevel="1">
      <c r="B88" s="714"/>
      <c r="C88" s="696"/>
      <c r="D88" s="312"/>
      <c r="E88" s="312"/>
      <c r="F88" s="310"/>
      <c r="G88" s="311"/>
      <c r="H88" s="312"/>
      <c r="I88" s="335"/>
    </row>
    <row r="89" spans="2:9" ht="30.5" hidden="1" customHeight="1" outlineLevel="1">
      <c r="B89" s="714"/>
      <c r="C89" s="696"/>
      <c r="D89" s="312"/>
      <c r="E89" s="312"/>
      <c r="F89" s="312"/>
      <c r="G89" s="311"/>
      <c r="H89" s="312"/>
      <c r="I89" s="335"/>
    </row>
    <row r="90" spans="2:9" ht="30.5" hidden="1" customHeight="1" outlineLevel="1">
      <c r="B90" s="714"/>
      <c r="C90" s="696"/>
      <c r="D90" s="312"/>
      <c r="E90" s="312"/>
      <c r="F90" s="312"/>
      <c r="G90" s="311"/>
      <c r="H90" s="312"/>
      <c r="I90" s="335"/>
    </row>
    <row r="91" spans="2:9" ht="30.5" hidden="1" customHeight="1" outlineLevel="1">
      <c r="B91" s="695"/>
      <c r="C91" s="696"/>
      <c r="D91" s="312"/>
      <c r="E91" s="312"/>
      <c r="F91" s="312"/>
      <c r="G91" s="311"/>
      <c r="H91" s="312"/>
      <c r="I91" s="335"/>
    </row>
    <row r="92" spans="2:9" ht="30.5" hidden="1" customHeight="1" outlineLevel="1">
      <c r="B92" s="706"/>
      <c r="C92" s="696"/>
      <c r="D92" s="312"/>
      <c r="E92" s="312"/>
      <c r="F92" s="312"/>
      <c r="G92" s="311"/>
      <c r="H92" s="312"/>
      <c r="I92" s="335"/>
    </row>
    <row r="93" spans="2:9" ht="30.5" hidden="1" customHeight="1" outlineLevel="1">
      <c r="B93" s="706"/>
      <c r="C93" s="696"/>
      <c r="D93" s="108"/>
      <c r="E93" s="108"/>
      <c r="F93" s="310"/>
      <c r="G93" s="311"/>
      <c r="H93" s="81"/>
      <c r="I93" s="335"/>
    </row>
    <row r="94" spans="2:9" ht="30.5" hidden="1" customHeight="1" outlineLevel="1">
      <c r="B94" s="706"/>
      <c r="C94" s="696"/>
      <c r="D94" s="263"/>
      <c r="E94" s="263"/>
      <c r="F94" s="263"/>
      <c r="G94" s="262"/>
      <c r="H94" s="314"/>
      <c r="I94" s="264"/>
    </row>
    <row r="95" spans="2:9" ht="30.5" hidden="1" customHeight="1" outlineLevel="1">
      <c r="B95" s="706"/>
      <c r="C95" s="696"/>
      <c r="D95" s="263"/>
      <c r="E95" s="263"/>
      <c r="F95" s="263"/>
      <c r="G95" s="262"/>
      <c r="H95" s="314"/>
      <c r="I95" s="264"/>
    </row>
    <row r="96" spans="2:9" ht="30.5" hidden="1" customHeight="1" outlineLevel="1" thickBot="1">
      <c r="B96" s="706"/>
      <c r="C96" s="696"/>
      <c r="D96" s="265"/>
      <c r="E96" s="265"/>
      <c r="F96" s="265"/>
      <c r="G96" s="266"/>
      <c r="H96" s="265"/>
      <c r="I96" s="267"/>
    </row>
    <row r="97" spans="2:9" ht="31" customHeight="1">
      <c r="B97" s="12"/>
      <c r="C97" s="12"/>
      <c r="D97" s="12"/>
      <c r="E97" s="12"/>
      <c r="F97" s="12"/>
      <c r="G97" s="12"/>
      <c r="H97" s="12"/>
      <c r="I97" s="12"/>
    </row>
    <row r="98" spans="2:9" ht="31" customHeight="1" thickBot="1">
      <c r="B98" s="721" t="s">
        <v>582</v>
      </c>
      <c r="C98" s="613"/>
      <c r="D98" s="613"/>
      <c r="E98" s="613"/>
      <c r="F98" s="613"/>
      <c r="G98" s="613"/>
      <c r="H98" s="613"/>
      <c r="I98" s="613"/>
    </row>
    <row r="99" spans="2:9" ht="31" customHeight="1" outlineLevel="1" thickBot="1">
      <c r="B99" s="86" t="s">
        <v>9</v>
      </c>
      <c r="C99" s="757" t="s">
        <v>583</v>
      </c>
      <c r="D99" s="698"/>
      <c r="E99" s="698"/>
      <c r="F99" s="698"/>
      <c r="G99" s="733"/>
      <c r="H99" s="87" t="s">
        <v>787</v>
      </c>
      <c r="I99" s="88" t="s">
        <v>581</v>
      </c>
    </row>
    <row r="100" spans="2:9" ht="31" customHeight="1" outlineLevel="1" thickBot="1">
      <c r="B100" s="328">
        <v>1</v>
      </c>
      <c r="C100" s="331"/>
      <c r="D100" s="332"/>
      <c r="E100" s="333"/>
      <c r="F100" s="333"/>
      <c r="G100" s="334"/>
      <c r="H100" s="329"/>
      <c r="I100" s="330"/>
    </row>
    <row r="101" spans="2:9" ht="31" hidden="1" customHeight="1" outlineLevel="1">
      <c r="B101" s="317" t="str">
        <f>IF(C101&lt;&gt;0, 2, " ")</f>
        <v xml:space="preserve"> </v>
      </c>
      <c r="C101" s="316"/>
      <c r="D101" s="778" t="s">
        <v>788</v>
      </c>
      <c r="E101" s="698"/>
      <c r="F101" s="698"/>
      <c r="G101" s="733"/>
      <c r="H101" s="318"/>
      <c r="I101" s="319"/>
    </row>
    <row r="102" spans="2:9" ht="31" hidden="1" customHeight="1" outlineLevel="1">
      <c r="B102" s="90" t="str">
        <f>IF(C102&lt;&gt;0, 3, " ")</f>
        <v xml:space="preserve"> </v>
      </c>
      <c r="C102" s="81"/>
      <c r="D102" s="779"/>
      <c r="E102" s="613"/>
      <c r="F102" s="613"/>
      <c r="G102" s="620"/>
      <c r="H102" s="94"/>
      <c r="I102" s="77"/>
    </row>
    <row r="103" spans="2:9" ht="31" hidden="1" customHeight="1" outlineLevel="1">
      <c r="B103" s="90" t="str">
        <f>IF(C103&lt;&gt;0, 4, " ")</f>
        <v xml:space="preserve"> </v>
      </c>
      <c r="C103" s="81"/>
      <c r="D103" s="779"/>
      <c r="E103" s="613"/>
      <c r="F103" s="613"/>
      <c r="G103" s="620"/>
      <c r="H103" s="94"/>
      <c r="I103" s="77"/>
    </row>
    <row r="104" spans="2:9" ht="31" hidden="1" customHeight="1" outlineLevel="1">
      <c r="B104" s="90" t="str">
        <f>IF(C104&lt;&gt;0, 5, " ")</f>
        <v xml:space="preserve"> </v>
      </c>
      <c r="C104" s="81"/>
      <c r="D104" s="779"/>
      <c r="E104" s="613"/>
      <c r="F104" s="613"/>
      <c r="G104" s="620"/>
      <c r="H104" s="94"/>
      <c r="I104" s="77"/>
    </row>
    <row r="105" spans="2:9" ht="31" hidden="1" customHeight="1" outlineLevel="1">
      <c r="B105" s="90" t="str">
        <f>IF(C105&lt;&gt;0, 6, " ")</f>
        <v xml:space="preserve"> </v>
      </c>
      <c r="C105" s="81"/>
      <c r="D105" s="779"/>
      <c r="E105" s="613"/>
      <c r="F105" s="613"/>
      <c r="G105" s="620"/>
      <c r="H105" s="94"/>
      <c r="I105" s="77"/>
    </row>
    <row r="106" spans="2:9" ht="31" hidden="1" customHeight="1" outlineLevel="1">
      <c r="B106" s="90" t="str">
        <f>IF(C106&lt;&gt;0, 7, " ")</f>
        <v xml:space="preserve"> </v>
      </c>
      <c r="C106" s="81"/>
      <c r="D106" s="779"/>
      <c r="E106" s="613"/>
      <c r="F106" s="613"/>
      <c r="G106" s="620"/>
      <c r="H106" s="94"/>
      <c r="I106" s="77"/>
    </row>
    <row r="107" spans="2:9" ht="31" hidden="1" customHeight="1" outlineLevel="1">
      <c r="B107" s="90" t="str">
        <f>IF(C107&lt;&gt;0, 8, " ")</f>
        <v xml:space="preserve"> </v>
      </c>
      <c r="C107" s="81"/>
      <c r="D107" s="779"/>
      <c r="E107" s="613"/>
      <c r="F107" s="613"/>
      <c r="G107" s="620"/>
      <c r="H107" s="94"/>
      <c r="I107" s="77"/>
    </row>
    <row r="108" spans="2:9" ht="31" hidden="1" customHeight="1" outlineLevel="1" thickBot="1">
      <c r="B108" s="95" t="str">
        <f>IF(C108&lt;&gt;0, 9, " ")</f>
        <v xml:space="preserve"> </v>
      </c>
      <c r="C108" s="82"/>
      <c r="D108" s="780"/>
      <c r="E108" s="781"/>
      <c r="F108" s="781"/>
      <c r="G108" s="782"/>
      <c r="H108" s="96"/>
      <c r="I108" s="97"/>
    </row>
    <row r="109" spans="2:9" ht="31" hidden="1" customHeight="1" outlineLevel="1">
      <c r="B109" s="317" t="str">
        <f>IF(C109&lt;&gt;0, 10, " ")</f>
        <v xml:space="preserve"> </v>
      </c>
      <c r="C109" s="316"/>
      <c r="D109" s="91"/>
      <c r="E109" s="92"/>
      <c r="F109" s="92"/>
      <c r="G109" s="93"/>
      <c r="H109" s="318"/>
      <c r="I109" s="319"/>
    </row>
    <row r="110" spans="2:9" ht="31" hidden="1" customHeight="1" outlineLevel="1">
      <c r="B110" s="90" t="str">
        <f>IF(C110&lt;&gt;0, 11, " ")</f>
        <v xml:space="preserve"> </v>
      </c>
      <c r="C110" s="81"/>
      <c r="D110" s="91"/>
      <c r="E110" s="92"/>
      <c r="F110" s="92"/>
      <c r="G110" s="93"/>
      <c r="H110" s="94"/>
      <c r="I110" s="77"/>
    </row>
    <row r="111" spans="2:9" ht="31" hidden="1" customHeight="1" outlineLevel="1">
      <c r="B111" s="90" t="str">
        <f>IF(C111&lt;&gt;0, 12, " ")</f>
        <v xml:space="preserve"> </v>
      </c>
      <c r="C111" s="81"/>
      <c r="D111" s="91"/>
      <c r="E111" s="92"/>
      <c r="F111" s="92"/>
      <c r="G111" s="93"/>
      <c r="H111" s="94"/>
      <c r="I111" s="77"/>
    </row>
    <row r="112" spans="2:9" ht="31" hidden="1" customHeight="1" outlineLevel="1">
      <c r="B112" s="90" t="str">
        <f>IF(C112&lt;&gt;0, 13, " ")</f>
        <v xml:space="preserve"> </v>
      </c>
      <c r="C112" s="81"/>
      <c r="D112" s="91"/>
      <c r="E112" s="92"/>
      <c r="F112" s="92"/>
      <c r="G112" s="93"/>
      <c r="H112" s="94"/>
      <c r="I112" s="77"/>
    </row>
    <row r="113" spans="2:9" ht="31" hidden="1" customHeight="1" outlineLevel="1">
      <c r="B113" s="90" t="str">
        <f>IF(C113&lt;&gt;0, 14, " ")</f>
        <v xml:space="preserve"> </v>
      </c>
      <c r="C113" s="81"/>
      <c r="D113" s="91"/>
      <c r="E113" s="92"/>
      <c r="F113" s="92"/>
      <c r="G113" s="93"/>
      <c r="H113" s="94"/>
      <c r="I113" s="77"/>
    </row>
    <row r="114" spans="2:9" ht="31" hidden="1" customHeight="1" outlineLevel="1" thickBot="1">
      <c r="B114" s="95" t="str">
        <f>IF(C114&lt;&gt;0, 15, " ")</f>
        <v xml:space="preserve"> </v>
      </c>
      <c r="C114" s="82"/>
      <c r="D114" s="306"/>
      <c r="E114" s="307"/>
      <c r="F114" s="307"/>
      <c r="G114" s="308"/>
      <c r="H114" s="96"/>
      <c r="I114" s="97"/>
    </row>
    <row r="115" spans="2:9" ht="31" customHeight="1">
      <c r="B115" s="12"/>
      <c r="C115" s="12"/>
      <c r="D115" s="12"/>
      <c r="E115" s="12"/>
      <c r="F115" s="12"/>
      <c r="G115" s="12"/>
      <c r="H115" s="12"/>
      <c r="I115" s="12"/>
    </row>
    <row r="116" spans="2:9" ht="31" customHeight="1" thickBot="1">
      <c r="B116" s="721" t="s">
        <v>585</v>
      </c>
      <c r="C116" s="613"/>
      <c r="D116" s="613"/>
      <c r="E116" s="613"/>
      <c r="F116" s="613"/>
      <c r="G116" s="613"/>
      <c r="H116" s="613"/>
      <c r="I116" s="613"/>
    </row>
    <row r="117" spans="2:9" ht="31" customHeight="1" outlineLevel="1">
      <c r="B117" s="743" t="s">
        <v>789</v>
      </c>
      <c r="C117" s="720"/>
      <c r="D117" s="98">
        <v>4</v>
      </c>
      <c r="E117" s="58"/>
      <c r="F117" s="752" t="s">
        <v>790</v>
      </c>
      <c r="G117" s="99"/>
      <c r="H117" s="58"/>
      <c r="I117" s="59"/>
    </row>
    <row r="118" spans="2:9" ht="31" customHeight="1" outlineLevel="1">
      <c r="B118" s="727" t="s">
        <v>640</v>
      </c>
      <c r="C118" s="728"/>
      <c r="D118" s="89">
        <v>126</v>
      </c>
      <c r="E118" s="27"/>
      <c r="F118" s="723"/>
      <c r="G118" s="60"/>
      <c r="H118" s="27"/>
      <c r="I118" s="28"/>
    </row>
    <row r="119" spans="2:9" ht="27.75" customHeight="1" outlineLevel="1">
      <c r="B119" s="727" t="s">
        <v>639</v>
      </c>
      <c r="C119" s="728"/>
      <c r="D119" s="444" t="s">
        <v>791</v>
      </c>
      <c r="E119" s="27"/>
      <c r="F119" s="723"/>
      <c r="G119" s="60"/>
      <c r="H119" s="27"/>
      <c r="I119" s="28"/>
    </row>
    <row r="120" spans="2:9" ht="31" customHeight="1" outlineLevel="1">
      <c r="B120" s="727" t="s">
        <v>792</v>
      </c>
      <c r="C120" s="728"/>
      <c r="D120" s="315" t="s">
        <v>763</v>
      </c>
      <c r="E120" s="27"/>
      <c r="F120" s="753"/>
      <c r="G120" s="100"/>
      <c r="H120" s="101"/>
      <c r="I120" s="102"/>
    </row>
    <row r="121" spans="2:9" ht="31" customHeight="1" outlineLevel="1">
      <c r="B121" s="727" t="s">
        <v>793</v>
      </c>
      <c r="C121" s="728"/>
      <c r="D121" s="89" t="s">
        <v>794</v>
      </c>
      <c r="E121" s="27"/>
      <c r="F121" s="737" t="s">
        <v>795</v>
      </c>
      <c r="G121" s="302">
        <f>D129</f>
        <v>1042</v>
      </c>
      <c r="H121" s="104"/>
      <c r="I121" s="105"/>
    </row>
    <row r="122" spans="2:9" ht="31" customHeight="1" outlineLevel="1">
      <c r="B122" s="727" t="s">
        <v>796</v>
      </c>
      <c r="C122" s="728"/>
      <c r="D122" s="315" t="s">
        <v>797</v>
      </c>
      <c r="E122" s="27"/>
      <c r="F122" s="738"/>
      <c r="G122" s="60"/>
      <c r="H122" s="27"/>
      <c r="I122" s="28"/>
    </row>
    <row r="123" spans="2:9" ht="31" customHeight="1" outlineLevel="1">
      <c r="B123" s="727" t="s">
        <v>798</v>
      </c>
      <c r="C123" s="728"/>
      <c r="D123" s="89" t="s">
        <v>762</v>
      </c>
      <c r="E123" s="27"/>
      <c r="F123" s="739"/>
      <c r="G123" s="100"/>
      <c r="H123" s="101"/>
      <c r="I123" s="102"/>
    </row>
    <row r="124" spans="2:9" ht="31" customHeight="1" outlineLevel="1">
      <c r="B124" s="727" t="s">
        <v>605</v>
      </c>
      <c r="C124" s="75" t="s">
        <v>799</v>
      </c>
      <c r="D124" s="106">
        <v>2496</v>
      </c>
      <c r="E124" s="27"/>
      <c r="F124" s="737" t="s">
        <v>800</v>
      </c>
      <c r="G124" s="302">
        <f>D130</f>
        <v>16.399999999999999</v>
      </c>
      <c r="H124" s="104"/>
      <c r="I124" s="105"/>
    </row>
    <row r="125" spans="2:9" ht="31" customHeight="1" outlineLevel="1">
      <c r="B125" s="739"/>
      <c r="C125" s="75" t="s">
        <v>801</v>
      </c>
      <c r="D125" s="423">
        <f>F178</f>
        <v>3538</v>
      </c>
      <c r="E125" s="27"/>
      <c r="F125" s="738"/>
      <c r="G125" s="60"/>
      <c r="H125" s="27"/>
      <c r="I125" s="28"/>
    </row>
    <row r="126" spans="2:9" ht="31" customHeight="1" outlineLevel="1">
      <c r="B126" s="727" t="s">
        <v>802</v>
      </c>
      <c r="C126" s="728"/>
      <c r="D126" s="423">
        <v>128</v>
      </c>
      <c r="E126" s="27"/>
      <c r="F126" s="739"/>
      <c r="G126" s="100"/>
      <c r="H126" s="101"/>
      <c r="I126" s="102"/>
    </row>
    <row r="127" spans="2:9" ht="31" customHeight="1" outlineLevel="1">
      <c r="B127" s="727" t="s">
        <v>803</v>
      </c>
      <c r="C127" s="728"/>
      <c r="D127" s="423">
        <v>8.82</v>
      </c>
      <c r="E127" s="27"/>
      <c r="F127" s="737" t="s">
        <v>804</v>
      </c>
      <c r="G127" s="103">
        <f>D131</f>
        <v>59.63</v>
      </c>
      <c r="H127" s="104"/>
      <c r="I127" s="105"/>
    </row>
    <row r="128" spans="2:9" ht="31" customHeight="1" outlineLevel="1">
      <c r="B128" s="727" t="s">
        <v>805</v>
      </c>
      <c r="C128" s="728"/>
      <c r="D128" s="423">
        <f>D126/D127</f>
        <v>14.512471655328797</v>
      </c>
      <c r="E128" s="27"/>
      <c r="F128" s="738"/>
      <c r="G128" s="60"/>
      <c r="H128" s="27"/>
      <c r="I128" s="28"/>
    </row>
    <row r="129" spans="2:9" ht="31" customHeight="1" outlineLevel="1">
      <c r="B129" s="727" t="s">
        <v>806</v>
      </c>
      <c r="C129" s="728"/>
      <c r="D129" s="423">
        <f>D125-D124</f>
        <v>1042</v>
      </c>
      <c r="E129" s="27"/>
      <c r="F129" s="739"/>
      <c r="G129" s="100"/>
      <c r="H129" s="101"/>
      <c r="I129" s="102"/>
    </row>
    <row r="130" spans="2:9" ht="31" customHeight="1" outlineLevel="1">
      <c r="B130" s="727" t="s">
        <v>807</v>
      </c>
      <c r="C130" s="728"/>
      <c r="D130" s="457">
        <v>16.399999999999999</v>
      </c>
      <c r="E130" s="27"/>
      <c r="F130" s="737" t="s">
        <v>808</v>
      </c>
      <c r="G130" s="103"/>
      <c r="H130" s="104"/>
      <c r="I130" s="105"/>
    </row>
    <row r="131" spans="2:9" ht="31" customHeight="1" outlineLevel="1">
      <c r="B131" s="727" t="s">
        <v>809</v>
      </c>
      <c r="C131" s="728"/>
      <c r="D131" s="457">
        <f>I171</f>
        <v>59.63</v>
      </c>
      <c r="E131" s="27"/>
      <c r="F131" s="738"/>
      <c r="G131" s="60"/>
      <c r="H131" s="27"/>
      <c r="I131" s="28"/>
    </row>
    <row r="132" spans="2:9" ht="31" customHeight="1" outlineLevel="1" thickBot="1">
      <c r="B132" s="745" t="s">
        <v>810</v>
      </c>
      <c r="C132" s="705"/>
      <c r="D132" s="107" t="s">
        <v>811</v>
      </c>
      <c r="E132" s="64"/>
      <c r="F132" s="739"/>
      <c r="G132" s="63"/>
      <c r="H132" s="64"/>
      <c r="I132" s="65"/>
    </row>
    <row r="133" spans="2:9" ht="31" customHeight="1" outlineLevel="1">
      <c r="B133" s="12"/>
      <c r="C133" s="12"/>
      <c r="D133" s="12"/>
      <c r="E133" s="12"/>
      <c r="F133" s="12"/>
      <c r="G133" s="12"/>
      <c r="H133" s="12"/>
      <c r="I133" s="12"/>
    </row>
    <row r="134" spans="2:9" ht="31" customHeight="1" thickBot="1">
      <c r="B134" s="12"/>
      <c r="C134" s="12"/>
      <c r="D134" s="12"/>
      <c r="E134" s="12"/>
      <c r="F134" s="12"/>
      <c r="G134" s="12"/>
      <c r="H134" s="12"/>
      <c r="I134" s="12"/>
    </row>
    <row r="135" spans="2:9" ht="31" customHeight="1" thickBot="1">
      <c r="B135" s="697" t="s">
        <v>586</v>
      </c>
      <c r="C135" s="698"/>
      <c r="D135" s="698"/>
      <c r="E135" s="698"/>
      <c r="F135" s="698"/>
      <c r="G135" s="698"/>
      <c r="H135" s="698"/>
      <c r="I135" s="699"/>
    </row>
    <row r="136" spans="2:9" ht="24.75" customHeight="1" outlineLevel="1">
      <c r="B136" s="775" t="s">
        <v>589</v>
      </c>
      <c r="C136" s="730"/>
      <c r="D136" s="30" t="s">
        <v>590</v>
      </c>
      <c r="E136" s="30" t="s">
        <v>591</v>
      </c>
      <c r="F136" s="768" t="s">
        <v>812</v>
      </c>
      <c r="G136" s="99"/>
      <c r="H136" s="58"/>
      <c r="I136" s="59"/>
    </row>
    <row r="137" spans="2:9" ht="24.75" customHeight="1" outlineLevel="1">
      <c r="B137" s="702" t="s">
        <v>593</v>
      </c>
      <c r="C137" s="703"/>
      <c r="D137" s="108" t="s">
        <v>813</v>
      </c>
      <c r="E137" s="108" t="s">
        <v>813</v>
      </c>
      <c r="F137" s="765"/>
      <c r="G137" s="60"/>
      <c r="H137" s="27"/>
      <c r="I137" s="28"/>
    </row>
    <row r="138" spans="2:9" ht="24.75" customHeight="1" outlineLevel="1">
      <c r="B138" s="741" t="s">
        <v>814</v>
      </c>
      <c r="C138" s="703"/>
      <c r="D138" s="108">
        <v>1.1200000000000001</v>
      </c>
      <c r="E138" s="465">
        <v>1.1100000000000001</v>
      </c>
      <c r="F138" s="765"/>
      <c r="G138" s="60"/>
      <c r="H138" s="27"/>
      <c r="I138" s="28"/>
    </row>
    <row r="139" spans="2:9" ht="24.75" customHeight="1" outlineLevel="1">
      <c r="B139" s="702" t="s">
        <v>597</v>
      </c>
      <c r="C139" s="703"/>
      <c r="D139" s="108" t="s">
        <v>815</v>
      </c>
      <c r="E139" s="453">
        <v>42</v>
      </c>
      <c r="F139" s="765"/>
      <c r="G139" s="60"/>
      <c r="H139" s="27"/>
      <c r="I139" s="28"/>
    </row>
    <row r="140" spans="2:9" ht="24.75" customHeight="1" outlineLevel="1">
      <c r="B140" s="702" t="s">
        <v>816</v>
      </c>
      <c r="C140" s="703"/>
      <c r="D140" s="109" t="s">
        <v>817</v>
      </c>
      <c r="E140" s="464" t="s">
        <v>818</v>
      </c>
      <c r="F140" s="765"/>
      <c r="G140" s="60"/>
      <c r="H140" s="27"/>
      <c r="I140" s="28"/>
    </row>
    <row r="141" spans="2:9" ht="24.75" customHeight="1" outlineLevel="1">
      <c r="B141" s="702" t="s">
        <v>819</v>
      </c>
      <c r="C141" s="703"/>
      <c r="D141" s="109" t="s">
        <v>820</v>
      </c>
      <c r="E141" s="464" t="s">
        <v>821</v>
      </c>
      <c r="F141" s="765"/>
      <c r="G141" s="60"/>
      <c r="H141" s="27"/>
      <c r="I141" s="28"/>
    </row>
    <row r="142" spans="2:9" ht="24.75" customHeight="1" outlineLevel="1">
      <c r="B142" s="702" t="s">
        <v>822</v>
      </c>
      <c r="C142" s="703"/>
      <c r="D142" s="109" t="s">
        <v>823</v>
      </c>
      <c r="E142" s="464" t="s">
        <v>824</v>
      </c>
      <c r="F142" s="765"/>
      <c r="G142" s="60"/>
      <c r="H142" s="27"/>
      <c r="I142" s="28"/>
    </row>
    <row r="143" spans="2:9" ht="24.75" customHeight="1" outlineLevel="1">
      <c r="B143" s="702" t="s">
        <v>825</v>
      </c>
      <c r="C143" s="703"/>
      <c r="D143" s="109" t="s">
        <v>826</v>
      </c>
      <c r="E143" s="464" t="s">
        <v>827</v>
      </c>
      <c r="F143" s="765"/>
      <c r="G143" s="60"/>
      <c r="H143" s="27"/>
      <c r="I143" s="28"/>
    </row>
    <row r="144" spans="2:9" ht="24.75" customHeight="1" outlineLevel="1">
      <c r="B144" s="741" t="s">
        <v>610</v>
      </c>
      <c r="C144" s="703"/>
      <c r="D144" s="109" t="s">
        <v>828</v>
      </c>
      <c r="E144" s="464" t="s">
        <v>829</v>
      </c>
      <c r="F144" s="765"/>
      <c r="G144" s="60"/>
      <c r="H144" s="27"/>
      <c r="I144" s="28"/>
    </row>
    <row r="145" spans="2:9" ht="24.75" customHeight="1" outlineLevel="1">
      <c r="B145" s="702" t="s">
        <v>613</v>
      </c>
      <c r="C145" s="703"/>
      <c r="D145" s="109" t="s">
        <v>830</v>
      </c>
      <c r="E145" s="464" t="s">
        <v>831</v>
      </c>
      <c r="F145" s="735"/>
      <c r="G145" s="100"/>
      <c r="H145" s="101"/>
      <c r="I145" s="102"/>
    </row>
    <row r="146" spans="2:9" ht="24.75" customHeight="1" outlineLevel="1">
      <c r="B146" s="702" t="s">
        <v>832</v>
      </c>
      <c r="C146" s="703"/>
      <c r="D146" s="109" t="s">
        <v>833</v>
      </c>
      <c r="E146" s="464" t="s">
        <v>834</v>
      </c>
      <c r="F146" s="764" t="s">
        <v>835</v>
      </c>
      <c r="G146" s="103"/>
      <c r="H146" s="104"/>
      <c r="I146" s="105"/>
    </row>
    <row r="147" spans="2:9" ht="24.75" customHeight="1" outlineLevel="1">
      <c r="B147" s="702" t="s">
        <v>618</v>
      </c>
      <c r="C147" s="703"/>
      <c r="D147" s="109" t="s">
        <v>836</v>
      </c>
      <c r="E147" s="464" t="s">
        <v>837</v>
      </c>
      <c r="F147" s="765"/>
      <c r="G147" s="60"/>
      <c r="H147" s="27"/>
      <c r="I147" s="28"/>
    </row>
    <row r="148" spans="2:9" ht="24.75" customHeight="1" outlineLevel="1">
      <c r="B148" s="702" t="s">
        <v>838</v>
      </c>
      <c r="C148" s="703"/>
      <c r="D148" s="109" t="s">
        <v>839</v>
      </c>
      <c r="E148" s="464" t="s">
        <v>840</v>
      </c>
      <c r="F148" s="765"/>
      <c r="G148" s="60"/>
      <c r="H148" s="27"/>
      <c r="I148" s="28"/>
    </row>
    <row r="149" spans="2:9" ht="24.75" customHeight="1" outlineLevel="1">
      <c r="B149" s="702" t="s">
        <v>841</v>
      </c>
      <c r="C149" s="703"/>
      <c r="D149" s="109"/>
      <c r="E149" s="464"/>
      <c r="F149" s="765"/>
      <c r="G149" s="60"/>
      <c r="H149" s="27"/>
      <c r="I149" s="28"/>
    </row>
    <row r="150" spans="2:9" ht="24.75" customHeight="1" outlineLevel="1">
      <c r="B150" s="702" t="s">
        <v>842</v>
      </c>
      <c r="C150" s="703"/>
      <c r="D150" s="109" t="s">
        <v>843</v>
      </c>
      <c r="E150" s="464" t="s">
        <v>844</v>
      </c>
      <c r="F150" s="765"/>
      <c r="G150" s="60"/>
      <c r="H150" s="27"/>
      <c r="I150" s="28"/>
    </row>
    <row r="151" spans="2:9" ht="31" customHeight="1" outlineLevel="1">
      <c r="B151" s="776" t="s">
        <v>845</v>
      </c>
      <c r="C151" s="110" t="s">
        <v>846</v>
      </c>
      <c r="D151" s="109"/>
      <c r="E151" s="453">
        <v>34</v>
      </c>
      <c r="F151" s="765"/>
      <c r="G151" s="60"/>
      <c r="H151" s="27"/>
      <c r="I151" s="28"/>
    </row>
    <row r="152" spans="2:9" ht="31" customHeight="1" outlineLevel="1">
      <c r="B152" s="723"/>
      <c r="C152" s="110" t="s">
        <v>847</v>
      </c>
      <c r="D152" s="109"/>
      <c r="E152" s="453">
        <v>31</v>
      </c>
      <c r="F152" s="765"/>
      <c r="G152" s="60"/>
      <c r="H152" s="27"/>
      <c r="I152" s="28"/>
    </row>
    <row r="153" spans="2:9" ht="31" customHeight="1" outlineLevel="1">
      <c r="B153" s="723"/>
      <c r="C153" s="110" t="s">
        <v>848</v>
      </c>
      <c r="D153" s="109"/>
      <c r="E153" s="453">
        <f>E151+E152</f>
        <v>65</v>
      </c>
      <c r="F153" s="765"/>
      <c r="G153" s="60"/>
      <c r="H153" s="27"/>
      <c r="I153" s="28"/>
    </row>
    <row r="154" spans="2:9" ht="31" customHeight="1" outlineLevel="1" thickBot="1">
      <c r="B154" s="724"/>
      <c r="C154" s="111" t="s">
        <v>849</v>
      </c>
      <c r="D154" s="112"/>
      <c r="E154" s="466">
        <v>48</v>
      </c>
      <c r="F154" s="766"/>
      <c r="G154" s="63"/>
      <c r="H154" s="64"/>
      <c r="I154" s="65"/>
    </row>
    <row r="155" spans="2:9" ht="31" customHeight="1">
      <c r="B155" s="113"/>
      <c r="C155" s="12"/>
      <c r="D155" s="12"/>
      <c r="E155" s="12"/>
      <c r="F155" s="12"/>
      <c r="G155" s="12"/>
      <c r="H155" s="12"/>
      <c r="I155" s="49"/>
    </row>
    <row r="156" spans="2:9" ht="31" customHeight="1" thickBot="1">
      <c r="B156" s="725" t="s">
        <v>850</v>
      </c>
      <c r="C156" s="613"/>
      <c r="D156" s="613"/>
      <c r="E156" s="613"/>
      <c r="F156" s="613"/>
      <c r="G156" s="613"/>
      <c r="H156" s="613"/>
      <c r="I156" s="726"/>
    </row>
    <row r="157" spans="2:9" ht="33.5" customHeight="1" outlineLevel="1" thickBot="1">
      <c r="B157" s="114" t="s">
        <v>646</v>
      </c>
      <c r="C157" s="424" t="s">
        <v>851</v>
      </c>
      <c r="D157" s="115" t="s">
        <v>852</v>
      </c>
      <c r="E157" s="115" t="s">
        <v>853</v>
      </c>
      <c r="F157" s="115" t="s">
        <v>854</v>
      </c>
      <c r="G157" s="115" t="s">
        <v>855</v>
      </c>
      <c r="H157" s="115" t="s">
        <v>856</v>
      </c>
      <c r="I157" s="116" t="s">
        <v>857</v>
      </c>
    </row>
    <row r="158" spans="2:9" ht="31" customHeight="1" outlineLevel="1">
      <c r="B158" s="117">
        <v>195</v>
      </c>
      <c r="C158" s="118">
        <v>110</v>
      </c>
      <c r="D158" s="118">
        <v>114</v>
      </c>
      <c r="E158" s="118">
        <v>36</v>
      </c>
      <c r="F158" s="445">
        <v>12</v>
      </c>
      <c r="G158" s="119">
        <v>47</v>
      </c>
      <c r="H158" s="119"/>
      <c r="I158" s="120"/>
    </row>
    <row r="159" spans="2:9" ht="31" customHeight="1" outlineLevel="1">
      <c r="B159" s="121"/>
      <c r="C159" s="81"/>
      <c r="D159" s="81"/>
      <c r="E159" s="81"/>
      <c r="F159" s="81"/>
      <c r="G159" s="81"/>
      <c r="H159" s="81"/>
      <c r="I159" s="84"/>
    </row>
    <row r="160" spans="2:9" ht="31" customHeight="1" outlineLevel="1" thickBot="1">
      <c r="B160" s="122"/>
      <c r="C160" s="82"/>
      <c r="D160" s="82"/>
      <c r="E160" s="82"/>
      <c r="F160" s="82"/>
      <c r="G160" s="82"/>
      <c r="H160" s="82"/>
      <c r="I160" s="85"/>
    </row>
    <row r="161" spans="2:9" ht="31" customHeight="1">
      <c r="B161" s="113"/>
      <c r="C161" s="12"/>
      <c r="D161" s="12"/>
      <c r="E161" s="12"/>
      <c r="F161" s="12"/>
      <c r="G161" s="12"/>
      <c r="H161" s="12"/>
      <c r="I161" s="49"/>
    </row>
    <row r="162" spans="2:9" ht="31" customHeight="1" thickBot="1">
      <c r="B162" s="725" t="s">
        <v>858</v>
      </c>
      <c r="C162" s="613"/>
      <c r="D162" s="613"/>
      <c r="E162" s="613"/>
      <c r="F162" s="613"/>
      <c r="G162" s="613"/>
      <c r="H162" s="613"/>
      <c r="I162" s="726"/>
    </row>
    <row r="163" spans="2:9" ht="31" customHeight="1" outlineLevel="1">
      <c r="B163" s="123" t="s">
        <v>655</v>
      </c>
      <c r="C163" s="124" t="s">
        <v>656</v>
      </c>
      <c r="D163" s="124" t="s">
        <v>657</v>
      </c>
      <c r="E163" s="124" t="s">
        <v>859</v>
      </c>
      <c r="F163" s="124"/>
      <c r="G163" s="777" t="s">
        <v>860</v>
      </c>
      <c r="H163" s="698"/>
      <c r="I163" s="699"/>
    </row>
    <row r="164" spans="2:9" ht="31" customHeight="1" outlineLevel="1">
      <c r="B164" s="125" t="s">
        <v>660</v>
      </c>
      <c r="C164" s="296" t="s">
        <v>861</v>
      </c>
      <c r="D164" s="296" t="s">
        <v>862</v>
      </c>
      <c r="E164" s="296" t="s">
        <v>863</v>
      </c>
      <c r="F164" s="297"/>
      <c r="G164" s="298"/>
      <c r="H164" s="299"/>
      <c r="I164" s="300"/>
    </row>
    <row r="165" spans="2:9" ht="42" customHeight="1" outlineLevel="1">
      <c r="B165" s="414" t="s">
        <v>864</v>
      </c>
      <c r="C165" s="464" t="s">
        <v>865</v>
      </c>
      <c r="D165" s="301"/>
      <c r="E165" s="301"/>
      <c r="F165" s="301"/>
      <c r="G165" s="301"/>
      <c r="H165" s="301"/>
      <c r="I165" s="301"/>
    </row>
    <row r="166" spans="2:9" ht="39" customHeight="1" outlineLevel="1">
      <c r="B166" s="414" t="s">
        <v>866</v>
      </c>
      <c r="C166" s="453" t="s">
        <v>867</v>
      </c>
      <c r="D166" s="301"/>
      <c r="E166" s="301"/>
      <c r="F166" s="301"/>
      <c r="G166" s="301"/>
      <c r="H166" s="301"/>
      <c r="I166" s="301"/>
    </row>
    <row r="167" spans="2:9" ht="40.25" customHeight="1" outlineLevel="1" thickBot="1">
      <c r="B167" s="413" t="s">
        <v>868</v>
      </c>
      <c r="C167" s="464" t="s">
        <v>869</v>
      </c>
      <c r="D167" s="301"/>
      <c r="E167" s="301"/>
      <c r="F167" s="301"/>
      <c r="G167" s="301"/>
      <c r="H167" s="301"/>
      <c r="I167" s="301"/>
    </row>
    <row r="168" spans="2:9" ht="31" customHeight="1">
      <c r="B168" s="126"/>
      <c r="C168" s="127"/>
      <c r="D168" s="128"/>
      <c r="E168" s="128"/>
      <c r="F168" s="128"/>
      <c r="G168" s="128"/>
      <c r="H168" s="128"/>
      <c r="I168" s="128"/>
    </row>
    <row r="169" spans="2:9" ht="31" customHeight="1" thickBot="1">
      <c r="B169" s="721" t="s">
        <v>870</v>
      </c>
      <c r="C169" s="613"/>
      <c r="D169" s="613"/>
      <c r="E169" s="613"/>
      <c r="F169" s="613"/>
      <c r="G169" s="613"/>
      <c r="H169" s="613"/>
      <c r="I169" s="613"/>
    </row>
    <row r="170" spans="2:9" ht="31" customHeight="1" outlineLevel="1" thickBot="1">
      <c r="B170" s="129" t="s">
        <v>638</v>
      </c>
      <c r="C170" s="130" t="s">
        <v>639</v>
      </c>
      <c r="D170" s="130" t="s">
        <v>640</v>
      </c>
      <c r="E170" s="130" t="s">
        <v>577</v>
      </c>
      <c r="F170" s="130" t="s">
        <v>641</v>
      </c>
      <c r="G170" s="130" t="s">
        <v>642</v>
      </c>
      <c r="H170" s="732" t="s">
        <v>643</v>
      </c>
      <c r="I170" s="733"/>
    </row>
    <row r="171" spans="2:9" ht="31" customHeight="1" outlineLevel="1">
      <c r="B171" s="303">
        <v>4</v>
      </c>
      <c r="C171" s="304" t="s">
        <v>871</v>
      </c>
      <c r="D171" s="305">
        <v>108</v>
      </c>
      <c r="E171" s="305">
        <v>7.61</v>
      </c>
      <c r="F171" s="305">
        <v>350.06</v>
      </c>
      <c r="G171" s="305">
        <v>150</v>
      </c>
      <c r="H171" s="480">
        <v>20.58</v>
      </c>
      <c r="I171" s="481">
        <v>59.63</v>
      </c>
    </row>
    <row r="172" spans="2:9" ht="31" hidden="1" customHeight="1" outlineLevel="1">
      <c r="B172" s="121"/>
      <c r="C172" s="81"/>
      <c r="D172" s="81"/>
      <c r="E172" s="81"/>
      <c r="F172" s="81"/>
      <c r="G172" s="81"/>
      <c r="H172" s="482"/>
      <c r="I172" s="483"/>
    </row>
    <row r="173" spans="2:9" ht="31" hidden="1" customHeight="1" outlineLevel="1" thickBot="1">
      <c r="B173" s="122"/>
      <c r="C173" s="82"/>
      <c r="D173" s="82"/>
      <c r="E173" s="82"/>
      <c r="F173" s="82"/>
      <c r="G173" s="82"/>
      <c r="H173" s="484"/>
      <c r="I173" s="485"/>
    </row>
    <row r="174" spans="2:9" ht="31" customHeight="1">
      <c r="B174" s="12"/>
      <c r="C174" s="12"/>
      <c r="D174" s="12"/>
      <c r="E174" s="12"/>
      <c r="F174" s="12"/>
      <c r="G174" s="12"/>
      <c r="H174" s="486"/>
      <c r="I174" s="486"/>
    </row>
    <row r="175" spans="2:9" ht="31" customHeight="1" thickBot="1">
      <c r="B175" s="721" t="s">
        <v>872</v>
      </c>
      <c r="C175" s="613"/>
      <c r="D175" s="613"/>
      <c r="E175" s="613"/>
      <c r="F175" s="613"/>
      <c r="G175" s="613"/>
      <c r="H175" s="613"/>
      <c r="I175" s="613"/>
    </row>
    <row r="176" spans="2:9" ht="31" customHeight="1" outlineLevel="1">
      <c r="B176" s="715" t="s">
        <v>590</v>
      </c>
      <c r="C176" s="716"/>
      <c r="D176" s="716"/>
      <c r="E176" s="716"/>
      <c r="F176" s="716"/>
      <c r="G176" s="716"/>
      <c r="H176" s="716"/>
      <c r="I176" s="717"/>
    </row>
    <row r="177" spans="2:9" ht="31" customHeight="1" outlineLevel="1">
      <c r="B177" s="731" t="s">
        <v>589</v>
      </c>
      <c r="C177" s="703"/>
      <c r="D177" s="746" t="s">
        <v>616</v>
      </c>
      <c r="E177" s="747"/>
      <c r="F177" s="747"/>
      <c r="G177" s="747"/>
      <c r="H177" s="747"/>
      <c r="I177" s="748"/>
    </row>
    <row r="178" spans="2:9" ht="31" customHeight="1" outlineLevel="1">
      <c r="B178" s="493" t="s">
        <v>873</v>
      </c>
      <c r="C178" s="488" t="s">
        <v>874</v>
      </c>
      <c r="D178" s="452"/>
      <c r="E178" s="452"/>
      <c r="F178" s="452">
        <v>3538</v>
      </c>
      <c r="G178" s="452"/>
      <c r="H178" s="452"/>
      <c r="I178" s="494"/>
    </row>
    <row r="179" spans="2:9" ht="31" customHeight="1" outlineLevel="1">
      <c r="B179" s="493" t="s">
        <v>875</v>
      </c>
      <c r="C179" s="488" t="s">
        <v>876</v>
      </c>
      <c r="D179" s="452"/>
      <c r="E179" s="452"/>
      <c r="F179" s="452">
        <v>90.19</v>
      </c>
      <c r="G179" s="452"/>
      <c r="H179" s="452"/>
      <c r="I179" s="494"/>
    </row>
    <row r="180" spans="2:9" ht="31" customHeight="1" outlineLevel="1">
      <c r="B180" s="493" t="s">
        <v>877</v>
      </c>
      <c r="C180" s="488" t="s">
        <v>878</v>
      </c>
      <c r="D180" s="452"/>
      <c r="E180" s="452"/>
      <c r="F180" s="452">
        <v>257</v>
      </c>
      <c r="G180" s="452"/>
      <c r="H180" s="452"/>
      <c r="I180" s="494"/>
    </row>
    <row r="181" spans="2:9" ht="31" customHeight="1" outlineLevel="1">
      <c r="B181" s="493" t="s">
        <v>879</v>
      </c>
      <c r="C181" s="488" t="s">
        <v>880</v>
      </c>
      <c r="D181" s="452"/>
      <c r="E181" s="452"/>
      <c r="F181" s="452">
        <v>2475.25</v>
      </c>
      <c r="G181" s="452"/>
      <c r="H181" s="452"/>
      <c r="I181" s="494"/>
    </row>
    <row r="182" spans="2:9" ht="31" customHeight="1" outlineLevel="1">
      <c r="B182" s="493" t="s">
        <v>881</v>
      </c>
      <c r="C182" s="488" t="s">
        <v>882</v>
      </c>
      <c r="D182" s="452"/>
      <c r="E182" s="452"/>
      <c r="F182" s="452">
        <v>2164.94</v>
      </c>
      <c r="G182" s="452"/>
      <c r="H182" s="452"/>
      <c r="I182" s="494"/>
    </row>
    <row r="183" spans="2:9" ht="31" customHeight="1" outlineLevel="1">
      <c r="B183" s="493" t="s">
        <v>883</v>
      </c>
      <c r="C183" s="488" t="s">
        <v>884</v>
      </c>
      <c r="D183" s="452"/>
      <c r="E183" s="452"/>
      <c r="F183" s="452">
        <v>0</v>
      </c>
      <c r="G183" s="452"/>
      <c r="H183" s="452"/>
      <c r="I183" s="494"/>
    </row>
    <row r="184" spans="2:9" ht="31" customHeight="1" outlineLevel="1">
      <c r="B184" s="495"/>
      <c r="C184" s="486"/>
      <c r="D184" s="486"/>
      <c r="E184" s="486"/>
      <c r="F184" s="486"/>
      <c r="G184" s="486"/>
      <c r="H184" s="486"/>
      <c r="I184" s="496"/>
    </row>
    <row r="185" spans="2:9" ht="31" customHeight="1" outlineLevel="1">
      <c r="B185" s="770" t="s">
        <v>591</v>
      </c>
      <c r="C185" s="701"/>
      <c r="D185" s="701"/>
      <c r="E185" s="701"/>
      <c r="F185" s="701"/>
      <c r="G185" s="701"/>
      <c r="H185" s="701"/>
      <c r="I185" s="771"/>
    </row>
    <row r="186" spans="2:9" ht="31" customHeight="1" outlineLevel="1">
      <c r="B186" s="751" t="s">
        <v>589</v>
      </c>
      <c r="C186" s="703"/>
      <c r="D186" s="784" t="s">
        <v>616</v>
      </c>
      <c r="E186" s="747"/>
      <c r="F186" s="747"/>
      <c r="G186" s="747"/>
      <c r="H186" s="747"/>
      <c r="I186" s="748"/>
    </row>
    <row r="187" spans="2:9" ht="31" customHeight="1" outlineLevel="1">
      <c r="B187" s="493" t="s">
        <v>873</v>
      </c>
      <c r="C187" s="488" t="s">
        <v>874</v>
      </c>
      <c r="D187" s="452"/>
      <c r="E187" s="452"/>
      <c r="F187" s="452">
        <f>F178</f>
        <v>3538</v>
      </c>
      <c r="G187" s="452"/>
      <c r="H187" s="452"/>
      <c r="I187" s="494"/>
    </row>
    <row r="188" spans="2:9" ht="31" customHeight="1" outlineLevel="1">
      <c r="B188" s="493" t="s">
        <v>875</v>
      </c>
      <c r="C188" s="488" t="s">
        <v>876</v>
      </c>
      <c r="D188" s="452"/>
      <c r="E188" s="497"/>
      <c r="F188" s="452">
        <v>87.9</v>
      </c>
      <c r="G188" s="452"/>
      <c r="H188" s="452"/>
      <c r="I188" s="494"/>
    </row>
    <row r="189" spans="2:9" ht="31" customHeight="1" outlineLevel="1">
      <c r="B189" s="493" t="s">
        <v>877</v>
      </c>
      <c r="C189" s="488" t="s">
        <v>878</v>
      </c>
      <c r="D189" s="452"/>
      <c r="E189" s="452"/>
      <c r="F189" s="452">
        <v>258.99</v>
      </c>
      <c r="G189" s="452"/>
      <c r="H189" s="452"/>
      <c r="I189" s="494"/>
    </row>
    <row r="190" spans="2:9" ht="31" customHeight="1" outlineLevel="1">
      <c r="B190" s="493" t="s">
        <v>879</v>
      </c>
      <c r="C190" s="488" t="s">
        <v>880</v>
      </c>
      <c r="D190" s="452"/>
      <c r="E190" s="452"/>
      <c r="F190" s="452">
        <v>2476.2600000000002</v>
      </c>
      <c r="G190" s="452"/>
      <c r="H190" s="452"/>
      <c r="I190" s="494"/>
    </row>
    <row r="191" spans="2:9" ht="31" customHeight="1" outlineLevel="1">
      <c r="B191" s="493" t="s">
        <v>881</v>
      </c>
      <c r="C191" s="488" t="s">
        <v>882</v>
      </c>
      <c r="D191" s="452"/>
      <c r="E191" s="452"/>
      <c r="F191" s="452">
        <v>2166.7199999999998</v>
      </c>
      <c r="G191" s="452"/>
      <c r="H191" s="452"/>
      <c r="I191" s="494"/>
    </row>
    <row r="192" spans="2:9" ht="31" customHeight="1" outlineLevel="1">
      <c r="B192" s="493" t="s">
        <v>883</v>
      </c>
      <c r="C192" s="488" t="s">
        <v>884</v>
      </c>
      <c r="D192" s="452"/>
      <c r="E192" s="452"/>
      <c r="F192" s="452">
        <v>0.32</v>
      </c>
      <c r="G192" s="452"/>
      <c r="H192" s="452"/>
      <c r="I192" s="494"/>
    </row>
    <row r="193" spans="2:9" ht="31" customHeight="1" outlineLevel="1">
      <c r="B193" s="113"/>
      <c r="C193" s="12"/>
      <c r="D193" s="12"/>
      <c r="E193" s="12"/>
      <c r="F193" s="12"/>
      <c r="G193" s="12"/>
      <c r="H193" s="12"/>
      <c r="I193" s="49"/>
    </row>
    <row r="194" spans="2:9" ht="31" customHeight="1" outlineLevel="1">
      <c r="B194" s="772" t="s">
        <v>645</v>
      </c>
      <c r="C194" s="701"/>
      <c r="D194" s="701"/>
      <c r="E194" s="701"/>
      <c r="F194" s="701"/>
      <c r="G194" s="701"/>
      <c r="H194" s="701"/>
      <c r="I194" s="771"/>
    </row>
    <row r="195" spans="2:9" ht="31" customHeight="1" outlineLevel="1">
      <c r="B195" s="731" t="s">
        <v>589</v>
      </c>
      <c r="C195" s="703"/>
      <c r="D195" s="746" t="s">
        <v>616</v>
      </c>
      <c r="E195" s="747"/>
      <c r="F195" s="747"/>
      <c r="G195" s="747"/>
      <c r="H195" s="747"/>
      <c r="I195" s="748"/>
    </row>
    <row r="196" spans="2:9" ht="31" customHeight="1" outlineLevel="1">
      <c r="B196" s="125" t="s">
        <v>873</v>
      </c>
      <c r="C196" s="131" t="s">
        <v>874</v>
      </c>
      <c r="D196" s="110">
        <v>0</v>
      </c>
      <c r="E196" s="110">
        <v>0</v>
      </c>
      <c r="F196" s="110">
        <f t="shared" ref="F196:I201" si="1">F178-F187</f>
        <v>0</v>
      </c>
      <c r="G196" s="110">
        <f t="shared" si="1"/>
        <v>0</v>
      </c>
      <c r="H196" s="110">
        <f t="shared" si="1"/>
        <v>0</v>
      </c>
      <c r="I196" s="137">
        <f t="shared" si="1"/>
        <v>0</v>
      </c>
    </row>
    <row r="197" spans="2:9" ht="31" customHeight="1" outlineLevel="1">
      <c r="B197" s="125" t="s">
        <v>875</v>
      </c>
      <c r="C197" s="131" t="s">
        <v>876</v>
      </c>
      <c r="D197" s="110">
        <v>0</v>
      </c>
      <c r="E197" s="110">
        <v>0</v>
      </c>
      <c r="F197" s="110">
        <f t="shared" si="1"/>
        <v>2.289999999999992</v>
      </c>
      <c r="G197" s="110">
        <f t="shared" si="1"/>
        <v>0</v>
      </c>
      <c r="H197" s="110">
        <f t="shared" si="1"/>
        <v>0</v>
      </c>
      <c r="I197" s="137">
        <f t="shared" si="1"/>
        <v>0</v>
      </c>
    </row>
    <row r="198" spans="2:9" ht="31" customHeight="1" outlineLevel="1">
      <c r="B198" s="125" t="s">
        <v>877</v>
      </c>
      <c r="C198" s="131" t="s">
        <v>878</v>
      </c>
      <c r="D198" s="110">
        <v>0</v>
      </c>
      <c r="E198" s="110">
        <v>0</v>
      </c>
      <c r="F198" s="110">
        <f t="shared" si="1"/>
        <v>-1.9900000000000091</v>
      </c>
      <c r="G198" s="110">
        <f t="shared" si="1"/>
        <v>0</v>
      </c>
      <c r="H198" s="110">
        <f t="shared" si="1"/>
        <v>0</v>
      </c>
      <c r="I198" s="137">
        <f t="shared" si="1"/>
        <v>0</v>
      </c>
    </row>
    <row r="199" spans="2:9" ht="31" customHeight="1" outlineLevel="1">
      <c r="B199" s="125" t="s">
        <v>879</v>
      </c>
      <c r="C199" s="131" t="s">
        <v>880</v>
      </c>
      <c r="D199" s="110">
        <v>0</v>
      </c>
      <c r="E199" s="110">
        <v>0</v>
      </c>
      <c r="F199" s="110">
        <f t="shared" si="1"/>
        <v>-1.0100000000002183</v>
      </c>
      <c r="G199" s="110">
        <f t="shared" si="1"/>
        <v>0</v>
      </c>
      <c r="H199" s="110">
        <f t="shared" si="1"/>
        <v>0</v>
      </c>
      <c r="I199" s="137">
        <f t="shared" si="1"/>
        <v>0</v>
      </c>
    </row>
    <row r="200" spans="2:9" ht="31" customHeight="1" outlineLevel="1">
      <c r="B200" s="125" t="s">
        <v>881</v>
      </c>
      <c r="C200" s="131" t="s">
        <v>882</v>
      </c>
      <c r="D200" s="110">
        <v>0</v>
      </c>
      <c r="E200" s="110">
        <v>0</v>
      </c>
      <c r="F200" s="110">
        <f t="shared" si="1"/>
        <v>-1.7799999999997453</v>
      </c>
      <c r="G200" s="110">
        <f t="shared" si="1"/>
        <v>0</v>
      </c>
      <c r="H200" s="110">
        <f t="shared" si="1"/>
        <v>0</v>
      </c>
      <c r="I200" s="137">
        <f t="shared" si="1"/>
        <v>0</v>
      </c>
    </row>
    <row r="201" spans="2:9" ht="31" customHeight="1" outlineLevel="1">
      <c r="B201" s="125" t="s">
        <v>883</v>
      </c>
      <c r="C201" s="131" t="s">
        <v>884</v>
      </c>
      <c r="D201" s="110">
        <v>0</v>
      </c>
      <c r="E201" s="110">
        <v>0</v>
      </c>
      <c r="F201" s="110">
        <f t="shared" si="1"/>
        <v>-0.32</v>
      </c>
      <c r="G201" s="110">
        <f t="shared" si="1"/>
        <v>0</v>
      </c>
      <c r="H201" s="110">
        <f t="shared" si="1"/>
        <v>0</v>
      </c>
      <c r="I201" s="137">
        <f t="shared" si="1"/>
        <v>0</v>
      </c>
    </row>
    <row r="202" spans="2:9" ht="31" customHeight="1" outlineLevel="1">
      <c r="B202" s="113"/>
      <c r="C202" s="12"/>
      <c r="D202" s="12"/>
      <c r="E202" s="12"/>
      <c r="F202" s="12"/>
      <c r="G202" s="12"/>
      <c r="H202" s="12"/>
      <c r="I202" s="49"/>
    </row>
    <row r="203" spans="2:9" ht="31" customHeight="1" outlineLevel="1" thickBot="1">
      <c r="B203" s="749" t="s">
        <v>885</v>
      </c>
      <c r="C203" s="750"/>
      <c r="D203" s="750"/>
      <c r="E203" s="132"/>
      <c r="F203" s="133"/>
      <c r="G203" s="133"/>
      <c r="H203" s="133"/>
      <c r="I203" s="134"/>
    </row>
    <row r="204" spans="2:9" ht="31" customHeight="1">
      <c r="B204" s="12"/>
      <c r="C204" s="12"/>
      <c r="D204" s="12"/>
      <c r="E204" s="12"/>
      <c r="F204" s="12"/>
      <c r="G204" s="12"/>
      <c r="H204" s="12"/>
      <c r="I204" s="12"/>
    </row>
    <row r="205" spans="2:9" ht="31" customHeight="1" thickBot="1">
      <c r="B205" s="721" t="s">
        <v>886</v>
      </c>
      <c r="C205" s="613"/>
      <c r="D205" s="613"/>
      <c r="E205" s="613"/>
      <c r="F205" s="613"/>
      <c r="G205" s="613"/>
      <c r="H205" s="613"/>
      <c r="I205" s="613"/>
    </row>
    <row r="206" spans="2:9" ht="31" customHeight="1" outlineLevel="1">
      <c r="B206" s="718" t="s">
        <v>887</v>
      </c>
      <c r="C206" s="719"/>
      <c r="D206" s="719"/>
      <c r="E206" s="720"/>
      <c r="F206" s="718" t="s">
        <v>667</v>
      </c>
      <c r="G206" s="719"/>
      <c r="H206" s="719"/>
      <c r="I206" s="720"/>
    </row>
    <row r="207" spans="2:9" ht="31" customHeight="1" outlineLevel="1">
      <c r="B207" s="125" t="s">
        <v>9</v>
      </c>
      <c r="C207" s="131" t="s">
        <v>888</v>
      </c>
      <c r="D207" s="131" t="s">
        <v>584</v>
      </c>
      <c r="E207" s="135" t="s">
        <v>581</v>
      </c>
      <c r="F207" s="125" t="s">
        <v>234</v>
      </c>
      <c r="G207" s="488" t="s">
        <v>889</v>
      </c>
      <c r="H207" s="131" t="s">
        <v>671</v>
      </c>
      <c r="I207" s="135" t="s">
        <v>672</v>
      </c>
    </row>
    <row r="208" spans="2:9" ht="31" customHeight="1" outlineLevel="1">
      <c r="B208" s="125">
        <v>1</v>
      </c>
      <c r="C208" s="454" t="s">
        <v>890</v>
      </c>
      <c r="D208" s="108">
        <v>1</v>
      </c>
      <c r="E208" s="77"/>
      <c r="F208" s="136"/>
      <c r="G208" s="452">
        <v>24</v>
      </c>
      <c r="H208" s="452"/>
      <c r="I208" s="452">
        <v>1284</v>
      </c>
    </row>
    <row r="209" spans="2:9" ht="31" customHeight="1" outlineLevel="1">
      <c r="B209" s="125">
        <v>2</v>
      </c>
      <c r="C209" s="454" t="s">
        <v>891</v>
      </c>
      <c r="D209" s="108">
        <v>1</v>
      </c>
      <c r="E209" s="77"/>
      <c r="F209" s="136"/>
      <c r="G209" s="452"/>
      <c r="H209" s="452"/>
      <c r="I209" s="452"/>
    </row>
    <row r="210" spans="2:9" ht="31" customHeight="1" outlineLevel="1">
      <c r="B210" s="125">
        <v>3</v>
      </c>
      <c r="C210" s="454" t="s">
        <v>892</v>
      </c>
      <c r="D210" s="108">
        <v>1</v>
      </c>
      <c r="E210" s="77"/>
      <c r="F210" s="136"/>
      <c r="G210" s="452">
        <v>24</v>
      </c>
      <c r="H210" s="452"/>
      <c r="I210" s="452">
        <v>1157</v>
      </c>
    </row>
    <row r="211" spans="2:9" ht="31" customHeight="1" outlineLevel="1">
      <c r="B211" s="125">
        <v>4</v>
      </c>
      <c r="C211" s="454" t="s">
        <v>893</v>
      </c>
      <c r="D211" s="108">
        <v>1</v>
      </c>
      <c r="E211" s="77"/>
      <c r="F211" s="136"/>
      <c r="G211" s="452"/>
      <c r="H211" s="452"/>
      <c r="I211" s="452"/>
    </row>
    <row r="212" spans="2:9" ht="31" customHeight="1" outlineLevel="1">
      <c r="B212" s="125">
        <v>5</v>
      </c>
      <c r="C212" s="81" t="s">
        <v>894</v>
      </c>
      <c r="D212" s="108">
        <v>1</v>
      </c>
      <c r="E212" s="84"/>
      <c r="F212" s="136"/>
      <c r="G212" s="452">
        <v>24</v>
      </c>
      <c r="H212" s="452"/>
      <c r="I212" s="452">
        <v>407</v>
      </c>
    </row>
    <row r="213" spans="2:9" ht="31" customHeight="1" outlineLevel="1" thickBot="1">
      <c r="B213" s="427">
        <v>6</v>
      </c>
      <c r="C213" s="462"/>
      <c r="D213" s="463"/>
      <c r="E213" s="85"/>
      <c r="F213" s="136"/>
      <c r="G213" s="452">
        <v>16</v>
      </c>
      <c r="H213" s="452"/>
      <c r="I213" s="452"/>
    </row>
    <row r="214" spans="2:9" ht="31" customHeight="1" outlineLevel="1">
      <c r="B214" s="459">
        <v>7</v>
      </c>
      <c r="C214" s="460" t="s">
        <v>895</v>
      </c>
      <c r="D214" s="461"/>
      <c r="E214" s="319" t="s">
        <v>142</v>
      </c>
      <c r="F214" s="136"/>
      <c r="G214" s="452">
        <v>11</v>
      </c>
      <c r="H214" s="452"/>
      <c r="I214" s="452">
        <v>376</v>
      </c>
    </row>
    <row r="215" spans="2:9" ht="31" customHeight="1" outlineLevel="1" thickBot="1">
      <c r="B215" s="427">
        <v>8</v>
      </c>
      <c r="C215" s="462" t="s">
        <v>896</v>
      </c>
      <c r="D215" s="463"/>
      <c r="E215" s="97" t="s">
        <v>142</v>
      </c>
      <c r="F215" s="136"/>
      <c r="G215" s="452">
        <v>16</v>
      </c>
      <c r="H215" s="452"/>
      <c r="I215" s="452"/>
    </row>
    <row r="216" spans="2:9" ht="31" customHeight="1" outlineLevel="1">
      <c r="B216" s="459">
        <v>9</v>
      </c>
      <c r="C216" s="316"/>
      <c r="D216" s="316"/>
      <c r="E216" s="319"/>
      <c r="F216" s="136"/>
      <c r="G216" s="452">
        <v>16</v>
      </c>
      <c r="H216" s="452"/>
      <c r="I216" s="487"/>
    </row>
    <row r="217" spans="2:9" ht="31" customHeight="1" outlineLevel="1">
      <c r="B217" s="125">
        <v>10</v>
      </c>
      <c r="C217" s="425"/>
      <c r="D217" s="425"/>
      <c r="E217" s="458"/>
      <c r="F217" s="136"/>
      <c r="G217" s="452">
        <v>13</v>
      </c>
      <c r="H217" s="452"/>
      <c r="I217" s="487"/>
    </row>
    <row r="218" spans="2:9" ht="31" customHeight="1" outlineLevel="1">
      <c r="B218" s="125">
        <v>11</v>
      </c>
      <c r="C218" s="467"/>
      <c r="D218" s="425"/>
      <c r="E218" s="426"/>
      <c r="F218" s="136"/>
      <c r="G218" s="452"/>
      <c r="H218" s="452"/>
      <c r="I218" s="452"/>
    </row>
    <row r="219" spans="2:9" ht="31" customHeight="1" outlineLevel="1">
      <c r="B219" s="125">
        <v>12</v>
      </c>
      <c r="C219" s="425"/>
      <c r="D219" s="425"/>
      <c r="E219" s="426"/>
      <c r="F219" s="136"/>
      <c r="G219" s="452">
        <v>0</v>
      </c>
      <c r="H219" s="452"/>
      <c r="I219" s="487"/>
    </row>
    <row r="220" spans="2:9" ht="32.25" customHeight="1" outlineLevel="1">
      <c r="B220" s="125">
        <v>13</v>
      </c>
      <c r="C220" s="425"/>
      <c r="D220" s="425"/>
      <c r="E220" s="426"/>
      <c r="F220" s="136"/>
      <c r="G220" s="452">
        <v>0</v>
      </c>
      <c r="H220" s="452"/>
      <c r="I220" s="487"/>
    </row>
    <row r="221" spans="2:9" ht="31" customHeight="1" outlineLevel="1" thickBot="1">
      <c r="B221" s="125">
        <v>14</v>
      </c>
      <c r="C221" s="82"/>
      <c r="D221" s="82"/>
      <c r="E221" s="85"/>
      <c r="F221" s="138" t="s">
        <v>897</v>
      </c>
      <c r="G221" s="479"/>
      <c r="H221" s="479">
        <f>SUM(H208:H220)</f>
        <v>0</v>
      </c>
      <c r="I221" s="479">
        <f>SUM(I208:I220)</f>
        <v>3224</v>
      </c>
    </row>
    <row r="222" spans="2:9" ht="31" customHeight="1">
      <c r="B222" s="12"/>
      <c r="C222" s="12"/>
      <c r="D222" s="12"/>
      <c r="E222" s="12"/>
      <c r="F222" s="12"/>
      <c r="G222" s="12"/>
      <c r="H222" s="12"/>
      <c r="I222" s="12"/>
    </row>
    <row r="223" spans="2:9" ht="31" customHeight="1" thickBot="1">
      <c r="B223" s="721" t="s">
        <v>898</v>
      </c>
      <c r="C223" s="613"/>
      <c r="D223" s="613"/>
      <c r="E223" s="613"/>
      <c r="F223" s="613"/>
      <c r="G223" s="613"/>
      <c r="H223" s="613"/>
      <c r="I223" s="613"/>
    </row>
    <row r="224" spans="2:9" ht="31" customHeight="1" outlineLevel="1">
      <c r="B224" s="123" t="s">
        <v>899</v>
      </c>
      <c r="C224" s="124" t="s">
        <v>675</v>
      </c>
      <c r="D224" s="124" t="s">
        <v>900</v>
      </c>
      <c r="E224" s="124" t="s">
        <v>901</v>
      </c>
      <c r="F224" s="124" t="s">
        <v>678</v>
      </c>
      <c r="G224" s="124" t="s">
        <v>679</v>
      </c>
      <c r="H224" s="124" t="s">
        <v>902</v>
      </c>
      <c r="I224" s="31" t="s">
        <v>681</v>
      </c>
    </row>
    <row r="225" spans="2:9" ht="31" customHeight="1" outlineLevel="1">
      <c r="B225" s="139">
        <v>5</v>
      </c>
      <c r="C225" s="80">
        <v>3</v>
      </c>
      <c r="D225" s="80">
        <v>8</v>
      </c>
      <c r="E225" s="80">
        <v>9</v>
      </c>
      <c r="F225" s="80">
        <v>1</v>
      </c>
      <c r="G225" s="80">
        <v>15</v>
      </c>
      <c r="H225" s="80">
        <v>4</v>
      </c>
      <c r="I225" s="137">
        <f>SUM(B225:H225)</f>
        <v>45</v>
      </c>
    </row>
    <row r="226" spans="2:9" ht="31" customHeight="1" outlineLevel="1">
      <c r="B226" s="113"/>
      <c r="C226" s="12"/>
      <c r="D226" s="12"/>
      <c r="E226" s="12"/>
      <c r="F226" s="340"/>
      <c r="G226" s="12"/>
      <c r="H226" s="12"/>
      <c r="I226" s="49"/>
    </row>
    <row r="227" spans="2:9" ht="31" customHeight="1" outlineLevel="1">
      <c r="B227" s="731" t="s">
        <v>682</v>
      </c>
      <c r="C227" s="701"/>
      <c r="D227" s="701"/>
      <c r="E227" s="703"/>
      <c r="F227" s="12"/>
      <c r="G227" s="746" t="s">
        <v>683</v>
      </c>
      <c r="H227" s="747"/>
      <c r="I227" s="748"/>
    </row>
    <row r="228" spans="2:9" ht="31" customHeight="1" outlineLevel="1">
      <c r="B228" s="731" t="s">
        <v>684</v>
      </c>
      <c r="C228" s="703"/>
      <c r="D228" s="740" t="s">
        <v>685</v>
      </c>
      <c r="E228" s="636"/>
      <c r="F228" s="12"/>
      <c r="G228" s="131" t="s">
        <v>684</v>
      </c>
      <c r="H228" s="758" t="s">
        <v>685</v>
      </c>
      <c r="I228" s="759"/>
    </row>
    <row r="229" spans="2:9" ht="31" customHeight="1" outlineLevel="1">
      <c r="B229" s="700"/>
      <c r="C229" s="701"/>
      <c r="D229" s="430"/>
      <c r="E229" s="294"/>
      <c r="F229" s="12"/>
      <c r="G229" s="140" t="s">
        <v>903</v>
      </c>
      <c r="H229" s="313" t="s">
        <v>904</v>
      </c>
      <c r="I229" s="105"/>
    </row>
    <row r="230" spans="2:9" ht="33.75" customHeight="1" outlineLevel="1">
      <c r="B230" s="700" t="s">
        <v>905</v>
      </c>
      <c r="C230" s="701"/>
      <c r="D230" s="81" t="s">
        <v>906</v>
      </c>
      <c r="E230" s="294"/>
      <c r="F230" s="12"/>
      <c r="G230" s="140" t="s">
        <v>907</v>
      </c>
      <c r="H230" s="422" t="s">
        <v>908</v>
      </c>
      <c r="I230" s="28"/>
    </row>
    <row r="231" spans="2:9" ht="31" customHeight="1" outlineLevel="1">
      <c r="B231" s="700" t="s">
        <v>692</v>
      </c>
      <c r="C231" s="701"/>
      <c r="D231" s="79" t="s">
        <v>909</v>
      </c>
      <c r="E231" s="294"/>
      <c r="F231" s="12"/>
      <c r="G231" s="140" t="s">
        <v>910</v>
      </c>
      <c r="H231" s="430" t="s">
        <v>702</v>
      </c>
      <c r="I231" s="28"/>
    </row>
    <row r="232" spans="2:9" ht="31" customHeight="1" outlineLevel="1">
      <c r="B232" s="700" t="s">
        <v>911</v>
      </c>
      <c r="C232" s="701"/>
      <c r="D232" s="79" t="s">
        <v>912</v>
      </c>
      <c r="E232" s="294"/>
      <c r="F232" s="12"/>
      <c r="G232" s="140"/>
      <c r="H232" s="60"/>
      <c r="I232" s="28"/>
    </row>
    <row r="233" spans="2:9" ht="31" customHeight="1" outlineLevel="1" thickBot="1">
      <c r="B233" s="769"/>
      <c r="C233" s="750"/>
      <c r="D233" s="83"/>
      <c r="E233" s="295"/>
      <c r="F233" s="62"/>
      <c r="G233" s="141"/>
      <c r="H233" s="63"/>
      <c r="I233" s="65"/>
    </row>
    <row r="234" spans="2:9" ht="31" customHeight="1">
      <c r="B234" s="142"/>
      <c r="C234" s="142"/>
      <c r="D234" s="27"/>
      <c r="E234" s="27"/>
      <c r="F234" s="12"/>
      <c r="G234" s="142"/>
      <c r="H234" s="27"/>
      <c r="I234" s="27"/>
    </row>
    <row r="235" spans="2:9" ht="31" customHeight="1">
      <c r="B235" s="744" t="s">
        <v>913</v>
      </c>
      <c r="C235" s="613"/>
      <c r="D235" s="613"/>
      <c r="E235" s="613"/>
      <c r="F235" s="613"/>
      <c r="G235" s="613"/>
      <c r="H235" s="613"/>
      <c r="I235" s="613"/>
    </row>
    <row r="236" spans="2:9" ht="31" customHeight="1" outlineLevel="1">
      <c r="B236" s="734" t="s">
        <v>695</v>
      </c>
      <c r="C236" s="431" t="s">
        <v>914</v>
      </c>
      <c r="D236" s="431" t="s">
        <v>915</v>
      </c>
      <c r="E236" s="431" t="s">
        <v>916</v>
      </c>
      <c r="F236" s="431" t="s">
        <v>917</v>
      </c>
      <c r="G236" s="432" t="s">
        <v>98</v>
      </c>
      <c r="H236" s="431" t="s">
        <v>542</v>
      </c>
      <c r="I236" s="433" t="s">
        <v>918</v>
      </c>
    </row>
    <row r="237" spans="2:9" ht="31" customHeight="1" outlineLevel="1">
      <c r="B237" s="735"/>
      <c r="C237" s="432" t="str">
        <f>D26</f>
        <v>ООО "НСК Эшелон"</v>
      </c>
      <c r="D237" s="431" t="str">
        <f>D27</f>
        <v>ООО "Интер-Сервис"</v>
      </c>
      <c r="E237" s="431" t="s">
        <v>751</v>
      </c>
      <c r="F237" s="431" t="s">
        <v>747</v>
      </c>
      <c r="G237" s="432" t="str">
        <f>D30</f>
        <v>ПФ «Востокгазгеофизика»</v>
      </c>
      <c r="H237" s="431" t="str">
        <f>D31</f>
        <v>ООО "ЦЦС"</v>
      </c>
      <c r="I237" s="434" t="s">
        <v>919</v>
      </c>
    </row>
    <row r="238" spans="2:9" ht="31" customHeight="1" outlineLevel="1">
      <c r="B238" s="110" t="s">
        <v>696</v>
      </c>
      <c r="C238" s="428">
        <v>2</v>
      </c>
      <c r="D238" s="429">
        <v>3</v>
      </c>
      <c r="E238" s="429">
        <v>4</v>
      </c>
      <c r="F238" s="429">
        <v>1</v>
      </c>
      <c r="G238" s="428">
        <v>0</v>
      </c>
      <c r="H238" s="429">
        <v>0</v>
      </c>
      <c r="I238" s="429">
        <v>2</v>
      </c>
    </row>
    <row r="239" spans="2:9">
      <c r="B239" s="12"/>
      <c r="C239" s="12"/>
      <c r="D239" s="12"/>
      <c r="E239" s="12"/>
      <c r="F239" s="12"/>
      <c r="G239" s="12"/>
      <c r="H239" s="12"/>
      <c r="I239" s="12"/>
    </row>
    <row r="240" spans="2:9">
      <c r="B240" s="12"/>
      <c r="C240" s="12"/>
      <c r="D240" s="12"/>
      <c r="E240" s="12"/>
      <c r="F240" s="12"/>
      <c r="G240" s="12"/>
      <c r="H240" s="12"/>
      <c r="I240" s="12"/>
    </row>
    <row r="241" spans="2:9">
      <c r="B241" s="12"/>
      <c r="C241" s="12"/>
      <c r="D241" s="12"/>
      <c r="E241" s="12"/>
      <c r="F241" s="12"/>
      <c r="G241" s="12"/>
      <c r="H241" s="12"/>
      <c r="I241" s="12"/>
    </row>
    <row r="242" spans="2:9">
      <c r="B242" s="12"/>
      <c r="C242" s="12"/>
      <c r="D242" s="12"/>
      <c r="E242" s="12"/>
      <c r="F242" s="12"/>
      <c r="G242" s="12"/>
      <c r="H242" s="12"/>
      <c r="I242" s="12"/>
    </row>
    <row r="243" spans="2:9">
      <c r="B243" s="12"/>
      <c r="C243" s="12"/>
      <c r="D243" s="12"/>
      <c r="E243" s="12"/>
      <c r="F243" s="12"/>
      <c r="G243" s="12"/>
      <c r="H243" s="12"/>
      <c r="I243" s="12"/>
    </row>
    <row r="244" spans="2:9">
      <c r="B244" s="12"/>
      <c r="C244" s="12"/>
      <c r="D244" s="12"/>
      <c r="E244" s="12"/>
      <c r="F244" s="12"/>
      <c r="G244" s="12"/>
      <c r="H244" s="12"/>
      <c r="I244" s="12"/>
    </row>
    <row r="245" spans="2:9">
      <c r="B245" s="12"/>
      <c r="C245" s="12"/>
      <c r="D245" s="12"/>
      <c r="E245" s="12"/>
      <c r="F245" s="12"/>
      <c r="G245" s="12"/>
      <c r="H245" s="12"/>
      <c r="I245" s="12"/>
    </row>
    <row r="246" spans="2:9">
      <c r="B246" s="12"/>
      <c r="C246" s="12"/>
      <c r="D246" s="12"/>
      <c r="E246" s="12"/>
      <c r="F246" s="12"/>
      <c r="G246" s="12"/>
      <c r="H246" s="12"/>
      <c r="I246" s="12"/>
    </row>
    <row r="247" spans="2:9">
      <c r="B247" s="12"/>
      <c r="C247" s="12"/>
      <c r="D247" s="12"/>
      <c r="E247" s="12"/>
      <c r="F247" s="12"/>
      <c r="G247" s="12"/>
      <c r="H247" s="12"/>
      <c r="I247" s="12"/>
    </row>
    <row r="248" spans="2:9">
      <c r="B248" s="12"/>
      <c r="C248" s="12"/>
      <c r="D248" s="12"/>
      <c r="E248" s="12"/>
      <c r="F248" s="12"/>
      <c r="G248" s="12"/>
      <c r="H248" s="12"/>
      <c r="I248" s="12"/>
    </row>
    <row r="249" spans="2:9">
      <c r="B249" s="12"/>
      <c r="C249" s="12"/>
      <c r="D249" s="12"/>
      <c r="E249" s="12"/>
      <c r="F249" s="12"/>
      <c r="G249" s="12"/>
      <c r="H249" s="12"/>
      <c r="I249" s="12"/>
    </row>
  </sheetData>
  <mergeCells count="131">
    <mergeCell ref="B4:I4"/>
    <mergeCell ref="B5:C5"/>
    <mergeCell ref="B20:C20"/>
    <mergeCell ref="B76:C76"/>
    <mergeCell ref="B85:C85"/>
    <mergeCell ref="B169:I169"/>
    <mergeCell ref="B94:C94"/>
    <mergeCell ref="B126:C126"/>
    <mergeCell ref="B75:C75"/>
    <mergeCell ref="F136:F145"/>
    <mergeCell ref="B150:C150"/>
    <mergeCell ref="B70:C70"/>
    <mergeCell ref="B136:C136"/>
    <mergeCell ref="B145:C145"/>
    <mergeCell ref="B151:B154"/>
    <mergeCell ref="G163:I163"/>
    <mergeCell ref="B8:C8"/>
    <mergeCell ref="B87:C87"/>
    <mergeCell ref="B147:C147"/>
    <mergeCell ref="D101:G108"/>
    <mergeCell ref="B128:C128"/>
    <mergeCell ref="B34:I34"/>
    <mergeCell ref="B10:C10"/>
    <mergeCell ref="B137:C137"/>
    <mergeCell ref="B74:C74"/>
    <mergeCell ref="D1:E1"/>
    <mergeCell ref="B81:C81"/>
    <mergeCell ref="B156:I156"/>
    <mergeCell ref="B121:C121"/>
    <mergeCell ref="B122:C122"/>
    <mergeCell ref="B96:C96"/>
    <mergeCell ref="B71:C71"/>
    <mergeCell ref="B228:C228"/>
    <mergeCell ref="B120:C120"/>
    <mergeCell ref="C99:G99"/>
    <mergeCell ref="B17:C17"/>
    <mergeCell ref="B88:C88"/>
    <mergeCell ref="B148:C148"/>
    <mergeCell ref="H228:I228"/>
    <mergeCell ref="B82:C82"/>
    <mergeCell ref="F124:F126"/>
    <mergeCell ref="B116:I116"/>
    <mergeCell ref="B69:I69"/>
    <mergeCell ref="B19:C19"/>
    <mergeCell ref="B146:C146"/>
    <mergeCell ref="B28:C28"/>
    <mergeCell ref="B205:I205"/>
    <mergeCell ref="B124:B125"/>
    <mergeCell ref="B9:C9"/>
    <mergeCell ref="B6:C6"/>
    <mergeCell ref="B15:C15"/>
    <mergeCell ref="B33:I33"/>
    <mergeCell ref="B142:C142"/>
    <mergeCell ref="B95:C95"/>
    <mergeCell ref="F117:F120"/>
    <mergeCell ref="B89:C89"/>
    <mergeCell ref="B144:C144"/>
    <mergeCell ref="D195:I195"/>
    <mergeCell ref="B7:C7"/>
    <mergeCell ref="B72:C72"/>
    <mergeCell ref="B83:C83"/>
    <mergeCell ref="B143:C143"/>
    <mergeCell ref="B92:C92"/>
    <mergeCell ref="B30:C30"/>
    <mergeCell ref="F146:F154"/>
    <mergeCell ref="B185:I185"/>
    <mergeCell ref="B194:I194"/>
    <mergeCell ref="B139:C139"/>
    <mergeCell ref="D186:I186"/>
    <mergeCell ref="B123:C123"/>
    <mergeCell ref="B11:C11"/>
    <mergeCell ref="B117:C117"/>
    <mergeCell ref="B235:I235"/>
    <mergeCell ref="B231:C231"/>
    <mergeCell ref="B132:C132"/>
    <mergeCell ref="G227:I227"/>
    <mergeCell ref="D177:I177"/>
    <mergeCell ref="B119:C119"/>
    <mergeCell ref="B29:C29"/>
    <mergeCell ref="B203:D203"/>
    <mergeCell ref="B230:C230"/>
    <mergeCell ref="B186:C186"/>
    <mergeCell ref="B84:C84"/>
    <mergeCell ref="B118:C118"/>
    <mergeCell ref="F127:F129"/>
    <mergeCell ref="B233:C233"/>
    <mergeCell ref="B223:I223"/>
    <mergeCell ref="B229:C229"/>
    <mergeCell ref="B227:E227"/>
    <mergeCell ref="H170:I170"/>
    <mergeCell ref="B236:B237"/>
    <mergeCell ref="B26:C26"/>
    <mergeCell ref="F121:F123"/>
    <mergeCell ref="D228:E228"/>
    <mergeCell ref="B129:C129"/>
    <mergeCell ref="F130:F132"/>
    <mergeCell ref="B138:C138"/>
    <mergeCell ref="B16:C16"/>
    <mergeCell ref="B25:C25"/>
    <mergeCell ref="B90:C90"/>
    <mergeCell ref="B131:C131"/>
    <mergeCell ref="B140:C140"/>
    <mergeCell ref="B27:C27"/>
    <mergeCell ref="B18:C18"/>
    <mergeCell ref="B130:C130"/>
    <mergeCell ref="B195:C195"/>
    <mergeCell ref="B206:E206"/>
    <mergeCell ref="B91:C91"/>
    <mergeCell ref="B135:I135"/>
    <mergeCell ref="B232:C232"/>
    <mergeCell ref="B141:C141"/>
    <mergeCell ref="B22:C22"/>
    <mergeCell ref="B93:C93"/>
    <mergeCell ref="B149:C149"/>
    <mergeCell ref="B31:C31"/>
    <mergeCell ref="B12:C12"/>
    <mergeCell ref="B56:I56"/>
    <mergeCell ref="B77:C77"/>
    <mergeCell ref="B21:C21"/>
    <mergeCell ref="B86:C86"/>
    <mergeCell ref="B176:I176"/>
    <mergeCell ref="F206:I206"/>
    <mergeCell ref="B14:C14"/>
    <mergeCell ref="B98:I98"/>
    <mergeCell ref="F29:F31"/>
    <mergeCell ref="B175:I175"/>
    <mergeCell ref="B13:C13"/>
    <mergeCell ref="B162:I162"/>
    <mergeCell ref="B127:C127"/>
    <mergeCell ref="B24:C24"/>
    <mergeCell ref="B177:C177"/>
  </mergeCells>
  <dataValidations count="1">
    <dataValidation type="list" allowBlank="1" showInputMessage="1" showErrorMessage="1" sqref="D26:D31" xr:uid="{00000000-0002-0000-0300-000000000000}">
      <formula1>Под</formula1>
    </dataValidation>
  </dataValidations>
  <hyperlinks>
    <hyperlink ref="G6" r:id="rId1" xr:uid="{00000000-0004-0000-0300-000000000000}"/>
  </hyperlinks>
  <pageMargins left="0.70866141732283472" right="0.70866141732283472" top="0.74803149606299213" bottom="0.74803149606299213" header="0.31496062992125978" footer="0.31496062992125978"/>
  <pageSetup paperSize="8" scale="15" orientation="portrait"/>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pageSetUpPr fitToPage="1"/>
  </sheetPr>
  <dimension ref="A1:AL39"/>
  <sheetViews>
    <sheetView showGridLines="0" zoomScale="70" zoomScaleNormal="70" zoomScalePageLayoutView="118" workbookViewId="0">
      <selection activeCell="K11" sqref="K11"/>
    </sheetView>
  </sheetViews>
  <sheetFormatPr defaultColWidth="4.15234375" defaultRowHeight="15" customHeight="1"/>
  <cols>
    <col min="1" max="8" width="4.84375" customWidth="1"/>
    <col min="9" max="19" width="10.53515625" customWidth="1"/>
    <col min="20" max="20" width="28" customWidth="1"/>
    <col min="21" max="21" width="29.69140625" customWidth="1"/>
    <col min="22" max="22" width="12.3046875" customWidth="1"/>
    <col min="23" max="23" width="4.84375" bestFit="1" customWidth="1"/>
    <col min="24" max="24" width="2.53515625" customWidth="1"/>
    <col min="25" max="26" width="4" customWidth="1"/>
    <col min="27" max="35" width="6.84375" customWidth="1"/>
  </cols>
  <sheetData>
    <row r="1" spans="1:38" ht="15" customHeight="1">
      <c r="AB1" s="355"/>
      <c r="AC1" s="355"/>
      <c r="AD1" s="355"/>
      <c r="AE1" s="355"/>
      <c r="AF1" s="813"/>
      <c r="AG1" s="794"/>
      <c r="AH1" s="794"/>
    </row>
    <row r="2" spans="1:38" ht="15" customHeight="1">
      <c r="K2" s="806" t="s">
        <v>920</v>
      </c>
      <c r="L2" s="794"/>
      <c r="M2" s="794"/>
      <c r="N2" s="386">
        <f ca="1">TODAY()</f>
        <v>46202</v>
      </c>
      <c r="P2" s="253" t="s">
        <v>921</v>
      </c>
      <c r="Q2" s="9">
        <f>'2. Для заполнения'!F1</f>
        <v>2</v>
      </c>
      <c r="U2" s="253"/>
      <c r="V2" s="253"/>
      <c r="W2" s="253"/>
      <c r="X2" s="253"/>
      <c r="Y2" s="253"/>
      <c r="Z2" s="253"/>
      <c r="AA2" s="253"/>
      <c r="AB2" s="354"/>
      <c r="AC2" s="354"/>
      <c r="AD2" s="354"/>
      <c r="AE2" s="354"/>
      <c r="AF2" s="807"/>
      <c r="AG2" s="794"/>
      <c r="AH2" s="794"/>
    </row>
    <row r="3" spans="1:38" ht="15" customHeight="1">
      <c r="U3" s="253"/>
      <c r="V3" s="253"/>
      <c r="W3" s="253"/>
      <c r="X3" s="253"/>
      <c r="Y3" s="253"/>
      <c r="Z3" s="253"/>
      <c r="AA3" s="253"/>
      <c r="AB3" s="354"/>
      <c r="AC3" s="354"/>
      <c r="AD3" s="354"/>
      <c r="AE3" s="354"/>
      <c r="AF3" s="807"/>
      <c r="AG3" s="794"/>
      <c r="AH3" s="794"/>
    </row>
    <row r="4" spans="1:38" ht="100" customHeight="1">
      <c r="A4" s="356" t="s">
        <v>922</v>
      </c>
      <c r="B4" s="356" t="s">
        <v>3</v>
      </c>
      <c r="C4" s="356" t="s">
        <v>4</v>
      </c>
      <c r="D4" s="356" t="s">
        <v>923</v>
      </c>
      <c r="E4" s="356" t="s">
        <v>924</v>
      </c>
      <c r="F4" s="356" t="s">
        <v>925</v>
      </c>
      <c r="G4" s="356" t="s">
        <v>926</v>
      </c>
      <c r="H4" s="356" t="s">
        <v>927</v>
      </c>
      <c r="I4" s="817" t="s">
        <v>928</v>
      </c>
      <c r="J4" s="811"/>
      <c r="K4" s="811"/>
      <c r="L4" s="811"/>
      <c r="M4" s="811"/>
      <c r="N4" s="811"/>
      <c r="O4" s="811"/>
      <c r="P4" s="811"/>
      <c r="Q4" s="811"/>
      <c r="R4" s="811"/>
      <c r="S4" s="811"/>
      <c r="T4" s="357" t="s">
        <v>929</v>
      </c>
      <c r="U4" s="818" t="s">
        <v>930</v>
      </c>
      <c r="V4" s="809"/>
      <c r="W4" s="356" t="s">
        <v>931</v>
      </c>
      <c r="X4" s="356" t="s">
        <v>932</v>
      </c>
      <c r="Y4" s="787" t="s">
        <v>933</v>
      </c>
      <c r="Z4" s="788"/>
      <c r="AA4" s="796" t="s">
        <v>934</v>
      </c>
      <c r="AB4" s="797"/>
      <c r="AC4" s="797"/>
      <c r="AD4" s="797"/>
      <c r="AE4" s="797"/>
      <c r="AF4" s="797"/>
      <c r="AG4" s="797"/>
      <c r="AH4" s="797"/>
      <c r="AI4" s="798"/>
      <c r="AJ4" s="358"/>
      <c r="AK4" s="358"/>
      <c r="AL4" s="358"/>
    </row>
    <row r="5" spans="1:38" ht="60" customHeight="1">
      <c r="A5" s="799" t="s">
        <v>52</v>
      </c>
      <c r="B5" s="799">
        <v>26</v>
      </c>
      <c r="C5" s="816">
        <f>'2. Для заполнения'!D7</f>
        <v>330</v>
      </c>
      <c r="D5" s="368">
        <f>'0. Лист для печати'!E9</f>
        <v>324</v>
      </c>
      <c r="E5" s="369">
        <f>'0. Лист для печати'!F9</f>
        <v>50</v>
      </c>
      <c r="F5" s="370">
        <f>'0. Лист для печати'!G9</f>
        <v>0</v>
      </c>
      <c r="G5" s="785">
        <f ca="1">_xlfn.MAXIFS(Хронология[Забой, м], Хронология[Дата начала],'3. Краткая сводка'!N2-1)</f>
        <v>0</v>
      </c>
      <c r="H5" s="785">
        <f ca="1">_xlfn.MAXIFS(Хронология[Забой, м], Хронология[Дата начала],'3. Краткая сводка'!N2)</f>
        <v>0</v>
      </c>
      <c r="I5" s="800" t="str">
        <f>IF(AND('2. Для заполнения'!C36=" ",'2. Для заполнения'!D36=" ")," ",TEXT('2. Для заполнения'!C36,"ЧЧ:ММ")&amp;"-"&amp;TEXT('2. Для заполнения'!D36,"ЧЧ:ММ")&amp;": ")&amp;'2. Для заполнения'!F36&amp;(CHAR(10))&amp;
IF(AND('2. Для заполнения'!C37=" ",'2. Для заполнения'!D37=" ")," ",TEXT('2. Для заполнения'!C37,"ЧЧ:ММ")&amp;"-"&amp;TEXT('2. Для заполнения'!D37,"ЧЧ:ММ")&amp;": ")&amp;'2. Для заполнения'!F37&amp;(CHAR(10))&amp;
IF(AND('2. Для заполнения'!C38=" ",'2. Для заполнения'!D38=" ")," ",TEXT('2. Для заполнения'!C38,"ЧЧ:ММ")&amp;"-"&amp;TEXT('2. Для заполнения'!D38,"ЧЧ:ММ")&amp;": ")&amp;'2. Для заполнения'!F38&amp;(CHAR(10))&amp;
IF(AND('2. Для заполнения'!C39=" ",'2. Для заполнения'!D39=" ")," ",TEXT('2. Для заполнения'!C39,"ЧЧ:ММ")&amp;"-"&amp;TEXT('2. Для заполнения'!D39,"ЧЧ:ММ")&amp;": ")&amp;'2. Для заполнения'!F39&amp;(CHAR(10))&amp;
IF(AND('2. Для заполнения'!C40=" ",'2. Для заполнения'!D40=" ")," ",TEXT('2. Для заполнения'!C40,"ЧЧ:ММ")&amp;"-"&amp;TEXT('2. Для заполнения'!D40,"ЧЧ:ММ")&amp;": ")&amp;'2. Для заполнения'!F40&amp;(CHAR(10))&amp;
IF(AND('2. Для заполнения'!C41=" ",'2. Для заполнения'!D41=" ")," ",TEXT('2. Для заполнения'!C41,"ЧЧ:ММ")&amp;"-"&amp;TEXT('2. Для заполнения'!D41,"ЧЧ:ММ")&amp;": ")&amp;'2. Для заполнения'!F41&amp;(CHAR(10))&amp;
IF(AND('2. Для заполнения'!C42=" ",'2. Для заполнения'!D42=" ")," ",TEXT('2. Для заполнения'!C42,"ЧЧ:ММ")&amp;"-"&amp;TEXT('2. Для заполнения'!D42,"ЧЧ:ММ")&amp;": ")&amp;'2. Для заполнения'!F42&amp;(CHAR(10))&amp;
IF(AND('2. Для заполнения'!C43=" ",'2. Для заполнения'!D43=" ")," ",TEXT('2. Для заполнения'!C43,"ЧЧ:ММ")&amp;"-"&amp;TEXT('2. Для заполнения'!D43,"ЧЧ:ММ")&amp;": ")&amp;'2. Для заполнения'!F43&amp;(CHAR(10))&amp;
IF(AND('2. Для заполнения'!C44=" ",'2. Для заполнения'!D44=" ")," ",TEXT('2. Для заполнения'!C44,"ЧЧ:ММ")&amp;"-"&amp;TEXT('2. Для заполнения'!I4D44,"ЧЧ:ММ")&amp;": ")&amp;'2. Для заполнения'!F44&amp;(CHAR(10))&amp;
IF(AND('2. Для заполнения'!C45=" ",'2. Для заполнения'!D45=" ")," ",TEXT('2. Для заполнения'!C45,"ЧЧ:ММ")&amp;"-"&amp;TEXT('2. Для заполнения'!D45,"ЧЧ:ММ")&amp;": ")&amp;'2. Для заполнения'!F45&amp;(CHAR(10))&amp;
IF(AND('2. Для заполнения'!C46=" ",'2. Для заполнения'!D46=" ")," ",TEXT('2. Для заполнения'!C46,"ЧЧ:ММ")&amp;"-"&amp;TEXT('2. Для заполнения'!D46,"ЧЧ:ММ")&amp;": ")&amp;'2. Для заполнения'!F46&amp;(CHAR(10))&amp;
IF(AND('2. Для заполнения'!C47=" ",'2. Для заполнения'!D47=" ")," ",TEXT('2. Для заполнения'!C47,"ЧЧ:ММ")&amp;"-"&amp;TEXT('2. Для заполнения'!D47,"ЧЧ:ММ")&amp;": ")&amp;'2. Для заполнения'!F47&amp;(CHAR(10))&amp;
IF(AND('2. Для заполнения'!C48=" ",'2. Для заполнения'!D48=" ")," ",TEXT('2. Для заполнения'!C48,"ЧЧ:ММ")&amp;"-"&amp;TEXT('2. Для заполнения'!D48,"ЧЧ:ММ")&amp;": ")&amp;'2. Для заполнения'!F48&amp;(CHAR(10))&amp;
IF(AND('2. Для заполнения'!C49=" ",'2. Для заполнения'!D49=" ")," ",TEXT('2. Для заполнения'!C49,"ЧЧ:ММ")&amp;"-"&amp;TEXT('2. Для заполнения'!D49,"ЧЧ:ММ")&amp;": ")&amp;'2. Для заполнения'!F49&amp;(CHAR(10))&amp;
IF(AND('2. Для заполнения'!C50=" ",'2. Для заполнения'!D50=" ")," ",TEXT('2. Для заполнения'!C50,"ЧЧ:ММ")&amp;"-"&amp;TEXT('2. Для заполнения'!D50,"ЧЧ:ММ")&amp;": ")&amp;'2. Для заполнения'!F50&amp;(CHAR(10))&amp;
IF(AND('2. Для заполнения'!C51=" ",'2. Для заполнения'!D51=" ")," ",TEXT('2. Для заполнения'!C51,"ЧЧ:ММ")&amp;"-"&amp;TEXT('2. Для заполнения'!D51,"ЧЧ:ММ")&amp;": ")&amp;'2. Для заполнения'!F51&amp;(CHAR(10))&amp;
IF(AND('2. Для заполнения'!C52=" ",'2. Для заполнения'!D52=" ")," ",TEXT('2. Для заполнения'!C52,"ЧЧ:ММ")&amp;"-"&amp;TEXT('2. Для заполнения'!D52,"ЧЧ:ММ")&amp;": ")&amp;'2. Для заполнения'!F52&amp;(CHAR(10))</f>
        <v xml:space="preserve">  
</v>
      </c>
      <c r="J5" s="797"/>
      <c r="K5" s="797"/>
      <c r="L5" s="797"/>
      <c r="M5" s="797"/>
      <c r="N5" s="797"/>
      <c r="O5" s="797"/>
      <c r="P5" s="797"/>
      <c r="Q5" s="797"/>
      <c r="R5" s="797"/>
      <c r="S5" s="798"/>
      <c r="T5" s="814" t="s">
        <v>935</v>
      </c>
      <c r="U5" s="359" t="s">
        <v>936</v>
      </c>
      <c r="V5" s="360">
        <f>Планирование!X3</f>
        <v>46145.104166666672</v>
      </c>
      <c r="W5" s="785">
        <f ca="1">SUMIF(Хронология[Дата начала], N2-1, Хронология[Проходка, м])</f>
        <v>0</v>
      </c>
      <c r="X5" s="789"/>
      <c r="Y5" s="384" t="s">
        <v>937</v>
      </c>
      <c r="Z5" s="382">
        <v>-27</v>
      </c>
      <c r="AA5" s="380" t="s">
        <v>938</v>
      </c>
      <c r="AB5" s="791" t="s">
        <v>939</v>
      </c>
      <c r="AC5" s="792"/>
      <c r="AD5" s="792"/>
      <c r="AE5" s="792"/>
      <c r="AF5" s="792"/>
      <c r="AG5" s="792"/>
      <c r="AH5" s="792"/>
      <c r="AI5" s="788"/>
      <c r="AJ5" s="323"/>
      <c r="AK5" s="323"/>
      <c r="AL5" s="323"/>
    </row>
    <row r="6" spans="1:38" ht="60" customHeight="1">
      <c r="A6" s="786"/>
      <c r="B6" s="786"/>
      <c r="C6" s="801"/>
      <c r="D6" s="371">
        <f>'0. Лист для печати'!E10</f>
        <v>245</v>
      </c>
      <c r="E6" s="372">
        <f>'0. Лист для печати'!F10</f>
        <v>1150.51</v>
      </c>
      <c r="F6" s="373">
        <f>'0. Лист для печати'!G10</f>
        <v>0</v>
      </c>
      <c r="G6" s="786"/>
      <c r="H6" s="786"/>
      <c r="I6" s="801"/>
      <c r="J6" s="794"/>
      <c r="K6" s="794"/>
      <c r="L6" s="794"/>
      <c r="M6" s="794"/>
      <c r="N6" s="794"/>
      <c r="O6" s="794"/>
      <c r="P6" s="794"/>
      <c r="Q6" s="794"/>
      <c r="R6" s="794"/>
      <c r="S6" s="802"/>
      <c r="T6" s="786"/>
      <c r="U6" s="361" t="s">
        <v>940</v>
      </c>
      <c r="V6" s="362">
        <f ca="1">Планирование!X4</f>
        <v>46182.353749999922</v>
      </c>
      <c r="W6" s="786"/>
      <c r="X6" s="786"/>
      <c r="Y6" s="385" t="s">
        <v>941</v>
      </c>
      <c r="Z6" s="383">
        <v>-23</v>
      </c>
      <c r="AA6" s="380" t="s">
        <v>942</v>
      </c>
      <c r="AB6" s="791" t="s">
        <v>188</v>
      </c>
      <c r="AC6" s="792"/>
      <c r="AD6" s="792"/>
      <c r="AE6" s="792"/>
      <c r="AF6" s="792"/>
      <c r="AG6" s="792"/>
      <c r="AH6" s="792"/>
      <c r="AI6" s="788"/>
      <c r="AJ6" s="402"/>
      <c r="AK6" s="323"/>
      <c r="AL6" s="323"/>
    </row>
    <row r="7" spans="1:38" ht="60" customHeight="1">
      <c r="A7" s="786"/>
      <c r="B7" s="786"/>
      <c r="C7" s="801"/>
      <c r="D7" s="371">
        <f>'0. Лист для печати'!E11</f>
        <v>146</v>
      </c>
      <c r="E7" s="372">
        <f>'0. Лист для печати'!F11</f>
        <v>2491</v>
      </c>
      <c r="F7" s="373">
        <f>'0. Лист для печати'!G11</f>
        <v>0</v>
      </c>
      <c r="G7" s="786"/>
      <c r="H7" s="786"/>
      <c r="I7" s="801"/>
      <c r="J7" s="794"/>
      <c r="K7" s="794"/>
      <c r="L7" s="794"/>
      <c r="M7" s="794"/>
      <c r="N7" s="794"/>
      <c r="O7" s="794"/>
      <c r="P7" s="794"/>
      <c r="Q7" s="794"/>
      <c r="R7" s="794"/>
      <c r="S7" s="802"/>
      <c r="T7" s="786"/>
      <c r="U7" s="363" t="s">
        <v>943</v>
      </c>
      <c r="V7" s="360" t="e">
        <f>Планирование!Y4</f>
        <v>#REF!</v>
      </c>
      <c r="W7" s="786"/>
      <c r="X7" s="786"/>
      <c r="Y7" s="385" t="s">
        <v>944</v>
      </c>
      <c r="Z7" s="383">
        <v>-27</v>
      </c>
      <c r="AA7" s="380" t="s">
        <v>945</v>
      </c>
      <c r="AB7" s="791" t="s">
        <v>946</v>
      </c>
      <c r="AC7" s="792"/>
      <c r="AD7" s="792"/>
      <c r="AE7" s="792"/>
      <c r="AF7" s="792"/>
      <c r="AG7" s="792"/>
      <c r="AH7" s="792"/>
      <c r="AI7" s="788"/>
      <c r="AJ7" s="309"/>
      <c r="AK7" s="309"/>
      <c r="AL7" s="323"/>
    </row>
    <row r="8" spans="1:38" ht="60" customHeight="1">
      <c r="A8" s="786"/>
      <c r="B8" s="786"/>
      <c r="C8" s="801"/>
      <c r="D8" s="374">
        <f>'0. Лист для печати'!E12</f>
        <v>102</v>
      </c>
      <c r="E8" s="375">
        <f>'0. Лист для печати'!F12</f>
        <v>3591</v>
      </c>
      <c r="F8" s="376">
        <f ca="1">_xlfn.MAXIFS(Хронология[Забой, м], Хронология[Дата начала],'3. Краткая сводка'!N2)</f>
        <v>0</v>
      </c>
      <c r="G8" s="786"/>
      <c r="H8" s="786"/>
      <c r="I8" s="803"/>
      <c r="J8" s="804"/>
      <c r="K8" s="804"/>
      <c r="L8" s="804"/>
      <c r="M8" s="804"/>
      <c r="N8" s="804"/>
      <c r="O8" s="804"/>
      <c r="P8" s="804"/>
      <c r="Q8" s="804"/>
      <c r="R8" s="804"/>
      <c r="S8" s="805"/>
      <c r="T8" s="786"/>
      <c r="U8" s="364" t="s">
        <v>947</v>
      </c>
      <c r="V8" s="387" t="str">
        <f ca="1">SUMIFS(Хронология[Часы],Хронология[Результат],"НПВ: нет в ГГД",Хронология[Дата начала], '3. Краткая сводка'!N2-1) &amp; " / " &amp; SUMIFS(Хронология[Часы],Хронология[Результат],"НПВ: нет в ГГД",Хронология[Дата начала], '3. Краткая сводка'!N2)</f>
        <v>0 / 0</v>
      </c>
      <c r="W8" s="403"/>
      <c r="X8" s="786"/>
      <c r="Y8" s="385" t="s">
        <v>948</v>
      </c>
      <c r="Z8" s="383">
        <v>-14</v>
      </c>
      <c r="AA8" s="381"/>
      <c r="AB8" s="812"/>
      <c r="AC8" s="792"/>
      <c r="AD8" s="792"/>
      <c r="AE8" s="792"/>
      <c r="AF8" s="792"/>
      <c r="AG8" s="792"/>
      <c r="AH8" s="792"/>
      <c r="AI8" s="788"/>
      <c r="AJ8" s="323"/>
      <c r="AK8" s="323"/>
      <c r="AL8" s="323"/>
    </row>
    <row r="9" spans="1:38" ht="60" customHeight="1">
      <c r="A9" s="786"/>
      <c r="B9" s="786"/>
      <c r="C9" s="801"/>
      <c r="D9" s="377"/>
      <c r="E9" s="6"/>
      <c r="F9" s="378"/>
      <c r="G9" s="786"/>
      <c r="H9" s="786"/>
      <c r="I9" s="800" t="str">
        <f>IF(AND('2. Для заполнения'!C58=" ",'2. Для заполнения'!D58=" ")," ",TEXT('2. Для заполнения'!C58,"ЧЧ:ММ")&amp;"-"&amp;TEXT('2. Для заполнения'!D58,"ЧЧ:ММ")&amp;": ")&amp;'2. Для заполнения'!F58&amp;(CHAR(10))&amp;
IF(AND('2. Для заполнения'!C59=" ",'2. Для заполнения'!D59=" ")," ",TEXT('2. Для заполнения'!C59,"ЧЧ:ММ")&amp;"-"&amp;TEXT('2. Для заполнения'!D59,"ЧЧ:ММ")&amp;": ")&amp;'2. Для заполнения'!F59&amp;(CHAR(10))&amp;
IF(AND('2. Для заполнения'!C60=" ",'2. Для заполнения'!D60=" ")," ",TEXT('2. Для заполнения'!C60,"ЧЧ:ММ")&amp;"-"&amp;TEXT('2. Для заполнения'!D60,"ЧЧ:ММ")&amp;": ")&amp;'2. Для заполнения'!F60&amp;(CHAR(10))&amp;
IF(AND('2. Для заполнения'!C61=" ",'2. Для заполнения'!D61=" ")," ",TEXT('2. Для заполнения'!C61,"ЧЧ:ММ")&amp;"-"&amp;TEXT('2. Для заполнения'!D61,"ЧЧ:ММ")&amp;": ")&amp;'2. Для заполнения'!F61&amp;(CHAR(10))&amp;
IF(AND('2. Для заполнения'!C62=" ",'2. Для заполнения'!D62=" ")," ",TEXT('2. Для заполнения'!C62,"ЧЧ:ММ")&amp;"-"&amp;TEXT('2. Для заполнения'!D62,"ЧЧ:ММ")&amp;": ")&amp;'2. Для заполнения'!F62&amp;(CHAR(10))&amp;
IF(AND('2. Для заполнения'!C63=" ",'2. Для заполнения'!D63=" ")," ",TEXT('2. Для заполнения'!C63,"ЧЧ:ММ")&amp;"-"&amp;TEXT('2. Для заполнения'!D63,"ЧЧ:ММ")&amp;": ")&amp;'2. Для заполнения'!F63&amp;(CHAR(10))&amp;
IF(AND('2. Для заполнения'!C64=" ",'2. Для заполнения'!D64=" ")," ",TEXT('2. Для заполнения'!C64,"ЧЧ:ММ")&amp;"-"&amp;TEXT('2. Для заполнения'!D64,"ЧЧ:ММ")&amp;": ")&amp;'2. Для заполнения'!F64&amp;(CHAR(10))&amp;
IF(AND('2. Для заполнения'!C65=" ",'2. Для заполнения'!D65=" ")," ",TEXT('2. Для заполнения'!C65,"ЧЧ:ММ")&amp;"-"&amp;TEXT('2. Для заполнения'!D65,"ЧЧ:ММ")&amp;": ")&amp;'2. Для заполнения'!F65&amp;(CHAR(10))&amp;
IF(AND('2. Для заполнения'!C66=" ",'2. Для заполнения'!D66=" ")," ",TEXT('2. Для заполнения'!C66,"ЧЧ:ММ")&amp;"-"&amp;TEXT('2. Для заполнения'!D66,"ЧЧ:ММ")&amp;": ")&amp;'2. Для заполнения'!F66&amp;(CHAR(10))&amp;
IF(AND('2. Для заполнения'!C67=" ",'2. Для заполнения'!D67=" ")," ",TEXT('2. Для заполнения'!C67,"ЧЧ:ММ")&amp;"-"&amp;TEXT('2. Для заполнения'!D67,"ЧЧ:ММ")&amp;": ")&amp;'2. Для заполнения'!F67&amp;(CHAR(10))&amp;
IF(AND('2. Для заполнения'!C68=" ",'2. Для заполнения'!D68=" ")," ",TEXT('2. Для заполнения'!C68,"ЧЧ:ММ")&amp;"-"&amp;TEXT('2. Для заполнения'!D68,"ЧЧ:ММ")&amp;": ")&amp;'2. Для заполнения'!F68&amp;(CHAR(10))&amp;
IF(AND('2. Для заполнения'!C69=" ",'2. Для заполнения'!D69=" ")," ",TEXT('2. Для заполнения'!C69,"ЧЧ:ММ")&amp;"-"&amp;TEXT('2. Для заполнения'!D69,"ЧЧ:ММ")&amp;": ")&amp;'2. Для заполнения'!F69&amp;(CHAR(10))</f>
        <v xml:space="preserve">  
00:00-00:00: 
00:00-00:00: 
</v>
      </c>
      <c r="J9" s="797"/>
      <c r="K9" s="797"/>
      <c r="L9" s="797"/>
      <c r="M9" s="797"/>
      <c r="N9" s="797"/>
      <c r="O9" s="797"/>
      <c r="P9" s="797"/>
      <c r="Q9" s="797"/>
      <c r="R9" s="797"/>
      <c r="S9" s="798"/>
      <c r="T9" s="786"/>
      <c r="U9" s="365" t="s">
        <v>949</v>
      </c>
      <c r="V9" s="387" t="str">
        <f>TEXT(Планирование!Y7, 0) &amp; " / " &amp; TEXT(Планирование!Y8, 0)</f>
        <v>0 / 0</v>
      </c>
      <c r="W9" s="795">
        <f ca="1">SUMIF(Хронология[Дата начала], N2, Хронология[Проходка, м])</f>
        <v>0</v>
      </c>
      <c r="X9" s="786"/>
      <c r="Y9" s="385" t="s">
        <v>950</v>
      </c>
      <c r="Z9" s="383">
        <v>-21</v>
      </c>
      <c r="AA9" s="381"/>
      <c r="AB9" s="812"/>
      <c r="AC9" s="792"/>
      <c r="AD9" s="792"/>
      <c r="AE9" s="792"/>
      <c r="AF9" s="792"/>
      <c r="AG9" s="792"/>
      <c r="AH9" s="792"/>
      <c r="AI9" s="788"/>
      <c r="AJ9" s="323"/>
      <c r="AK9" s="323"/>
      <c r="AL9" s="323"/>
    </row>
    <row r="10" spans="1:38" ht="60" customHeight="1">
      <c r="A10" s="786"/>
      <c r="B10" s="786"/>
      <c r="C10" s="801"/>
      <c r="D10" s="377"/>
      <c r="E10" s="6"/>
      <c r="F10" s="378"/>
      <c r="G10" s="786"/>
      <c r="H10" s="786"/>
      <c r="I10" s="803"/>
      <c r="J10" s="804"/>
      <c r="K10" s="804"/>
      <c r="L10" s="804"/>
      <c r="M10" s="804"/>
      <c r="N10" s="804"/>
      <c r="O10" s="804"/>
      <c r="P10" s="804"/>
      <c r="Q10" s="804"/>
      <c r="R10" s="804"/>
      <c r="S10" s="805"/>
      <c r="T10" s="786"/>
      <c r="U10" s="366" t="e">
        <f ca="1">IF(V10&lt;0, "Опережение цели:", "Отставание от цели:")</f>
        <v>#REF!</v>
      </c>
      <c r="V10" s="367" t="e">
        <f ca="1">Планирование!X6</f>
        <v>#REF!</v>
      </c>
      <c r="W10" s="786"/>
      <c r="X10" s="786"/>
      <c r="Y10" s="385" t="s">
        <v>951</v>
      </c>
      <c r="Z10" s="383">
        <v>-22</v>
      </c>
      <c r="AA10" s="381"/>
      <c r="AB10" s="405"/>
      <c r="AC10" s="405"/>
      <c r="AD10" s="405"/>
      <c r="AE10" s="405"/>
      <c r="AF10" s="405"/>
      <c r="AG10" s="405"/>
      <c r="AH10" s="405"/>
      <c r="AI10" s="406"/>
      <c r="AJ10" s="323"/>
      <c r="AK10" s="323"/>
      <c r="AL10" s="323"/>
    </row>
    <row r="11" spans="1:38" ht="60" customHeight="1">
      <c r="A11" s="790"/>
      <c r="B11" s="790"/>
      <c r="C11" s="803"/>
      <c r="D11" s="810" t="e">
        <f ca="1">"Мастер: " &amp; INDEX(Хронология[], MATCH(N2-1, Хронология[Дата начала], 0), 5)</f>
        <v>#N/A</v>
      </c>
      <c r="E11" s="811"/>
      <c r="F11" s="811"/>
      <c r="G11" s="811"/>
      <c r="H11" s="809"/>
      <c r="I11" s="489" t="s">
        <v>952</v>
      </c>
      <c r="J11" s="490" t="s">
        <v>953</v>
      </c>
      <c r="K11" s="546"/>
      <c r="L11" s="490" t="s">
        <v>954</v>
      </c>
      <c r="M11" s="491">
        <v>24.216000000000001</v>
      </c>
      <c r="N11" s="379"/>
      <c r="O11" s="492" t="s">
        <v>955</v>
      </c>
      <c r="P11" s="490" t="s">
        <v>956</v>
      </c>
      <c r="Q11" s="491">
        <v>1.5</v>
      </c>
      <c r="R11" s="490" t="s">
        <v>954</v>
      </c>
      <c r="S11" s="491">
        <v>22.75</v>
      </c>
      <c r="T11" s="790"/>
      <c r="U11" s="808" t="e">
        <f>IF(((V7-V5)-30)&lt;=0, "В договорных сроках", "Отставание от договорных сроков на "&amp; TEXT(((V7-V5)-30), 0) &amp; " сут.")</f>
        <v>#REF!</v>
      </c>
      <c r="V11" s="809"/>
      <c r="W11" s="790"/>
      <c r="X11" s="790"/>
      <c r="Y11" s="385" t="s">
        <v>957</v>
      </c>
      <c r="Z11" s="383">
        <v>-22</v>
      </c>
      <c r="AA11" s="381"/>
      <c r="AB11" s="812"/>
      <c r="AC11" s="792"/>
      <c r="AD11" s="792"/>
      <c r="AE11" s="792"/>
      <c r="AF11" s="792"/>
      <c r="AG11" s="792"/>
      <c r="AH11" s="792"/>
      <c r="AI11" s="788"/>
      <c r="AJ11" s="323"/>
      <c r="AK11" s="323"/>
      <c r="AL11" s="323"/>
    </row>
    <row r="12" spans="1:38" ht="15" customHeight="1">
      <c r="Y12" s="252"/>
      <c r="Z12" s="252"/>
    </row>
    <row r="14" spans="1:38" ht="15" customHeight="1">
      <c r="H14" s="793" t="s">
        <v>958</v>
      </c>
      <c r="I14" s="794"/>
      <c r="J14" s="794"/>
      <c r="K14" s="794"/>
      <c r="L14" s="794"/>
      <c r="M14" s="794"/>
      <c r="N14" s="794"/>
      <c r="O14" s="794"/>
      <c r="P14" s="794"/>
      <c r="Q14" s="794"/>
      <c r="R14" s="794"/>
      <c r="S14" s="794"/>
      <c r="U14" s="324" t="s">
        <v>959</v>
      </c>
      <c r="V14" s="323" t="s">
        <v>960</v>
      </c>
      <c r="W14" s="323"/>
      <c r="X14" s="323"/>
      <c r="Y14" s="323"/>
      <c r="Z14" s="323"/>
      <c r="AA14" s="815" t="s">
        <v>961</v>
      </c>
      <c r="AB14" s="794"/>
      <c r="AC14" s="794"/>
      <c r="AD14" s="794"/>
      <c r="AE14" s="794"/>
      <c r="AF14" s="794"/>
      <c r="AG14" s="794"/>
      <c r="AH14" s="794"/>
      <c r="AI14" s="794"/>
    </row>
    <row r="15" spans="1:38" ht="15" customHeight="1">
      <c r="H15" s="794"/>
      <c r="I15" s="794"/>
      <c r="J15" s="794"/>
      <c r="K15" s="794"/>
      <c r="L15" s="794"/>
      <c r="M15" s="794"/>
      <c r="N15" s="794"/>
      <c r="O15" s="794"/>
      <c r="P15" s="794"/>
      <c r="Q15" s="794"/>
      <c r="R15" s="794"/>
      <c r="S15" s="794"/>
      <c r="U15" s="323" t="s">
        <v>962</v>
      </c>
      <c r="V15" s="323" t="s">
        <v>963</v>
      </c>
      <c r="W15" s="323"/>
      <c r="X15" s="323"/>
      <c r="Y15" s="323"/>
      <c r="Z15" s="323"/>
      <c r="AA15" s="794"/>
      <c r="AB15" s="794"/>
      <c r="AC15" s="794"/>
      <c r="AD15" s="794"/>
      <c r="AE15" s="794"/>
      <c r="AF15" s="794"/>
      <c r="AG15" s="794"/>
      <c r="AH15" s="794"/>
      <c r="AI15" s="794"/>
    </row>
    <row r="16" spans="1:38" ht="15" customHeight="1">
      <c r="U16" s="323" t="s">
        <v>964</v>
      </c>
      <c r="V16" s="323" t="s">
        <v>965</v>
      </c>
      <c r="W16" s="323"/>
      <c r="X16" s="323"/>
      <c r="Y16" s="323"/>
      <c r="Z16" s="323"/>
      <c r="AA16" s="794"/>
      <c r="AB16" s="794"/>
      <c r="AC16" s="794"/>
      <c r="AD16" s="794"/>
      <c r="AE16" s="794"/>
      <c r="AF16" s="794"/>
      <c r="AG16" s="794"/>
      <c r="AH16" s="794"/>
      <c r="AI16" s="794"/>
    </row>
    <row r="17" spans="21:35" ht="15" customHeight="1">
      <c r="U17" s="323"/>
      <c r="V17" s="323"/>
      <c r="W17" s="323"/>
      <c r="X17" s="323"/>
      <c r="Y17" s="323"/>
      <c r="Z17" s="323"/>
      <c r="AA17" s="794"/>
      <c r="AB17" s="794"/>
      <c r="AC17" s="794"/>
      <c r="AD17" s="794"/>
      <c r="AE17" s="794"/>
      <c r="AF17" s="794"/>
      <c r="AG17" s="794"/>
      <c r="AH17" s="794"/>
      <c r="AI17" s="794"/>
    </row>
    <row r="18" spans="21:35" ht="15" customHeight="1">
      <c r="U18" s="323"/>
      <c r="V18" s="323"/>
      <c r="W18" s="323"/>
      <c r="X18" s="323"/>
      <c r="Y18" s="323"/>
      <c r="Z18" s="323"/>
      <c r="AA18" s="794"/>
      <c r="AB18" s="794"/>
      <c r="AC18" s="794"/>
      <c r="AD18" s="794"/>
      <c r="AE18" s="794"/>
      <c r="AF18" s="794"/>
      <c r="AG18" s="794"/>
      <c r="AH18" s="794"/>
      <c r="AI18" s="794"/>
    </row>
    <row r="19" spans="21:35" ht="15" customHeight="1">
      <c r="U19" s="323"/>
      <c r="V19" s="323"/>
      <c r="W19" s="323"/>
      <c r="X19" s="323"/>
      <c r="Y19" s="323"/>
      <c r="Z19" s="323"/>
      <c r="AA19" s="794"/>
      <c r="AB19" s="794"/>
      <c r="AC19" s="794"/>
      <c r="AD19" s="794"/>
      <c r="AE19" s="794"/>
      <c r="AF19" s="794"/>
      <c r="AG19" s="794"/>
      <c r="AH19" s="794"/>
      <c r="AI19" s="794"/>
    </row>
    <row r="20" spans="21:35" ht="15" customHeight="1">
      <c r="U20" s="323"/>
      <c r="V20" s="323"/>
      <c r="W20" s="323"/>
      <c r="X20" s="323"/>
      <c r="Y20" s="323"/>
      <c r="Z20" s="323"/>
      <c r="AA20" s="794"/>
      <c r="AB20" s="794"/>
      <c r="AC20" s="794"/>
      <c r="AD20" s="794"/>
      <c r="AE20" s="794"/>
      <c r="AF20" s="794"/>
      <c r="AG20" s="794"/>
      <c r="AH20" s="794"/>
      <c r="AI20" s="794"/>
    </row>
    <row r="21" spans="21:35" ht="15" customHeight="1">
      <c r="U21" s="323"/>
      <c r="V21" s="323"/>
      <c r="W21" s="323"/>
      <c r="X21" s="323"/>
      <c r="Y21" s="323"/>
      <c r="Z21" s="323"/>
      <c r="AA21" s="794"/>
      <c r="AB21" s="794"/>
      <c r="AC21" s="794"/>
      <c r="AD21" s="794"/>
      <c r="AE21" s="794"/>
      <c r="AF21" s="794"/>
      <c r="AG21" s="794"/>
      <c r="AH21" s="794"/>
      <c r="AI21" s="794"/>
    </row>
    <row r="22" spans="21:35" ht="15" customHeight="1">
      <c r="U22" s="323"/>
      <c r="V22" s="323"/>
      <c r="W22" s="323"/>
      <c r="X22" s="323"/>
      <c r="Y22" s="323"/>
      <c r="Z22" s="323"/>
      <c r="AA22" s="325"/>
      <c r="AB22" s="325"/>
      <c r="AC22" s="325"/>
      <c r="AD22" s="325"/>
      <c r="AE22" s="325"/>
      <c r="AF22" s="325"/>
      <c r="AG22" s="325"/>
      <c r="AH22" s="325"/>
      <c r="AI22" s="325"/>
    </row>
    <row r="23" spans="21:35" ht="15" customHeight="1">
      <c r="U23" s="323"/>
      <c r="V23" s="323"/>
      <c r="W23" s="323"/>
      <c r="X23" s="323"/>
      <c r="Y23" s="323"/>
      <c r="Z23" s="323"/>
      <c r="AA23" s="325" t="s">
        <v>966</v>
      </c>
      <c r="AB23" s="325"/>
      <c r="AC23" s="325"/>
      <c r="AD23" s="325"/>
      <c r="AE23" s="325"/>
      <c r="AF23" s="325"/>
      <c r="AG23" s="325"/>
      <c r="AH23" s="325"/>
      <c r="AI23" s="325"/>
    </row>
    <row r="24" spans="21:35" ht="15" customHeight="1">
      <c r="U24" s="323"/>
      <c r="V24" s="323"/>
      <c r="W24" s="323"/>
      <c r="X24" s="323"/>
      <c r="Y24" s="323"/>
      <c r="Z24" s="323"/>
      <c r="AA24" s="323"/>
      <c r="AB24" s="323"/>
      <c r="AC24" s="323"/>
      <c r="AD24" s="323"/>
      <c r="AE24" s="323"/>
      <c r="AF24" s="323"/>
      <c r="AG24" s="323"/>
      <c r="AH24" s="323"/>
      <c r="AI24" s="323"/>
    </row>
    <row r="25" spans="21:35" ht="24" customHeight="1">
      <c r="U25" s="323"/>
      <c r="V25" s="323"/>
      <c r="W25" s="323"/>
      <c r="X25" s="323"/>
      <c r="Y25" s="323"/>
      <c r="Z25" s="323"/>
      <c r="AA25" s="273" t="s">
        <v>938</v>
      </c>
      <c r="AB25" s="321" t="s">
        <v>967</v>
      </c>
      <c r="AC25" s="321"/>
      <c r="AD25" s="321"/>
      <c r="AE25" s="268"/>
      <c r="AF25" s="268"/>
      <c r="AG25" s="268"/>
      <c r="AH25" s="268"/>
      <c r="AI25" s="269"/>
    </row>
    <row r="26" spans="21:35" ht="24" customHeight="1">
      <c r="U26" s="323"/>
      <c r="V26" s="323"/>
      <c r="W26" s="323"/>
      <c r="X26" s="323"/>
      <c r="Y26" s="323"/>
      <c r="Z26" s="323"/>
      <c r="AA26" s="274" t="s">
        <v>942</v>
      </c>
      <c r="AB26" s="322" t="s">
        <v>188</v>
      </c>
      <c r="AC26" s="322"/>
      <c r="AD26" s="322"/>
      <c r="AE26" s="260"/>
      <c r="AF26" s="260"/>
      <c r="AG26" s="260"/>
      <c r="AH26" s="260"/>
      <c r="AI26" s="270"/>
    </row>
    <row r="27" spans="21:35" ht="24" customHeight="1">
      <c r="U27" s="323"/>
      <c r="V27" s="323"/>
      <c r="W27" s="323"/>
      <c r="X27" s="323"/>
      <c r="Y27" s="323"/>
      <c r="Z27" s="323"/>
      <c r="AA27" s="274" t="s">
        <v>945</v>
      </c>
      <c r="AB27" s="322" t="s">
        <v>968</v>
      </c>
      <c r="AC27" s="322"/>
      <c r="AD27" s="322"/>
      <c r="AE27" s="260"/>
      <c r="AF27" s="260"/>
      <c r="AG27" s="260"/>
      <c r="AH27" s="260"/>
      <c r="AI27" s="270"/>
    </row>
    <row r="28" spans="21:35" ht="24" customHeight="1">
      <c r="U28" s="323"/>
      <c r="V28" s="323"/>
      <c r="W28" s="323"/>
      <c r="X28" s="323"/>
      <c r="Y28" s="323"/>
      <c r="Z28" s="323"/>
      <c r="AA28" s="274"/>
      <c r="AB28" s="260"/>
      <c r="AC28" s="260"/>
      <c r="AD28" s="260"/>
      <c r="AE28" s="260"/>
      <c r="AF28" s="260"/>
      <c r="AG28" s="260"/>
      <c r="AH28" s="260"/>
      <c r="AI28" s="270"/>
    </row>
    <row r="29" spans="21:35" ht="24" customHeight="1">
      <c r="U29" s="323"/>
      <c r="V29" s="323"/>
      <c r="W29" s="323"/>
      <c r="X29" s="323"/>
      <c r="Y29" s="323"/>
      <c r="Z29" s="323"/>
      <c r="AA29" s="274" t="s">
        <v>938</v>
      </c>
      <c r="AB29" s="260"/>
      <c r="AC29" s="260"/>
      <c r="AD29" s="260"/>
      <c r="AE29" s="260"/>
      <c r="AF29" s="260"/>
      <c r="AG29" s="260"/>
      <c r="AH29" s="260"/>
      <c r="AI29" s="270"/>
    </row>
    <row r="30" spans="21:35" ht="24" customHeight="1">
      <c r="U30" s="323"/>
      <c r="V30" s="323"/>
      <c r="W30" s="323"/>
      <c r="X30" s="323"/>
      <c r="Y30" s="323"/>
      <c r="Z30" s="323"/>
      <c r="AA30" s="274" t="s">
        <v>942</v>
      </c>
      <c r="AB30" s="260"/>
      <c r="AC30" s="260"/>
      <c r="AD30" s="260"/>
      <c r="AE30" s="260"/>
      <c r="AF30" s="260"/>
      <c r="AG30" s="260"/>
      <c r="AH30" s="260"/>
      <c r="AI30" s="270"/>
    </row>
    <row r="31" spans="21:35" ht="24" customHeight="1">
      <c r="U31" s="323"/>
      <c r="V31" s="323"/>
      <c r="W31" s="323"/>
      <c r="X31" s="323"/>
      <c r="Y31" s="323"/>
      <c r="Z31" s="323"/>
      <c r="AA31" s="275" t="s">
        <v>945</v>
      </c>
      <c r="AB31" s="271"/>
      <c r="AC31" s="271"/>
      <c r="AD31" s="271"/>
      <c r="AE31" s="271"/>
      <c r="AF31" s="271"/>
      <c r="AG31" s="271"/>
      <c r="AH31" s="271"/>
      <c r="AI31" s="272"/>
    </row>
    <row r="32" spans="21:35" ht="15" customHeight="1">
      <c r="U32" s="323"/>
      <c r="V32" s="323"/>
      <c r="W32" s="323"/>
      <c r="X32" s="323"/>
      <c r="Y32" s="323"/>
      <c r="Z32" s="323"/>
      <c r="AA32" s="323"/>
      <c r="AB32" s="323"/>
      <c r="AC32" s="323"/>
      <c r="AD32" s="323"/>
      <c r="AE32" s="323"/>
      <c r="AF32" s="323"/>
      <c r="AG32" s="323"/>
      <c r="AH32" s="323"/>
      <c r="AI32" s="323"/>
    </row>
    <row r="33" spans="21:35" ht="15" customHeight="1">
      <c r="U33" s="323"/>
      <c r="V33" s="323"/>
      <c r="W33" s="323"/>
      <c r="X33" s="323"/>
      <c r="Y33" s="323"/>
      <c r="Z33" s="323"/>
      <c r="AA33" s="323" t="s">
        <v>969</v>
      </c>
      <c r="AB33" s="323"/>
      <c r="AC33" s="323"/>
      <c r="AD33" s="323"/>
      <c r="AE33" s="323"/>
      <c r="AF33" s="323"/>
      <c r="AG33" s="323"/>
      <c r="AH33" s="323"/>
      <c r="AI33" s="323"/>
    </row>
    <row r="34" spans="21:35" ht="15" customHeight="1">
      <c r="U34" s="323"/>
      <c r="V34" s="323"/>
      <c r="W34" s="323"/>
      <c r="X34" s="323"/>
      <c r="Y34" s="323"/>
      <c r="Z34" s="323"/>
      <c r="AA34" s="323" t="s">
        <v>938</v>
      </c>
      <c r="AB34" s="323" t="s">
        <v>970</v>
      </c>
      <c r="AC34" s="323"/>
      <c r="AD34" s="323"/>
      <c r="AE34" s="323"/>
      <c r="AF34" s="323"/>
      <c r="AG34" s="323"/>
      <c r="AH34" s="323"/>
      <c r="AI34" s="323"/>
    </row>
    <row r="35" spans="21:35" ht="15" customHeight="1">
      <c r="U35" s="323"/>
      <c r="V35" s="323"/>
      <c r="W35" s="323"/>
      <c r="X35" s="323"/>
      <c r="Y35" s="323"/>
      <c r="Z35" s="323"/>
      <c r="AA35" s="323" t="s">
        <v>942</v>
      </c>
      <c r="AB35" s="323" t="s">
        <v>971</v>
      </c>
      <c r="AC35" s="323"/>
      <c r="AD35" s="323"/>
      <c r="AE35" s="323"/>
      <c r="AF35" s="323"/>
      <c r="AG35" s="323"/>
      <c r="AH35" s="323"/>
      <c r="AI35" s="323"/>
    </row>
    <row r="36" spans="21:35" ht="15" customHeight="1">
      <c r="U36" s="323"/>
      <c r="V36" s="323"/>
      <c r="W36" s="323"/>
      <c r="X36" s="323"/>
      <c r="Y36" s="323"/>
      <c r="Z36" s="323"/>
      <c r="AA36" s="323" t="s">
        <v>945</v>
      </c>
      <c r="AB36" s="323" t="s">
        <v>972</v>
      </c>
      <c r="AC36" s="323"/>
      <c r="AD36" s="323"/>
      <c r="AE36" s="323"/>
      <c r="AF36" s="323"/>
      <c r="AG36" s="323"/>
      <c r="AH36" s="323"/>
      <c r="AI36" s="323"/>
    </row>
    <row r="37" spans="21:35" ht="15" customHeight="1">
      <c r="AD37" s="323"/>
    </row>
    <row r="38" spans="21:35" ht="15" customHeight="1">
      <c r="AD38" s="323"/>
    </row>
    <row r="39" spans="21:35" ht="15" customHeight="1">
      <c r="AD39" s="323"/>
    </row>
  </sheetData>
  <mergeCells count="29">
    <mergeCell ref="AF1:AH1"/>
    <mergeCell ref="I9:S10"/>
    <mergeCell ref="T5:T11"/>
    <mergeCell ref="AA14:AI21"/>
    <mergeCell ref="AB11:AI11"/>
    <mergeCell ref="AF3:AH3"/>
    <mergeCell ref="W5:W7"/>
    <mergeCell ref="AB8:AI8"/>
    <mergeCell ref="I4:S4"/>
    <mergeCell ref="AB7:AI7"/>
    <mergeCell ref="U4:V4"/>
    <mergeCell ref="A5:A11"/>
    <mergeCell ref="I5:S8"/>
    <mergeCell ref="B5:B11"/>
    <mergeCell ref="K2:M2"/>
    <mergeCell ref="AF2:AH2"/>
    <mergeCell ref="U11:V11"/>
    <mergeCell ref="D11:H11"/>
    <mergeCell ref="AB9:AI9"/>
    <mergeCell ref="G5:G10"/>
    <mergeCell ref="C5:C11"/>
    <mergeCell ref="H5:H10"/>
    <mergeCell ref="Y4:Z4"/>
    <mergeCell ref="X5:X11"/>
    <mergeCell ref="AB6:AI6"/>
    <mergeCell ref="H14:S15"/>
    <mergeCell ref="AB5:AI5"/>
    <mergeCell ref="W9:W11"/>
    <mergeCell ref="AA4:AI4"/>
  </mergeCells>
  <printOptions horizontalCentered="1" verticalCentered="1"/>
  <pageMargins left="0.19685039370078741" right="0.19685039370078741" top="0.19685039370078741" bottom="0.19685039370078741" header="0" footer="0"/>
  <pageSetup paperSize="8" scale="63"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sheetPr>
  <dimension ref="B1:H26"/>
  <sheetViews>
    <sheetView zoomScale="91" workbookViewId="0">
      <selection activeCell="E21" sqref="E21"/>
    </sheetView>
  </sheetViews>
  <sheetFormatPr defaultColWidth="10.69140625" defaultRowHeight="16"/>
  <cols>
    <col min="1" max="1" width="10.69140625" style="247" customWidth="1"/>
    <col min="2" max="2" width="14.69140625" style="247" customWidth="1"/>
    <col min="3" max="3" width="17.69140625" style="247" customWidth="1"/>
    <col min="4" max="4" width="18.69140625" style="247" customWidth="1"/>
    <col min="5" max="5" width="22.15234375" style="247" customWidth="1"/>
    <col min="6" max="6" width="22.84375" style="247" customWidth="1"/>
    <col min="7" max="7" width="24.53515625" style="247" customWidth="1"/>
    <col min="8" max="8" width="16.69140625" style="247" customWidth="1"/>
    <col min="9" max="10" width="10.69140625" style="247" customWidth="1"/>
    <col min="11" max="16384" width="10.69140625" style="247"/>
  </cols>
  <sheetData>
    <row r="1" spans="2:8">
      <c r="B1" s="531"/>
    </row>
    <row r="2" spans="2:8" ht="17" customHeight="1">
      <c r="B2" s="532" t="s">
        <v>973</v>
      </c>
      <c r="C2" s="532" t="s">
        <v>974</v>
      </c>
      <c r="D2" s="532" t="s">
        <v>889</v>
      </c>
      <c r="E2" s="532" t="s">
        <v>975</v>
      </c>
      <c r="F2" s="532" t="s">
        <v>976</v>
      </c>
      <c r="G2" s="532" t="s">
        <v>977</v>
      </c>
      <c r="H2" s="532" t="s">
        <v>978</v>
      </c>
    </row>
    <row r="3" spans="2:8" ht="17" customHeight="1">
      <c r="B3" s="533">
        <v>46130</v>
      </c>
      <c r="C3" s="534" t="s">
        <v>979</v>
      </c>
      <c r="D3" s="534">
        <v>20</v>
      </c>
      <c r="E3" s="534"/>
      <c r="F3" s="534"/>
      <c r="G3" s="534"/>
      <c r="H3" s="534">
        <v>20000</v>
      </c>
    </row>
    <row r="4" spans="2:8" ht="17" customHeight="1">
      <c r="B4" s="533">
        <v>46130</v>
      </c>
      <c r="C4" s="534" t="s">
        <v>980</v>
      </c>
      <c r="D4" s="534">
        <v>4</v>
      </c>
      <c r="E4" s="534"/>
      <c r="F4" s="534"/>
      <c r="G4" s="534"/>
      <c r="H4" s="534"/>
    </row>
    <row r="5" spans="2:8" ht="17" customHeight="1">
      <c r="B5" s="533">
        <v>46130</v>
      </c>
      <c r="C5" s="534" t="s">
        <v>981</v>
      </c>
      <c r="D5" s="534">
        <v>24</v>
      </c>
      <c r="E5" s="534"/>
      <c r="F5" s="534"/>
      <c r="G5" s="534"/>
      <c r="H5" s="535"/>
    </row>
    <row r="6" spans="2:8" ht="17" customHeight="1">
      <c r="B6" s="533">
        <v>46131</v>
      </c>
      <c r="C6" s="534" t="s">
        <v>979</v>
      </c>
      <c r="D6" s="534"/>
      <c r="E6" s="534"/>
      <c r="F6" s="534"/>
      <c r="G6" s="534"/>
      <c r="H6" s="535"/>
    </row>
    <row r="7" spans="2:8" ht="17" customHeight="1">
      <c r="B7" s="533">
        <v>46131</v>
      </c>
      <c r="C7" s="534" t="s">
        <v>980</v>
      </c>
      <c r="D7" s="534"/>
      <c r="E7" s="534"/>
      <c r="F7" s="534"/>
      <c r="G7" s="534"/>
      <c r="H7" s="534"/>
    </row>
    <row r="8" spans="2:8" ht="17" customHeight="1">
      <c r="B8" s="533">
        <v>46131</v>
      </c>
      <c r="C8" s="534" t="s">
        <v>981</v>
      </c>
      <c r="D8" s="534"/>
      <c r="E8" s="534"/>
      <c r="F8" s="534"/>
      <c r="G8" s="534"/>
      <c r="H8" s="535"/>
    </row>
    <row r="9" spans="2:8" ht="17" customHeight="1">
      <c r="B9" s="533">
        <v>46132</v>
      </c>
      <c r="C9" s="534" t="s">
        <v>979</v>
      </c>
      <c r="D9" s="534"/>
      <c r="E9" s="534"/>
      <c r="F9" s="534"/>
      <c r="G9" s="534"/>
      <c r="H9" s="534"/>
    </row>
    <row r="10" spans="2:8" ht="17" customHeight="1">
      <c r="B10" s="533">
        <v>46132</v>
      </c>
      <c r="C10" s="534" t="s">
        <v>980</v>
      </c>
      <c r="D10" s="534"/>
      <c r="E10" s="534"/>
      <c r="F10" s="534"/>
      <c r="G10" s="534"/>
      <c r="H10" s="534"/>
    </row>
    <row r="11" spans="2:8" ht="17" customHeight="1">
      <c r="B11" s="533">
        <v>46132</v>
      </c>
      <c r="C11" s="534" t="s">
        <v>981</v>
      </c>
      <c r="D11" s="534"/>
      <c r="E11" s="534"/>
      <c r="F11" s="534"/>
      <c r="G11" s="534"/>
      <c r="H11" s="534"/>
    </row>
    <row r="12" spans="2:8" ht="17" customHeight="1">
      <c r="B12" s="533">
        <v>46133</v>
      </c>
      <c r="C12" s="534" t="s">
        <v>979</v>
      </c>
      <c r="D12" s="534"/>
      <c r="E12" s="534"/>
      <c r="F12" s="534"/>
      <c r="G12" s="534"/>
      <c r="H12" s="534"/>
    </row>
    <row r="13" spans="2:8" ht="17" customHeight="1">
      <c r="B13" s="533">
        <v>46133</v>
      </c>
      <c r="C13" s="534" t="s">
        <v>980</v>
      </c>
      <c r="D13" s="534"/>
      <c r="E13" s="534"/>
      <c r="F13" s="534"/>
      <c r="G13" s="534"/>
      <c r="H13" s="534"/>
    </row>
    <row r="14" spans="2:8" ht="17" customHeight="1">
      <c r="B14" s="533">
        <v>46133</v>
      </c>
      <c r="C14" s="534" t="s">
        <v>981</v>
      </c>
      <c r="D14" s="534"/>
      <c r="E14" s="534"/>
      <c r="F14" s="534"/>
      <c r="G14" s="534"/>
      <c r="H14" s="534"/>
    </row>
    <row r="15" spans="2:8" ht="17" customHeight="1">
      <c r="B15" s="533">
        <v>46134</v>
      </c>
      <c r="C15" s="534" t="s">
        <v>979</v>
      </c>
      <c r="D15" s="534"/>
      <c r="E15" s="534"/>
      <c r="F15" s="534"/>
      <c r="G15" s="534"/>
      <c r="H15" s="534"/>
    </row>
    <row r="16" spans="2:8" ht="17" customHeight="1">
      <c r="B16" s="533">
        <v>46134</v>
      </c>
      <c r="C16" s="534" t="s">
        <v>980</v>
      </c>
      <c r="D16" s="534"/>
      <c r="E16" s="534"/>
      <c r="F16" s="534"/>
      <c r="G16" s="534"/>
      <c r="H16" s="534"/>
    </row>
    <row r="17" spans="2:8" ht="17" customHeight="1">
      <c r="B17" s="533">
        <v>46134</v>
      </c>
      <c r="C17" s="534" t="s">
        <v>981</v>
      </c>
      <c r="D17" s="534"/>
      <c r="E17" s="534"/>
      <c r="F17" s="534"/>
      <c r="G17" s="534"/>
      <c r="H17" s="534"/>
    </row>
    <row r="18" spans="2:8" ht="17" customHeight="1">
      <c r="B18" s="533">
        <v>46135</v>
      </c>
      <c r="C18" s="534" t="s">
        <v>979</v>
      </c>
      <c r="D18" s="534"/>
      <c r="E18" s="534"/>
      <c r="F18" s="534"/>
      <c r="G18" s="534"/>
      <c r="H18" s="534"/>
    </row>
    <row r="19" spans="2:8" ht="17" customHeight="1">
      <c r="B19" s="533">
        <v>46135</v>
      </c>
      <c r="C19" s="534" t="s">
        <v>980</v>
      </c>
      <c r="D19" s="534"/>
      <c r="E19" s="534"/>
      <c r="F19" s="534"/>
      <c r="G19" s="534"/>
      <c r="H19" s="534"/>
    </row>
    <row r="20" spans="2:8" ht="17" customHeight="1">
      <c r="B20" s="533">
        <v>46135</v>
      </c>
      <c r="C20" s="534" t="s">
        <v>981</v>
      </c>
      <c r="D20" s="534"/>
      <c r="E20" s="534"/>
      <c r="F20" s="534"/>
      <c r="G20" s="534"/>
      <c r="H20" s="534"/>
    </row>
    <row r="21" spans="2:8" ht="17" customHeight="1">
      <c r="B21" s="533">
        <v>46136</v>
      </c>
      <c r="C21" s="534" t="s">
        <v>979</v>
      </c>
      <c r="D21" s="534"/>
      <c r="E21" s="534"/>
      <c r="F21" s="534"/>
      <c r="G21" s="534"/>
      <c r="H21" s="534"/>
    </row>
    <row r="22" spans="2:8" ht="17" customHeight="1">
      <c r="B22" s="533">
        <v>46136</v>
      </c>
      <c r="C22" s="534" t="s">
        <v>980</v>
      </c>
      <c r="D22" s="534"/>
      <c r="E22" s="534"/>
      <c r="F22" s="534"/>
      <c r="G22" s="534"/>
      <c r="H22" s="534"/>
    </row>
    <row r="23" spans="2:8" ht="17" customHeight="1">
      <c r="B23" s="533">
        <v>46136</v>
      </c>
      <c r="C23" s="534" t="s">
        <v>981</v>
      </c>
      <c r="D23" s="534"/>
      <c r="E23" s="534"/>
      <c r="F23" s="534"/>
      <c r="G23" s="534"/>
      <c r="H23" s="534"/>
    </row>
    <row r="24" spans="2:8" ht="17" customHeight="1">
      <c r="B24" s="533">
        <v>46137</v>
      </c>
      <c r="C24" s="534" t="s">
        <v>979</v>
      </c>
      <c r="D24" s="534"/>
      <c r="E24" s="534"/>
      <c r="F24" s="534"/>
      <c r="G24" s="534"/>
      <c r="H24" s="534"/>
    </row>
    <row r="25" spans="2:8" ht="17" customHeight="1">
      <c r="B25" s="533">
        <v>46137</v>
      </c>
      <c r="C25" s="534" t="s">
        <v>980</v>
      </c>
      <c r="D25" s="534"/>
      <c r="E25" s="534"/>
      <c r="F25" s="534"/>
      <c r="G25" s="534"/>
      <c r="H25" s="534"/>
    </row>
    <row r="26" spans="2:8" ht="17" customHeight="1">
      <c r="B26" s="533">
        <v>46137</v>
      </c>
      <c r="C26" s="534" t="s">
        <v>981</v>
      </c>
      <c r="D26" s="534"/>
      <c r="E26" s="534"/>
      <c r="F26" s="534"/>
      <c r="G26" s="534"/>
      <c r="H26" s="534"/>
    </row>
  </sheetData>
  <pageMargins left="0.7" right="0.7" top="0.75" bottom="0.75" header="0.3" footer="0.3"/>
  <pageSetup paperSize="9" orientation="portrait" horizontalDpi="0" verticalDpi="0"/>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sheetPr>
  <dimension ref="B5:DL34"/>
  <sheetViews>
    <sheetView topLeftCell="A4" zoomScale="93" workbookViewId="0">
      <selection activeCell="T33" sqref="T33"/>
    </sheetView>
  </sheetViews>
  <sheetFormatPr defaultColWidth="11.53515625" defaultRowHeight="15.5" outlineLevelCol="1"/>
  <cols>
    <col min="2" max="2" width="37" style="9" bestFit="1" customWidth="1"/>
    <col min="3" max="3" width="29" style="9" bestFit="1" customWidth="1"/>
    <col min="4" max="4" width="26.53515625" style="9" bestFit="1" customWidth="1"/>
    <col min="5" max="34" width="4.84375" customWidth="1" outlineLevel="1"/>
    <col min="35" max="116" width="4.84375" bestFit="1" customWidth="1"/>
  </cols>
  <sheetData>
    <row r="5" spans="2:116" ht="54" customHeight="1">
      <c r="B5" s="512" t="s">
        <v>685</v>
      </c>
      <c r="C5" s="512" t="s">
        <v>684</v>
      </c>
      <c r="D5" s="512" t="s">
        <v>982</v>
      </c>
      <c r="E5" s="513">
        <v>46113</v>
      </c>
      <c r="F5" s="513">
        <f t="shared" ref="F5:AK5" si="0">E5+1</f>
        <v>46114</v>
      </c>
      <c r="G5" s="513">
        <f t="shared" si="0"/>
        <v>46115</v>
      </c>
      <c r="H5" s="513">
        <f t="shared" si="0"/>
        <v>46116</v>
      </c>
      <c r="I5" s="513">
        <f t="shared" si="0"/>
        <v>46117</v>
      </c>
      <c r="J5" s="513">
        <f t="shared" si="0"/>
        <v>46118</v>
      </c>
      <c r="K5" s="513">
        <f t="shared" si="0"/>
        <v>46119</v>
      </c>
      <c r="L5" s="513">
        <f t="shared" si="0"/>
        <v>46120</v>
      </c>
      <c r="M5" s="513">
        <f t="shared" si="0"/>
        <v>46121</v>
      </c>
      <c r="N5" s="513">
        <f t="shared" si="0"/>
        <v>46122</v>
      </c>
      <c r="O5" s="513">
        <f t="shared" si="0"/>
        <v>46123</v>
      </c>
      <c r="P5" s="513">
        <f t="shared" si="0"/>
        <v>46124</v>
      </c>
      <c r="Q5" s="513">
        <f t="shared" si="0"/>
        <v>46125</v>
      </c>
      <c r="R5" s="513">
        <f t="shared" si="0"/>
        <v>46126</v>
      </c>
      <c r="S5" s="513">
        <f t="shared" si="0"/>
        <v>46127</v>
      </c>
      <c r="T5" s="513">
        <f t="shared" si="0"/>
        <v>46128</v>
      </c>
      <c r="U5" s="513">
        <f t="shared" si="0"/>
        <v>46129</v>
      </c>
      <c r="V5" s="513">
        <f t="shared" si="0"/>
        <v>46130</v>
      </c>
      <c r="W5" s="513">
        <f t="shared" si="0"/>
        <v>46131</v>
      </c>
      <c r="X5" s="513">
        <f t="shared" si="0"/>
        <v>46132</v>
      </c>
      <c r="Y5" s="513">
        <f t="shared" si="0"/>
        <v>46133</v>
      </c>
      <c r="Z5" s="513">
        <f t="shared" si="0"/>
        <v>46134</v>
      </c>
      <c r="AA5" s="513">
        <f t="shared" si="0"/>
        <v>46135</v>
      </c>
      <c r="AB5" s="513">
        <f t="shared" si="0"/>
        <v>46136</v>
      </c>
      <c r="AC5" s="513">
        <f t="shared" si="0"/>
        <v>46137</v>
      </c>
      <c r="AD5" s="513">
        <f t="shared" si="0"/>
        <v>46138</v>
      </c>
      <c r="AE5" s="513">
        <f t="shared" si="0"/>
        <v>46139</v>
      </c>
      <c r="AF5" s="513">
        <f t="shared" si="0"/>
        <v>46140</v>
      </c>
      <c r="AG5" s="513">
        <f t="shared" si="0"/>
        <v>46141</v>
      </c>
      <c r="AH5" s="513">
        <f t="shared" si="0"/>
        <v>46142</v>
      </c>
      <c r="AI5" s="513">
        <f t="shared" si="0"/>
        <v>46143</v>
      </c>
      <c r="AJ5" s="513">
        <f t="shared" si="0"/>
        <v>46144</v>
      </c>
      <c r="AK5" s="513">
        <f t="shared" si="0"/>
        <v>46145</v>
      </c>
      <c r="AL5" s="513">
        <f t="shared" ref="AL5:BQ5" si="1">AK5+1</f>
        <v>46146</v>
      </c>
      <c r="AM5" s="513">
        <f t="shared" si="1"/>
        <v>46147</v>
      </c>
      <c r="AN5" s="513">
        <f t="shared" si="1"/>
        <v>46148</v>
      </c>
      <c r="AO5" s="513">
        <f t="shared" si="1"/>
        <v>46149</v>
      </c>
      <c r="AP5" s="513">
        <f t="shared" si="1"/>
        <v>46150</v>
      </c>
      <c r="AQ5" s="513">
        <f t="shared" si="1"/>
        <v>46151</v>
      </c>
      <c r="AR5" s="513">
        <f t="shared" si="1"/>
        <v>46152</v>
      </c>
      <c r="AS5" s="513">
        <f t="shared" si="1"/>
        <v>46153</v>
      </c>
      <c r="AT5" s="513">
        <f t="shared" si="1"/>
        <v>46154</v>
      </c>
      <c r="AU5" s="513">
        <f t="shared" si="1"/>
        <v>46155</v>
      </c>
      <c r="AV5" s="513">
        <f t="shared" si="1"/>
        <v>46156</v>
      </c>
      <c r="AW5" s="513">
        <f t="shared" si="1"/>
        <v>46157</v>
      </c>
      <c r="AX5" s="513">
        <f t="shared" si="1"/>
        <v>46158</v>
      </c>
      <c r="AY5" s="513">
        <f t="shared" si="1"/>
        <v>46159</v>
      </c>
      <c r="AZ5" s="513">
        <f t="shared" si="1"/>
        <v>46160</v>
      </c>
      <c r="BA5" s="513">
        <f t="shared" si="1"/>
        <v>46161</v>
      </c>
      <c r="BB5" s="513">
        <f t="shared" si="1"/>
        <v>46162</v>
      </c>
      <c r="BC5" s="513">
        <f t="shared" si="1"/>
        <v>46163</v>
      </c>
      <c r="BD5" s="513">
        <f t="shared" si="1"/>
        <v>46164</v>
      </c>
      <c r="BE5" s="513">
        <f t="shared" si="1"/>
        <v>46165</v>
      </c>
      <c r="BF5" s="513">
        <f t="shared" si="1"/>
        <v>46166</v>
      </c>
      <c r="BG5" s="513">
        <f t="shared" si="1"/>
        <v>46167</v>
      </c>
      <c r="BH5" s="513">
        <f t="shared" si="1"/>
        <v>46168</v>
      </c>
      <c r="BI5" s="513">
        <f t="shared" si="1"/>
        <v>46169</v>
      </c>
      <c r="BJ5" s="513">
        <f t="shared" si="1"/>
        <v>46170</v>
      </c>
      <c r="BK5" s="513">
        <f t="shared" si="1"/>
        <v>46171</v>
      </c>
      <c r="BL5" s="513">
        <f t="shared" si="1"/>
        <v>46172</v>
      </c>
      <c r="BM5" s="513">
        <f t="shared" si="1"/>
        <v>46173</v>
      </c>
      <c r="BN5" s="513">
        <f t="shared" si="1"/>
        <v>46174</v>
      </c>
      <c r="BO5" s="513">
        <f t="shared" si="1"/>
        <v>46175</v>
      </c>
      <c r="BP5" s="513">
        <f t="shared" si="1"/>
        <v>46176</v>
      </c>
      <c r="BQ5" s="513">
        <f t="shared" si="1"/>
        <v>46177</v>
      </c>
      <c r="BR5" s="513">
        <f t="shared" ref="BR5:CW5" si="2">BQ5+1</f>
        <v>46178</v>
      </c>
      <c r="BS5" s="513">
        <f t="shared" si="2"/>
        <v>46179</v>
      </c>
      <c r="BT5" s="513">
        <f t="shared" si="2"/>
        <v>46180</v>
      </c>
      <c r="BU5" s="513">
        <f t="shared" si="2"/>
        <v>46181</v>
      </c>
      <c r="BV5" s="513">
        <f t="shared" si="2"/>
        <v>46182</v>
      </c>
      <c r="BW5" s="513">
        <f t="shared" si="2"/>
        <v>46183</v>
      </c>
      <c r="BX5" s="513">
        <f t="shared" si="2"/>
        <v>46184</v>
      </c>
      <c r="BY5" s="513">
        <f t="shared" si="2"/>
        <v>46185</v>
      </c>
      <c r="BZ5" s="513">
        <f t="shared" si="2"/>
        <v>46186</v>
      </c>
      <c r="CA5" s="513">
        <f t="shared" si="2"/>
        <v>46187</v>
      </c>
      <c r="CB5" s="513">
        <f t="shared" si="2"/>
        <v>46188</v>
      </c>
      <c r="CC5" s="513">
        <f t="shared" si="2"/>
        <v>46189</v>
      </c>
      <c r="CD5" s="513">
        <f t="shared" si="2"/>
        <v>46190</v>
      </c>
      <c r="CE5" s="513">
        <f t="shared" si="2"/>
        <v>46191</v>
      </c>
      <c r="CF5" s="513">
        <f t="shared" si="2"/>
        <v>46192</v>
      </c>
      <c r="CG5" s="513">
        <f t="shared" si="2"/>
        <v>46193</v>
      </c>
      <c r="CH5" s="513">
        <f t="shared" si="2"/>
        <v>46194</v>
      </c>
      <c r="CI5" s="513">
        <f t="shared" si="2"/>
        <v>46195</v>
      </c>
      <c r="CJ5" s="513">
        <f t="shared" si="2"/>
        <v>46196</v>
      </c>
      <c r="CK5" s="513">
        <f t="shared" si="2"/>
        <v>46197</v>
      </c>
      <c r="CL5" s="513">
        <f t="shared" si="2"/>
        <v>46198</v>
      </c>
      <c r="CM5" s="513">
        <f t="shared" si="2"/>
        <v>46199</v>
      </c>
      <c r="CN5" s="513">
        <f t="shared" si="2"/>
        <v>46200</v>
      </c>
      <c r="CO5" s="513">
        <f t="shared" si="2"/>
        <v>46201</v>
      </c>
      <c r="CP5" s="513">
        <f t="shared" si="2"/>
        <v>46202</v>
      </c>
      <c r="CQ5" s="513">
        <f t="shared" si="2"/>
        <v>46203</v>
      </c>
      <c r="CR5" s="513">
        <f t="shared" si="2"/>
        <v>46204</v>
      </c>
      <c r="CS5" s="513">
        <f t="shared" si="2"/>
        <v>46205</v>
      </c>
      <c r="CT5" s="513">
        <f t="shared" si="2"/>
        <v>46206</v>
      </c>
      <c r="CU5" s="513">
        <f t="shared" si="2"/>
        <v>46207</v>
      </c>
      <c r="CV5" s="513">
        <f t="shared" si="2"/>
        <v>46208</v>
      </c>
      <c r="CW5" s="513">
        <f t="shared" si="2"/>
        <v>46209</v>
      </c>
      <c r="CX5" s="513">
        <f t="shared" ref="CX5:DL5" si="3">CW5+1</f>
        <v>46210</v>
      </c>
      <c r="CY5" s="513">
        <f t="shared" si="3"/>
        <v>46211</v>
      </c>
      <c r="CZ5" s="513">
        <f t="shared" si="3"/>
        <v>46212</v>
      </c>
      <c r="DA5" s="513">
        <f t="shared" si="3"/>
        <v>46213</v>
      </c>
      <c r="DB5" s="513">
        <f t="shared" si="3"/>
        <v>46214</v>
      </c>
      <c r="DC5" s="513">
        <f t="shared" si="3"/>
        <v>46215</v>
      </c>
      <c r="DD5" s="513">
        <f t="shared" si="3"/>
        <v>46216</v>
      </c>
      <c r="DE5" s="513">
        <f t="shared" si="3"/>
        <v>46217</v>
      </c>
      <c r="DF5" s="513">
        <f t="shared" si="3"/>
        <v>46218</v>
      </c>
      <c r="DG5" s="513">
        <f t="shared" si="3"/>
        <v>46219</v>
      </c>
      <c r="DH5" s="513">
        <f t="shared" si="3"/>
        <v>46220</v>
      </c>
      <c r="DI5" s="513">
        <f t="shared" si="3"/>
        <v>46221</v>
      </c>
      <c r="DJ5" s="513">
        <f t="shared" si="3"/>
        <v>46222</v>
      </c>
      <c r="DK5" s="513">
        <f t="shared" si="3"/>
        <v>46223</v>
      </c>
      <c r="DL5" s="513">
        <f t="shared" si="3"/>
        <v>46224</v>
      </c>
    </row>
    <row r="6" spans="2:116">
      <c r="B6" s="9" t="s">
        <v>983</v>
      </c>
      <c r="C6" s="9" t="s">
        <v>907</v>
      </c>
      <c r="D6" s="9" t="s">
        <v>984</v>
      </c>
    </row>
    <row r="7" spans="2:116">
      <c r="B7" s="9" t="s">
        <v>985</v>
      </c>
      <c r="C7" s="9" t="s">
        <v>986</v>
      </c>
      <c r="D7" s="9" t="s">
        <v>984</v>
      </c>
    </row>
    <row r="8" spans="2:116">
      <c r="B8" s="9" t="s">
        <v>987</v>
      </c>
      <c r="C8" s="9" t="s">
        <v>688</v>
      </c>
      <c r="D8" s="9" t="s">
        <v>984</v>
      </c>
    </row>
    <row r="9" spans="2:116">
      <c r="B9" s="9" t="s">
        <v>988</v>
      </c>
      <c r="C9" s="9" t="s">
        <v>989</v>
      </c>
      <c r="D9" s="9" t="s">
        <v>984</v>
      </c>
    </row>
    <row r="10" spans="2:116">
      <c r="B10" s="9" t="s">
        <v>990</v>
      </c>
      <c r="C10" s="9" t="s">
        <v>991</v>
      </c>
      <c r="D10" s="9" t="s">
        <v>984</v>
      </c>
    </row>
    <row r="11" spans="2:116">
      <c r="B11" s="9" t="s">
        <v>992</v>
      </c>
      <c r="C11" s="9" t="s">
        <v>989</v>
      </c>
      <c r="D11" s="9" t="s">
        <v>984</v>
      </c>
    </row>
    <row r="12" spans="2:116">
      <c r="B12" s="9" t="s">
        <v>993</v>
      </c>
      <c r="C12" s="9" t="s">
        <v>994</v>
      </c>
      <c r="D12" s="9" t="s">
        <v>984</v>
      </c>
    </row>
    <row r="13" spans="2:116">
      <c r="B13" s="9" t="s">
        <v>995</v>
      </c>
      <c r="C13" s="9" t="s">
        <v>996</v>
      </c>
      <c r="D13" s="9" t="s">
        <v>984</v>
      </c>
    </row>
    <row r="14" spans="2:116">
      <c r="B14" s="9" t="s">
        <v>997</v>
      </c>
      <c r="C14" s="9" t="s">
        <v>7</v>
      </c>
      <c r="D14" s="9" t="s">
        <v>984</v>
      </c>
    </row>
    <row r="15" spans="2:116">
      <c r="B15" s="9" t="s">
        <v>998</v>
      </c>
      <c r="C15" s="9" t="s">
        <v>999</v>
      </c>
      <c r="D15" s="9" t="s">
        <v>984</v>
      </c>
    </row>
    <row r="16" spans="2:116">
      <c r="B16" s="9" t="s">
        <v>1000</v>
      </c>
      <c r="C16" s="9" t="s">
        <v>991</v>
      </c>
      <c r="D16" s="9" t="s">
        <v>984</v>
      </c>
    </row>
    <row r="17" spans="2:4">
      <c r="B17" s="9" t="s">
        <v>1001</v>
      </c>
      <c r="C17" s="9" t="s">
        <v>991</v>
      </c>
      <c r="D17" s="9" t="s">
        <v>984</v>
      </c>
    </row>
    <row r="18" spans="2:4">
      <c r="B18" s="9" t="s">
        <v>1002</v>
      </c>
      <c r="C18" s="9" t="s">
        <v>911</v>
      </c>
      <c r="D18" s="9" t="s">
        <v>984</v>
      </c>
    </row>
    <row r="19" spans="2:4">
      <c r="B19" s="9" t="s">
        <v>1003</v>
      </c>
      <c r="C19" s="9" t="s">
        <v>991</v>
      </c>
      <c r="D19" s="9" t="s">
        <v>984</v>
      </c>
    </row>
    <row r="20" spans="2:4">
      <c r="B20" s="9" t="s">
        <v>1004</v>
      </c>
      <c r="C20" s="9" t="s">
        <v>999</v>
      </c>
      <c r="D20" s="9" t="s">
        <v>984</v>
      </c>
    </row>
    <row r="21" spans="2:4">
      <c r="B21" s="9" t="s">
        <v>1005</v>
      </c>
      <c r="C21" s="9" t="s">
        <v>7</v>
      </c>
      <c r="D21" s="9" t="s">
        <v>984</v>
      </c>
    </row>
    <row r="22" spans="2:4">
      <c r="B22" s="9" t="s">
        <v>1006</v>
      </c>
      <c r="C22" s="9" t="s">
        <v>986</v>
      </c>
      <c r="D22" s="9" t="s">
        <v>984</v>
      </c>
    </row>
    <row r="23" spans="2:4">
      <c r="B23" s="9" t="s">
        <v>1007</v>
      </c>
      <c r="C23" s="9" t="s">
        <v>7</v>
      </c>
      <c r="D23" s="9" t="s">
        <v>984</v>
      </c>
    </row>
    <row r="24" spans="2:4">
      <c r="B24" s="9" t="s">
        <v>1008</v>
      </c>
      <c r="C24" s="9" t="s">
        <v>999</v>
      </c>
      <c r="D24" s="9" t="s">
        <v>984</v>
      </c>
    </row>
    <row r="25" spans="2:4">
      <c r="B25" s="9" t="s">
        <v>1009</v>
      </c>
      <c r="C25" s="9" t="s">
        <v>991</v>
      </c>
      <c r="D25" s="9" t="s">
        <v>984</v>
      </c>
    </row>
    <row r="26" spans="2:4">
      <c r="B26" s="9" t="s">
        <v>1010</v>
      </c>
      <c r="C26" s="9" t="s">
        <v>994</v>
      </c>
      <c r="D26" s="9" t="s">
        <v>984</v>
      </c>
    </row>
    <row r="27" spans="2:4">
      <c r="B27" s="9" t="s">
        <v>1011</v>
      </c>
      <c r="C27" s="9" t="s">
        <v>691</v>
      </c>
      <c r="D27" s="9" t="s">
        <v>984</v>
      </c>
    </row>
    <row r="28" spans="2:4">
      <c r="B28" s="9" t="s">
        <v>1012</v>
      </c>
      <c r="C28" s="9" t="s">
        <v>1013</v>
      </c>
      <c r="D28" s="9" t="s">
        <v>984</v>
      </c>
    </row>
    <row r="29" spans="2:4">
      <c r="B29" s="9" t="s">
        <v>1014</v>
      </c>
      <c r="C29" s="9" t="s">
        <v>1015</v>
      </c>
      <c r="D29" s="9" t="s">
        <v>984</v>
      </c>
    </row>
    <row r="30" spans="2:4">
      <c r="B30" s="9" t="s">
        <v>1016</v>
      </c>
      <c r="C30" s="9" t="s">
        <v>1017</v>
      </c>
      <c r="D30" s="9" t="s">
        <v>984</v>
      </c>
    </row>
    <row r="31" spans="2:4">
      <c r="B31" s="9" t="s">
        <v>1018</v>
      </c>
      <c r="C31" s="9" t="s">
        <v>1015</v>
      </c>
      <c r="D31" s="9" t="s">
        <v>984</v>
      </c>
    </row>
    <row r="32" spans="2:4">
      <c r="B32" s="9" t="s">
        <v>1019</v>
      </c>
      <c r="C32" s="9" t="s">
        <v>1015</v>
      </c>
      <c r="D32" s="9" t="s">
        <v>984</v>
      </c>
    </row>
    <row r="33" spans="2:4">
      <c r="B33" s="9" t="s">
        <v>685</v>
      </c>
      <c r="C33" s="9" t="s">
        <v>1020</v>
      </c>
      <c r="D33" s="9" t="s">
        <v>1021</v>
      </c>
    </row>
    <row r="34" spans="2:4">
      <c r="B34" s="9" t="s">
        <v>685</v>
      </c>
      <c r="C34" s="9" t="s">
        <v>1022</v>
      </c>
      <c r="D34" s="9" t="s">
        <v>1023</v>
      </c>
    </row>
  </sheetData>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8"/>
    <pageSetUpPr fitToPage="1"/>
  </sheetPr>
  <dimension ref="A1:AM165"/>
  <sheetViews>
    <sheetView showGridLines="0" tabSelected="1" topLeftCell="A19" zoomScale="65" zoomScaleNormal="70" workbookViewId="0">
      <pane xSplit="1" topLeftCell="B1" activePane="topRight" state="frozen"/>
      <selection activeCell="AQ6" sqref="AQ6"/>
      <selection pane="topRight" sqref="A1:A1048576"/>
    </sheetView>
  </sheetViews>
  <sheetFormatPr defaultColWidth="11.15234375" defaultRowHeight="30" customHeight="1" outlineLevelCol="1"/>
  <cols>
    <col min="1" max="1" width="255.69140625" bestFit="1" customWidth="1"/>
    <col min="2" max="2" width="13.3046875" style="355" bestFit="1" customWidth="1"/>
    <col min="3" max="3" width="6.53515625" style="9" customWidth="1"/>
    <col min="4" max="4" width="13.3828125" style="9" customWidth="1" outlineLevel="1"/>
    <col min="5" max="5" width="28.69140625" style="9" customWidth="1" outlineLevel="1"/>
    <col min="6" max="6" width="30.3828125" style="9" customWidth="1" outlineLevel="1"/>
    <col min="7" max="7" width="29.3828125" style="9" customWidth="1" outlineLevel="1"/>
    <col min="8" max="8" width="29.15234375" style="9" customWidth="1" outlineLevel="1"/>
    <col min="9" max="9" width="33.3828125" style="9" customWidth="1" outlineLevel="1"/>
    <col min="10" max="10" width="26.3046875" style="9" customWidth="1" outlineLevel="1"/>
    <col min="11" max="11" width="8.69140625" style="9" customWidth="1" outlineLevel="1"/>
    <col min="12" max="12" width="84.69140625" style="9" bestFit="1" customWidth="1" outlineLevel="1"/>
    <col min="13" max="31" width="22.53515625" customWidth="1"/>
    <col min="32" max="32" width="25" customWidth="1" outlineLevel="1"/>
    <col min="33" max="33" width="19.3828125" customWidth="1" outlineLevel="1"/>
    <col min="34" max="34" width="19.84375" customWidth="1" outlineLevel="1"/>
    <col min="35" max="35" width="40.15234375" customWidth="1" outlineLevel="1"/>
    <col min="36" max="36" width="19.84375" customWidth="1"/>
    <col min="37" max="37" width="75.53515625" customWidth="1"/>
    <col min="38" max="38" width="19.3828125" customWidth="1"/>
    <col min="39" max="39" width="20" customWidth="1" collapsed="1"/>
    <col min="40" max="40" width="15.15234375" customWidth="1"/>
    <col min="41" max="41" width="45.3828125" customWidth="1"/>
  </cols>
  <sheetData>
    <row r="1" spans="1:36" ht="30" customHeight="1">
      <c r="A1" s="326" t="s">
        <v>1024</v>
      </c>
      <c r="B1" s="574"/>
    </row>
    <row r="2" spans="1:36" ht="30" customHeight="1" thickBot="1"/>
    <row r="3" spans="1:36" ht="30" customHeight="1">
      <c r="S3" s="822" t="s">
        <v>1025</v>
      </c>
      <c r="T3" s="823"/>
      <c r="U3" s="537">
        <v>330</v>
      </c>
      <c r="V3" s="289"/>
      <c r="W3" s="289"/>
      <c r="X3" s="824">
        <f>Y14</f>
        <v>46145.104166666672</v>
      </c>
      <c r="Y3" s="825"/>
    </row>
    <row r="4" spans="1:36" ht="30" customHeight="1">
      <c r="S4" s="819" t="s">
        <v>1026</v>
      </c>
      <c r="T4" s="794"/>
      <c r="U4" s="794"/>
      <c r="X4" s="276">
        <f ca="1">MAX(Планирование[Конец (цель)])</f>
        <v>46182.353749999922</v>
      </c>
      <c r="Y4" s="277" t="e">
        <f>#REF!</f>
        <v>#REF!</v>
      </c>
    </row>
    <row r="5" spans="1:36" ht="30" customHeight="1">
      <c r="S5" s="819" t="s">
        <v>1027</v>
      </c>
      <c r="T5" s="794"/>
      <c r="U5" s="794"/>
      <c r="X5" s="404">
        <f>MAX(Планирование[Нараст. сутки (план)])</f>
        <v>7.4962500000000016</v>
      </c>
      <c r="Y5" s="279">
        <f>SUM(Хронология[Сутки]) - SUMIF(Хронология[Этап], "ПР", Хронология[Сутки])</f>
        <v>37.531249999999879</v>
      </c>
    </row>
    <row r="6" spans="1:36" ht="30" customHeight="1">
      <c r="S6" s="819" t="s">
        <v>1028</v>
      </c>
      <c r="T6" s="794"/>
      <c r="U6" s="794"/>
      <c r="X6" s="280" t="e">
        <f ca="1">-(X4-Y4)</f>
        <v>#REF!</v>
      </c>
      <c r="Y6" s="281"/>
    </row>
    <row r="7" spans="1:36" ht="30" customHeight="1">
      <c r="S7" s="819" t="s">
        <v>1029</v>
      </c>
      <c r="T7" s="794"/>
      <c r="U7" s="794"/>
      <c r="X7" s="278">
        <f>Y7/24</f>
        <v>0</v>
      </c>
      <c r="Y7" s="279">
        <f>SUMIFS(
    Хронология[НПВ],
    Хронология[Скважина], Планирование!U3,
    Хронология[Окончание], "&gt;=" &amp; Планирование!X3
)</f>
        <v>0</v>
      </c>
    </row>
    <row r="8" spans="1:36" ht="30" customHeight="1">
      <c r="S8" s="819" t="s">
        <v>1030</v>
      </c>
      <c r="T8" s="794"/>
      <c r="U8" s="794"/>
      <c r="X8" s="278">
        <f>Y8/24</f>
        <v>0</v>
      </c>
      <c r="Y8" s="279">
        <f>SUMIFS(
    Хронология[ПНВ],
    Хронология[Скважина], Планирование!U3,
    Хронология[Окончание], "&gt;=" &amp; Планирование!X3
)</f>
        <v>0</v>
      </c>
    </row>
    <row r="9" spans="1:36" ht="30" customHeight="1" thickBot="1">
      <c r="S9" s="820" t="s">
        <v>1031</v>
      </c>
      <c r="T9" s="821"/>
      <c r="U9" s="821"/>
      <c r="V9" s="290"/>
      <c r="W9" s="290"/>
      <c r="X9" s="282">
        <f>Y5-X7</f>
        <v>37.531249999999879</v>
      </c>
      <c r="Y9" s="283"/>
    </row>
    <row r="11" spans="1:36" ht="30" customHeight="1">
      <c r="M11" s="826" t="s">
        <v>1032</v>
      </c>
      <c r="N11" s="827"/>
      <c r="O11" s="827"/>
      <c r="P11" s="827"/>
      <c r="Q11" s="827"/>
      <c r="R11" s="828"/>
      <c r="S11" s="829" t="s">
        <v>1033</v>
      </c>
      <c r="T11" s="827"/>
      <c r="U11" s="827"/>
      <c r="V11" s="827"/>
      <c r="W11" s="827"/>
      <c r="X11" s="830"/>
      <c r="Y11" s="831" t="s">
        <v>1034</v>
      </c>
      <c r="Z11" s="811"/>
      <c r="AA11" s="811"/>
      <c r="AB11" s="811"/>
      <c r="AC11" s="811"/>
      <c r="AD11" s="811"/>
      <c r="AE11" s="809"/>
      <c r="AJ11" s="291"/>
    </row>
    <row r="12" spans="1:36" s="292" customFormat="1" ht="42" customHeight="1">
      <c r="A12" s="284" t="s">
        <v>1035</v>
      </c>
      <c r="B12" s="575" t="s">
        <v>4</v>
      </c>
      <c r="C12" s="573" t="s">
        <v>10</v>
      </c>
      <c r="D12" s="338" t="s">
        <v>11</v>
      </c>
      <c r="E12" s="338" t="s">
        <v>12</v>
      </c>
      <c r="F12" s="338" t="s">
        <v>13</v>
      </c>
      <c r="G12" s="338" t="s">
        <v>14</v>
      </c>
      <c r="H12" s="338" t="s">
        <v>15</v>
      </c>
      <c r="I12" s="338" t="s">
        <v>16</v>
      </c>
      <c r="J12" s="338" t="s">
        <v>17</v>
      </c>
      <c r="K12" s="338" t="s">
        <v>18</v>
      </c>
      <c r="L12" s="573" t="s">
        <v>46</v>
      </c>
      <c r="M12" s="498" t="s">
        <v>1036</v>
      </c>
      <c r="N12" s="499" t="s">
        <v>1037</v>
      </c>
      <c r="O12" s="499" t="s">
        <v>1038</v>
      </c>
      <c r="P12" s="499" t="s">
        <v>1039</v>
      </c>
      <c r="Q12" s="499" t="s">
        <v>1040</v>
      </c>
      <c r="R12" s="499" t="s">
        <v>1041</v>
      </c>
      <c r="S12" s="544" t="s">
        <v>1042</v>
      </c>
      <c r="T12" s="510" t="s">
        <v>1043</v>
      </c>
      <c r="U12" s="545" t="s">
        <v>475</v>
      </c>
      <c r="V12" s="510" t="s">
        <v>1044</v>
      </c>
      <c r="W12" s="510" t="s">
        <v>1045</v>
      </c>
      <c r="X12" s="511" t="s">
        <v>1046</v>
      </c>
      <c r="Y12" s="284" t="s">
        <v>1047</v>
      </c>
      <c r="Z12" s="285" t="s">
        <v>1048</v>
      </c>
      <c r="AA12" s="285" t="s">
        <v>1049</v>
      </c>
      <c r="AB12" s="285" t="s">
        <v>1050</v>
      </c>
      <c r="AC12" s="285" t="s">
        <v>1051</v>
      </c>
      <c r="AD12" s="285" t="s">
        <v>1052</v>
      </c>
      <c r="AE12" s="286" t="s">
        <v>1053</v>
      </c>
      <c r="AF12" s="287" t="s">
        <v>1054</v>
      </c>
      <c r="AG12" s="287" t="s">
        <v>1055</v>
      </c>
      <c r="AH12" s="287" t="s">
        <v>1056</v>
      </c>
      <c r="AI12" s="288" t="s">
        <v>1057</v>
      </c>
      <c r="AJ12" s="251" t="s">
        <v>1058</v>
      </c>
    </row>
    <row r="13" spans="1:36" s="548" customFormat="1" ht="30" customHeight="1">
      <c r="A13" s="547" t="s">
        <v>1059</v>
      </c>
      <c r="B13" s="576" t="s">
        <v>53</v>
      </c>
      <c r="C13" s="579"/>
      <c r="D13" s="579" t="s">
        <v>57</v>
      </c>
      <c r="E13" s="579" t="s">
        <v>58</v>
      </c>
      <c r="F13" s="579"/>
      <c r="G13" s="579" t="s">
        <v>59</v>
      </c>
      <c r="H13" s="579" t="s">
        <v>60</v>
      </c>
      <c r="I13" s="579" t="s">
        <v>61</v>
      </c>
      <c r="J13" s="579" t="s">
        <v>62</v>
      </c>
      <c r="K13" s="579"/>
      <c r="L13" s="512" t="str">
        <f>IF(Планирование[[#This Row],[Контекст простоя]]="Штатно", Планирование[[#This Row],[Скважина]] &amp; " " &amp; "ОК–" &amp;Планирование[[#This Row],[ОК]] &amp; " "  &amp; Планирование[[#This Row],[Этап]] &amp; " " &amp; Планирование[[#This Row],[Вид работ]] &amp; " " &amp; Планирование[[#This Row],[Объект работ]] &amp; " " &amp; Планирование[[#This Row],[Рейс]], Планирование[[#This Row],[Скважина]] &amp; " " &amp; "ОК–" &amp;Планирование[[#This Row],[ОК]] &amp; " " &amp; Планирование[[#This Row],[Этап]] &amp; " " &amp; Планирование[[#This Row],[Контекст простоя]] &amp; " " &amp; Планирование[[#This Row],[Событие]] &amp; " " &amp; Планирование[[#This Row],[Вид работ]] &amp; " " &amp; Планирование[[#This Row],[Объект работ]] &amp; " " &amp; Планирование[[#This Row],[Рейс]])</f>
        <v xml:space="preserve">6 бис ОК– ДПМ Передвижка УПА </v>
      </c>
      <c r="M13" s="559">
        <f>IF(Планирование[[#This Row],[Скважина]]&lt;&gt;B12, Планирование[[#This Row],[Начало (факт)]], N12)</f>
        <v>46144.833333333343</v>
      </c>
      <c r="N13" s="553">
        <f>Планирование[[#This Row],[Начало (цель)]]+Планирование[[#This Row],[Сутки (цель)]]</f>
        <v>46145.098750000012</v>
      </c>
      <c r="O13" s="554">
        <v>6.37</v>
      </c>
      <c r="Q13" s="555">
        <f>Планирование[[#This Row],[Часы (цель)]]/24</f>
        <v>0.26541666666666669</v>
      </c>
      <c r="R13" s="555">
        <f>Планирование[[#This Row],[Сутки (цель)]]</f>
        <v>0.26541666666666669</v>
      </c>
      <c r="S13" s="552">
        <f>Планирование[[#This Row],[Начало (цель)]]</f>
        <v>46144.833333333343</v>
      </c>
      <c r="T13" s="553">
        <f>Планирование[[#This Row],[Начало (план)]]+Планирование[[#This Row],[Сутки (план)]]</f>
        <v>46145.098750000012</v>
      </c>
      <c r="U13" s="556">
        <f>Планирование[[#This Row],[Часы (цель)]]</f>
        <v>6.37</v>
      </c>
      <c r="V13" s="557">
        <f>Планирование[[#This Row],[Забой, м (цель)]]</f>
        <v>0</v>
      </c>
      <c r="W13" s="555">
        <f>Планирование[[#This Row],[Часы (план)]]/24</f>
        <v>0.26541666666666669</v>
      </c>
      <c r="X13" s="558">
        <f>Планирование[[#This Row],[Сутки (план)]]</f>
        <v>0.26541666666666669</v>
      </c>
      <c r="Y13" s="559">
        <f t="array" ref="Y13">IFERROR(
    INDEX(Хронология[Начало], MATCH(1, (Хронология[Ключ]=Планирование[[#This Row],[Ключ]]) * (Хронология[Подытог за операцию]=MIN(IF(Хронология[Ключ]=Планирование[[#This Row],[Ключ]], Хронология[Подытог за операцию]))), 0)),
    Z12
)</f>
        <v>46144.833333333343</v>
      </c>
      <c r="Z13" s="560">
        <f t="array" aca="1" ref="Z13" ca="1">MAX(IFERROR(
    INDEX(Хронология[Окончание], MATCH(1, (Хронология[Ключ]=Планирование[[#This Row],[Ключ]]) * (Хронология[Подытог за операцию]=MAX(IF(Хронология[Ключ]=Планирование[[#This Row],[Ключ]], Хронология[Подытог за операцию]))), 0)),
    Y13+AC13
), Планирование[[#This Row],[Начало (факт)]]+Планирование[[#This Row],[Сутки (факт)]])</f>
        <v>46145.104166666672</v>
      </c>
      <c r="AA13" s="561">
        <f ca="1">IF(AND(Планирование[[#This Row],[Начало (факт)]]=Y14, Планирование[[#This Row],[Забой, м (факт)]]=0), 0, Планирование[[#This Row],[Сутки (факт)]]*24)</f>
        <v>6.370000000000001</v>
      </c>
      <c r="AB13" s="561">
        <f ca="1">Планирование[[#This Row],[Часы (факт)]]-Планирование[[#This Row],[НПВ за операцию, часы]]-Планирование[[#This Row],[ПНВ, часы]]</f>
        <v>6.370000000000001</v>
      </c>
      <c r="AC13" s="562">
        <f t="array" aca="1" ref="AC13" ca="1">IFERROR(
  IF(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окончены",
    MAX(IF(Хронология[Ключ]=Планирование[[#This Row],[Ключ]], Хронология[Подытог за операцию])),
    IF(
      Планирование[[#This Row],[Событие]]="Мех. бурение",
      (MAX(Хронология[Окончание]) - Планирование[[#This Row],[Начало (факт)]]) +
      (Планирование[[#This Row],[Забой, м (план)]] - Планирование[[#This Row],[Забой, м (факт)]]) /
      ((Планирование[[#This Row],[Забой, м (план)]] - V12)/Планирование[[#This Row],[Сутки (план)]]),
      IF(
        AND(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продолжаются",
          Планирование[[#This Row],[Начало (факт)]]&gt;0
        ),
        (TODAY()-Планирование[[#This Row],[Начало (факт)]]),
        IF(
          AND(Планирование[[#This Row],[Начало (факт)]]=0,
            Планирование[[#This Row],[Начало (план)]] &gt; MAX(Хронология[Начало])),
          Планирование[[#This Row],[Сутки (план)]],
          IF(
            AND((TODAY()-Планирование[[#This Row],[Начало (план)]])&gt;1,
              ISERR(MATCH(Планирование[[#This Row],[Ключ]], Хронология[Ключ], 0))),
            0,
            Планирование[[#This Row],[Сутки (план)]]
          )
        )
      )
    )
  ),
  Планирование[[#This Row],[Сутки (план)]]
)</f>
        <v>0.26541666666666669</v>
      </c>
      <c r="AD13" s="562">
        <f t="array" ref="AD13">IF(MAX(IF(Хронология[Ключ]=Планирование[[#This Row],[Ключ]], Хронология[Нараст. сутки]))=0,
AD12+Планирование[[#This Row],[Сутки (факт)]] +Планирование[[#This Row],[НПВ между операциями, часы]],
MAX(IF(Хронология[Ключ]=Планирование[[#This Row],[Ключ]], Хронология[Нараст. сутки])))</f>
        <v>0.27083333333333331</v>
      </c>
      <c r="AE13" s="563">
        <f t="array" ref="AE13">MAX(IF(Хронология[Ключ]=Планирование[[#This Row],[Ключ]], Хронология[Забой, м]))</f>
        <v>0</v>
      </c>
      <c r="AF13" s="556">
        <f ca="1">IFERROR(
    SUMIFS(
        Хронология[Часы],
        Хронология[Результат], "НПВ: нет в ГГД",
        Хронология[Начало], "&gt;=" &amp; Планирование[[#This Row],[Начало (факт)]],
        Хронология[Окончание], "&lt;=" &amp; Планирование[[#This Row],[Конец (факт, прогноз)]]
    ),
    0
)</f>
        <v>0</v>
      </c>
      <c r="AG13" s="556">
        <f ca="1">IFERROR(
    SUMIFS(
        Хронология[Часы],
        Хронология[Результат], "НПВ: нет в ГГД",
        Хронология[Начало], "&gt;=" &amp; Планирование[[#This Row],[Конец (факт, прогноз)]],
        Хронология[Окончание], "&lt;=" &amp; Y14
    ),
    0
)</f>
        <v>0</v>
      </c>
      <c r="AH13" s="558">
        <f ca="1">ROUND(IF(Планирование[[#This Row],[Часы (факт)]]-Планирование[[#This Row],[НПВ за операцию, часы]]-Планирование[[#This Row],[Часы (план)]] &lt;0, 0, Планирование[[#This Row],[Часы (факт)]]-Планирование[[#This Row],[НПВ за операцию, часы]]-Планирование[[#This Row],[Часы (план)]]), 2)</f>
        <v>0</v>
      </c>
      <c r="AI13" s="564" t="s">
        <v>1060</v>
      </c>
      <c r="AJ13" s="565">
        <f ca="1">Планирование[[#This Row],[Конец (план)]]-Планирование[[#This Row],[Конец (факт, прогноз)]]</f>
        <v>-5.4166666595847346E-3</v>
      </c>
    </row>
    <row r="14" spans="1:36" ht="30" customHeight="1">
      <c r="A14" s="508" t="s">
        <v>1061</v>
      </c>
      <c r="B14" s="577" t="s">
        <v>53</v>
      </c>
      <c r="C14" s="543"/>
      <c r="D14" s="543" t="s">
        <v>57</v>
      </c>
      <c r="E14" s="543" t="s">
        <v>58</v>
      </c>
      <c r="F14" s="543"/>
      <c r="G14" s="543" t="s">
        <v>69</v>
      </c>
      <c r="H14" s="543" t="s">
        <v>70</v>
      </c>
      <c r="I14" s="543" t="s">
        <v>61</v>
      </c>
      <c r="J14" s="543" t="s">
        <v>71</v>
      </c>
      <c r="K14" s="543"/>
      <c r="L14" s="9" t="str">
        <f>IF(Планирование[[#This Row],[Контекст простоя]]="Штатно", Планирование[[#This Row],[Скважина]] &amp; " " &amp; "ОК–" &amp;Планирование[[#This Row],[ОК]] &amp; " "  &amp; Планирование[[#This Row],[Этап]] &amp; " " &amp; Планирование[[#This Row],[Вид работ]] &amp; " " &amp; Планирование[[#This Row],[Объект работ]] &amp; " " &amp; Планирование[[#This Row],[Рейс]], Планирование[[#This Row],[Скважина]] &amp; " " &amp; "ОК–" &amp;Планирование[[#This Row],[ОК]] &amp; " " &amp; Планирование[[#This Row],[Этап]] &amp; " " &amp; Планирование[[#This Row],[Контекст простоя]] &amp; " " &amp; Планирование[[#This Row],[Событие]] &amp; " " &amp; Планирование[[#This Row],[Вид работ]] &amp; " " &amp; Планирование[[#This Row],[Объект работ]] &amp; " " &amp; Планирование[[#This Row],[Рейс]])</f>
        <v xml:space="preserve">6 бис ОК– ДПМ Монтаж БО </v>
      </c>
      <c r="M14" s="551">
        <f>IF(Планирование[[#This Row],[Скважина]]&lt;&gt;B13, Планирование[[#This Row],[Начало (факт)]], N13)</f>
        <v>46145.098750000012</v>
      </c>
      <c r="N14" s="4">
        <f>Планирование[[#This Row],[Начало (цель)]]+Планирование[[#This Row],[Сутки (цель)]]</f>
        <v>46145.267083333347</v>
      </c>
      <c r="O14" s="233">
        <v>4.04</v>
      </c>
      <c r="Q14" s="5">
        <f>Планирование[[#This Row],[Часы (цель)]]/24</f>
        <v>0.16833333333333333</v>
      </c>
      <c r="R14" s="5">
        <f>Планирование[[#This Row],[Сутки (цель)]]</f>
        <v>0.16833333333333333</v>
      </c>
      <c r="S14" s="551">
        <f>Планирование[[#This Row],[Начало (цель)]]</f>
        <v>46145.098750000012</v>
      </c>
      <c r="T14" s="4">
        <f>Планирование[[#This Row],[Начало (план)]]+Планирование[[#This Row],[Сутки (план)]]</f>
        <v>46145.267083333347</v>
      </c>
      <c r="U14" s="233">
        <f>Планирование[[#This Row],[Часы (цель)]]</f>
        <v>4.04</v>
      </c>
      <c r="V14">
        <f>Планирование[[#This Row],[Забой, м (цель)]]</f>
        <v>0</v>
      </c>
      <c r="W14" s="5">
        <f>Планирование[[#This Row],[Часы (план)]]/24</f>
        <v>0.16833333333333333</v>
      </c>
      <c r="X14" s="550">
        <f>Планирование[[#This Row],[Сутки (план)]]+X13</f>
        <v>0.43375000000000002</v>
      </c>
      <c r="Y14" s="551">
        <f t="array" ref="Y14">IFERROR(
    INDEX(Хронология[Начало], MATCH(1, (Хронология[Ключ]=Планирование[[#This Row],[Ключ]]) * (Хронология[Подытог за операцию]=MIN(IF(Хронология[Ключ]=Планирование[[#This Row],[Ключ]], Хронология[Подытог за операцию]))), 0)),
    Z13
)</f>
        <v>46145.104166666672</v>
      </c>
      <c r="Z14" s="4">
        <f t="array" aca="1" ref="Z14" ca="1">MAX(IFERROR(
    INDEX(Хронология[Окончание], MATCH(1, (Хронология[Ключ]=Планирование[[#This Row],[Ключ]]) * (Хронология[Подытог за операцию]=MAX(IF(Хронология[Ключ]=Планирование[[#This Row],[Ключ]], Хронология[Подытог за операцию]))), 0)),
    Y14+AC14
), Планирование[[#This Row],[Начало (факт)]]+Планирование[[#This Row],[Сутки (факт)]])</f>
        <v>46145.281250000007</v>
      </c>
      <c r="AA14" s="233">
        <f ca="1">IF(AND(Планирование[[#This Row],[Начало (факт)]]=Y15, Планирование[[#This Row],[Забой, м (факт)]]=0), 0, Планирование[[#This Row],[Сутки (факт)]]*24)</f>
        <v>4.25</v>
      </c>
      <c r="AB14" s="233">
        <f ca="1">Планирование[[#This Row],[Часы (факт)]]-Планирование[[#This Row],[НПВ за операцию, часы]]-Планирование[[#This Row],[ПНВ, часы]]</f>
        <v>4.04</v>
      </c>
      <c r="AC14" s="5">
        <f t="array" aca="1" ref="AC14" ca="1">IFERROR(
  IF(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окончены",
    MAX(IF(Хронология[Ключ]=Планирование[[#This Row],[Ключ]], Хронология[Подытог за операцию])),
    IF(
      Планирование[[#This Row],[Событие]]="Мех. бурение",
      (MAX(Хронология[Окончание]) - Планирование[[#This Row],[Начало (факт)]]) +
      (Планирование[[#This Row],[Забой, м (план)]] - Планирование[[#This Row],[Забой, м (факт)]]) /
      ((Планирование[[#This Row],[Забой, м (план)]] - V13)/Планирование[[#This Row],[Сутки (план)]]),
      IF(
        AND(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продолжаются",
          Планирование[[#This Row],[Начало (факт)]]&gt;0
        ),
        (TODAY()-Планирование[[#This Row],[Начало (факт)]]),
        IF(
          AND(Планирование[[#This Row],[Начало (факт)]]=0,
            Планирование[[#This Row],[Начало (план)]] &gt; MAX(Хронология[Начало])),
          Планирование[[#This Row],[Сутки (план)]],
          IF(
            AND((TODAY()-Планирование[[#This Row],[Начало (план)]])&gt;1,
              ISERR(MATCH(Планирование[[#This Row],[Ключ]], Хронология[Ключ], 0))),
            0,
            Планирование[[#This Row],[Сутки (план)]]
          )
        )
      )
    )
  ),
  Планирование[[#This Row],[Сутки (план)]]
)</f>
        <v>0.17708333333333334</v>
      </c>
      <c r="AD14" s="5">
        <f ca="1">Планирование[[#This Row],[Сутки (факт)]]</f>
        <v>0.17708333333333334</v>
      </c>
      <c r="AE14" s="566">
        <f t="array" ref="AE14">MAX(IF(Хронология[Ключ]=Планирование[[#This Row],[Ключ]], Хронология[Забой, м]))</f>
        <v>0</v>
      </c>
      <c r="AF14" s="233">
        <f ca="1">IFERROR(
    SUMIFS(
        Хронология[Часы],
        Хронология[Результат], "НПВ: нет в ГГД",
        Хронология[Начало], "&gt;=" &amp; Планирование[[#This Row],[Начало (факт)]],
        Хронология[Окончание], "&lt;=" &amp; Планирование[[#This Row],[Конец (факт, прогноз)]]
    ),
    0
)</f>
        <v>0</v>
      </c>
      <c r="AG14" s="233">
        <f ca="1">IFERROR(
    SUMIFS(
        Хронология[Часы],
        Хронология[Результат], "НПВ: нет в ГГД",
        Хронология[Начало], "&gt;=" &amp; Планирование[[#This Row],[Конец (факт, прогноз)]],
        Хронология[Окончание], "&lt;=" &amp; Y15
    ),
    0
)</f>
        <v>0</v>
      </c>
      <c r="AH14" s="550">
        <f ca="1">ROUND(IF(Планирование[[#This Row],[Часы (факт)]]-Планирование[[#This Row],[НПВ за операцию, часы]]-Планирование[[#This Row],[Часы (план)]] &lt;0, 0, Планирование[[#This Row],[Часы (факт)]]-Планирование[[#This Row],[НПВ за операцию, часы]]-Планирование[[#This Row],[Часы (план)]]), 2)</f>
        <v>0.21</v>
      </c>
      <c r="AI14" s="567" t="s">
        <v>1060</v>
      </c>
      <c r="AJ14" s="568">
        <f ca="1">Планирование[[#This Row],[Конец (план)]]-Планирование[[#This Row],[Конец (факт, прогноз)]]</f>
        <v>-1.416666666045785E-2</v>
      </c>
    </row>
    <row r="15" spans="1:36" ht="30" customHeight="1">
      <c r="A15" s="508" t="s">
        <v>1062</v>
      </c>
      <c r="B15" s="577" t="s">
        <v>53</v>
      </c>
      <c r="C15" s="543"/>
      <c r="D15" s="543" t="s">
        <v>59</v>
      </c>
      <c r="E15" s="543" t="s">
        <v>58</v>
      </c>
      <c r="F15" s="543"/>
      <c r="G15" s="543" t="s">
        <v>69</v>
      </c>
      <c r="H15" s="543" t="s">
        <v>70</v>
      </c>
      <c r="I15" s="543" t="s">
        <v>61</v>
      </c>
      <c r="J15" s="543" t="s">
        <v>62</v>
      </c>
      <c r="K15" s="543"/>
      <c r="L15" s="9" t="str">
        <f>IF(Планирование[[#This Row],[Контекст простоя]]="Штатно", Планирование[[#This Row],[Скважина]] &amp; " " &amp; "ОК–" &amp;Планирование[[#This Row],[ОК]] &amp; " "  &amp; Планирование[[#This Row],[Этап]] &amp; " " &amp; Планирование[[#This Row],[Вид работ]] &amp; " " &amp; Планирование[[#This Row],[Объект работ]] &amp; " " &amp; Планирование[[#This Row],[Рейс]], Планирование[[#This Row],[Скважина]] &amp; " " &amp; "ОК–" &amp;Планирование[[#This Row],[ОК]] &amp; " " &amp; Планирование[[#This Row],[Этап]] &amp; " " &amp; Планирование[[#This Row],[Контекст простоя]] &amp; " " &amp; Планирование[[#This Row],[Событие]] &amp; " " &amp; Планирование[[#This Row],[Вид работ]] &amp; " " &amp; Планирование[[#This Row],[Объект работ]] &amp; " " &amp; Планирование[[#This Row],[Рейс]])</f>
        <v xml:space="preserve">6 бис ОК– ПР Монтаж УПА </v>
      </c>
      <c r="M15" s="551">
        <f>IF(Планирование[[#This Row],[Скважина]]&lt;&gt;B14, Планирование[[#This Row],[Начало (факт)]], N14)</f>
        <v>46145.267083333347</v>
      </c>
      <c r="N15" s="4">
        <f>Планирование[[#This Row],[Начало (цель)]]+Планирование[[#This Row],[Сутки (цель)]]</f>
        <v>46145.604166666679</v>
      </c>
      <c r="O15" s="233">
        <v>8.09</v>
      </c>
      <c r="Q15" s="5">
        <f>Планирование[[#This Row],[Часы (цель)]]/24</f>
        <v>0.33708333333333335</v>
      </c>
      <c r="R15" s="5">
        <f>R14+Планирование[[#This Row],[Сутки (цель)]]</f>
        <v>0.50541666666666663</v>
      </c>
      <c r="S15" s="551">
        <f>Планирование[[#This Row],[Начало (цель)]]</f>
        <v>46145.267083333347</v>
      </c>
      <c r="T15" s="4">
        <f>Планирование[[#This Row],[Начало (план)]]+Планирование[[#This Row],[Сутки (план)]]</f>
        <v>46145.604166666679</v>
      </c>
      <c r="U15" s="233">
        <f>Планирование[[#This Row],[Часы (цель)]]</f>
        <v>8.09</v>
      </c>
      <c r="V15">
        <f>Планирование[[#This Row],[Забой, м (цель)]]</f>
        <v>0</v>
      </c>
      <c r="W15" s="5">
        <f>Планирование[[#This Row],[Часы (план)]]/24</f>
        <v>0.33708333333333335</v>
      </c>
      <c r="X15" s="550">
        <f>Планирование[[#This Row],[Сутки (план)]]+X14</f>
        <v>0.77083333333333337</v>
      </c>
      <c r="Y15" s="551">
        <f t="array" ref="Y15">IFERROR(
    INDEX(Хронология[Начало], MATCH(1, (Хронология[Ключ]=Планирование[[#This Row],[Ключ]]) * (Хронология[Подытог за операцию]=MIN(IF(Хронология[Ключ]=Планирование[[#This Row],[Ключ]], Хронология[Подытог за операцию]))), 0)),
    Z14
)</f>
        <v>46145.281250000007</v>
      </c>
      <c r="Z15" s="4">
        <f t="array" aca="1" ref="Z15" ca="1">MAX(IFERROR(
    INDEX(Хронология[Окончание], MATCH(1, (Хронология[Ключ]=Планирование[[#This Row],[Ключ]]) * (Хронология[Подытог за операцию]=MAX(IF(Хронология[Ключ]=Планирование[[#This Row],[Ключ]], Хронология[Подытог за операцию]))), 0)),
    Y15+AC15
), Планирование[[#This Row],[Начало (факт)]]+Планирование[[#This Row],[Сутки (факт)]])</f>
        <v>46145.750000000007</v>
      </c>
      <c r="AA15" s="233">
        <f ca="1">IF(AND(Планирование[[#This Row],[Начало (факт)]]=Y16, Планирование[[#This Row],[Забой, м (факт)]]=0), 0, Планирование[[#This Row],[Сутки (факт)]]*24)</f>
        <v>11.25</v>
      </c>
      <c r="AB15" s="233">
        <f ca="1">Планирование[[#This Row],[Часы (факт)]]-Планирование[[#This Row],[НПВ за операцию, часы]]-Планирование[[#This Row],[ПНВ, часы]]</f>
        <v>8.09</v>
      </c>
      <c r="AC15" s="5">
        <f t="array" aca="1" ref="AC15" ca="1">IFERROR(
  IF(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окончены",
    MAX(IF(Хронология[Ключ]=Планирование[[#This Row],[Ключ]], Хронология[Подытог за операцию])),
    IF(
      Планирование[[#This Row],[Событие]]="Мех. бурение",
      (MAX(Хронология[Окончание]) - Планирование[[#This Row],[Начало (факт)]]) +
      (Планирование[[#This Row],[Забой, м (план)]] - Планирование[[#This Row],[Забой, м (факт)]]) /
      ((Планирование[[#This Row],[Забой, м (план)]] - V14)/Планирование[[#This Row],[Сутки (план)]]),
      IF(
        AND(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продолжаются",
          Планирование[[#This Row],[Начало (факт)]]&gt;0
        ),
        (TODAY()-Планирование[[#This Row],[Начало (факт)]]),
        IF(
          AND(Планирование[[#This Row],[Начало (факт)]]=0,
            Планирование[[#This Row],[Начало (план)]] &gt; MAX(Хронология[Начало])),
          Планирование[[#This Row],[Сутки (план)]],
          IF(
            AND((TODAY()-Планирование[[#This Row],[Начало (план)]])&gt;1,
              ISERR(MATCH(Планирование[[#This Row],[Ключ]], Хронология[Ключ], 0))),
            0,
            Планирование[[#This Row],[Сутки (план)]]
          )
        )
      )
    )
  ),
  Планирование[[#This Row],[Сутки (план)]]
)</f>
        <v>0.46875</v>
      </c>
      <c r="AD15" s="5">
        <f ca="1">Планирование[[#This Row],[Сутки (факт)]]</f>
        <v>0.46875</v>
      </c>
      <c r="AE15" s="566">
        <f t="array" ref="AE15">MAX(IF(Хронология[Ключ]=Планирование[[#This Row],[Ключ]], Хронология[Забой, м]))</f>
        <v>0</v>
      </c>
      <c r="AF15" s="233">
        <f ca="1">IFERROR(
    SUMIFS(
        Хронология[Часы],
        Хронология[Результат], "НПВ: нет в ГГД",
        Хронология[Начало], "&gt;=" &amp; Планирование[[#This Row],[Начало (факт)]],
        Хронология[Окончание], "&lt;=" &amp; Планирование[[#This Row],[Конец (факт, прогноз)]]
    ),
    0
)</f>
        <v>0</v>
      </c>
      <c r="AG15" s="233">
        <f ca="1">IFERROR(
    SUMIFS(
        Хронология[Часы],
        Хронология[Результат], "НПВ: нет в ГГД",
        Хронология[Начало], "&gt;=" &amp; Планирование[[#This Row],[Конец (факт, прогноз)]],
        Хронология[Окончание], "&lt;=" &amp; Y16
    ),
    0
)</f>
        <v>0</v>
      </c>
      <c r="AH15" s="550">
        <f ca="1">ROUND(IF(Планирование[[#This Row],[Часы (факт)]]-Планирование[[#This Row],[НПВ за операцию, часы]]-Планирование[[#This Row],[Часы (план)]] &lt;0, 0, Планирование[[#This Row],[Часы (факт)]]-Планирование[[#This Row],[НПВ за операцию, часы]]-Планирование[[#This Row],[Часы (план)]]), 2)</f>
        <v>3.16</v>
      </c>
      <c r="AI15" s="567" t="s">
        <v>1060</v>
      </c>
      <c r="AJ15" s="568">
        <f ca="1">Планирование[[#This Row],[Конец (план)]]-Планирование[[#This Row],[Конец (факт, прогноз)]]</f>
        <v>-0.14583333332848269</v>
      </c>
    </row>
    <row r="16" spans="1:36" ht="30" customHeight="1">
      <c r="A16" s="508" t="s">
        <v>1063</v>
      </c>
      <c r="B16" s="577" t="s">
        <v>53</v>
      </c>
      <c r="C16" s="543"/>
      <c r="D16" s="543" t="s">
        <v>51</v>
      </c>
      <c r="E16" s="543" t="s">
        <v>58</v>
      </c>
      <c r="F16" s="543"/>
      <c r="G16" s="543" t="s">
        <v>95</v>
      </c>
      <c r="H16" s="543" t="s">
        <v>85</v>
      </c>
      <c r="I16" s="543" t="s">
        <v>86</v>
      </c>
      <c r="J16" s="543" t="s">
        <v>87</v>
      </c>
      <c r="K16" s="543"/>
      <c r="L16" s="9" t="str">
        <f>IF(Планирование[[#This Row],[Контекст простоя]]="Штатно", Планирование[[#This Row],[Скважина]] &amp; " " &amp; "ОК–" &amp;Планирование[[#This Row],[ОК]] &amp; " "  &amp; Планирование[[#This Row],[Этап]] &amp; " " &amp; Планирование[[#This Row],[Вид работ]] &amp; " " &amp; Планирование[[#This Row],[Объект работ]] &amp; " " &amp; Планирование[[#This Row],[Рейс]], Планирование[[#This Row],[Скважина]] &amp; " " &amp; "ОК–" &amp;Планирование[[#This Row],[ОК]] &amp; " " &amp; Планирование[[#This Row],[Этап]] &amp; " " &amp; Планирование[[#This Row],[Контекст простоя]] &amp; " " &amp; Планирование[[#This Row],[Событие]] &amp; " " &amp; Планирование[[#This Row],[Вид работ]] &amp; " " &amp; Планирование[[#This Row],[Объект работ]] &amp; " " &amp; Планирование[[#This Row],[Рейс]])</f>
        <v xml:space="preserve">6 бис ОК– КРС Срыв Планшайба </v>
      </c>
      <c r="M16" s="551">
        <f>IF(Планирование[[#This Row],[Скважина]]&lt;&gt;B15, Планирование[[#This Row],[Начало (факт)]], N15)</f>
        <v>46145.604166666679</v>
      </c>
      <c r="N16" s="4">
        <f>Планирование[[#This Row],[Начало (цель)]]+Планирование[[#This Row],[Сутки (цель)]]</f>
        <v>46145.665833333347</v>
      </c>
      <c r="O16" s="233">
        <v>1.48</v>
      </c>
      <c r="Q16" s="5">
        <f>Планирование[[#This Row],[Часы (цель)]]/24</f>
        <v>6.1666666666666668E-2</v>
      </c>
      <c r="R16" s="5">
        <f>R15+Планирование[[#This Row],[Сутки (цель)]]</f>
        <v>0.56708333333333327</v>
      </c>
      <c r="S16" s="551">
        <f>Планирование[[#This Row],[Начало (цель)]]</f>
        <v>46145.604166666679</v>
      </c>
      <c r="T16" s="4">
        <f>Планирование[[#This Row],[Начало (план)]]+Планирование[[#This Row],[Сутки (план)]]</f>
        <v>46145.665833333347</v>
      </c>
      <c r="U16" s="233">
        <f>Планирование[[#This Row],[Часы (цель)]]</f>
        <v>1.48</v>
      </c>
      <c r="V16">
        <f>Планирование[[#This Row],[Забой, м (цель)]]</f>
        <v>0</v>
      </c>
      <c r="W16" s="5">
        <f>Планирование[[#This Row],[Часы (план)]]/24</f>
        <v>6.1666666666666668E-2</v>
      </c>
      <c r="X16" s="550">
        <f>Планирование[[#This Row],[Сутки (план)]]+X15</f>
        <v>0.83250000000000002</v>
      </c>
      <c r="Y16" s="551">
        <f t="array" ref="Y16">IFERROR(
    INDEX(Хронология[Начало], MATCH(1, (Хронология[Ключ]=Планирование[[#This Row],[Ключ]]) * (Хронология[Подытог за операцию]=MIN(IF(Хронология[Ключ]=Планирование[[#This Row],[Ключ]], Хронология[Подытог за операцию]))), 0)),
    Z15
)</f>
        <v>46146.125000000007</v>
      </c>
      <c r="Z16" s="4">
        <f t="array" aca="1" ref="Z16" ca="1">MAX(IFERROR(
    INDEX(Хронология[Окончание], MATCH(1, (Хронология[Ключ]=Планирование[[#This Row],[Ключ]]) * (Хронология[Подытог за операцию]=MAX(IF(Хронология[Ключ]=Планирование[[#This Row],[Ключ]], Хронология[Подытог за операцию]))), 0)),
    Y16+AC16
), Планирование[[#This Row],[Начало (факт)]]+Планирование[[#This Row],[Сутки (факт)]])</f>
        <v>46146.333333333343</v>
      </c>
      <c r="AA16" s="233">
        <f ca="1">IF(AND(Планирование[[#This Row],[Начало (факт)]]=Y17, Планирование[[#This Row],[Забой, м (факт)]]=0), 0, Планирование[[#This Row],[Сутки (факт)]]*24)</f>
        <v>5</v>
      </c>
      <c r="AB16" s="233">
        <f ca="1">Планирование[[#This Row],[Часы (факт)]]-Планирование[[#This Row],[НПВ за операцию, часы]]-Планирование[[#This Row],[ПНВ, часы]]</f>
        <v>1.48</v>
      </c>
      <c r="AC16" s="5">
        <f t="array" aca="1" ref="AC16" ca="1">IFERROR(
  IF(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окончены",
    MAX(IF(Хронология[Ключ]=Планирование[[#This Row],[Ключ]], Хронология[Подытог за операцию])),
    IF(
      Планирование[[#This Row],[Событие]]="Мех. бурение",
      (MAX(Хронология[Окончание]) - Планирование[[#This Row],[Начало (факт)]]) +
      (Планирование[[#This Row],[Забой, м (план)]] - Планирование[[#This Row],[Забой, м (факт)]]) /
      ((Планирование[[#This Row],[Забой, м (план)]] - V15)/Планирование[[#This Row],[Сутки (план)]]),
      IF(
        AND(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продолжаются",
          Планирование[[#This Row],[Начало (факт)]]&gt;0
        ),
        (TODAY()-Планирование[[#This Row],[Начало (факт)]]),
        IF(
          AND(Планирование[[#This Row],[Начало (факт)]]=0,
            Планирование[[#This Row],[Начало (план)]] &gt; MAX(Хронология[Начало])),
          Планирование[[#This Row],[Сутки (план)]],
          IF(
            AND((TODAY()-Планирование[[#This Row],[Начало (план)]])&gt;1,
              ISERR(MATCH(Планирование[[#This Row],[Ключ]], Хронология[Ключ], 0))),
            0,
            Планирование[[#This Row],[Сутки (план)]]
          )
        )
      )
    )
  ),
  Планирование[[#This Row],[Сутки (план)]]
)</f>
        <v>0.20833333333333334</v>
      </c>
      <c r="AD16" s="5">
        <f ca="1">Планирование[[#This Row],[Сутки (факт)]]</f>
        <v>0.20833333333333334</v>
      </c>
      <c r="AE16" s="566">
        <f t="array" ref="AE16">MAX(IF(Хронология[Ключ]=Планирование[[#This Row],[Ключ]], Хронология[Забой, м]))</f>
        <v>0</v>
      </c>
      <c r="AF16" s="233">
        <f ca="1">IFERROR(
    SUMIFS(
        Хронология[Часы],
        Хронология[Результат], "НПВ: нет в ГГД",
        Хронология[Начало], "&gt;=" &amp; Планирование[[#This Row],[Начало (факт)]],
        Хронология[Окончание], "&lt;=" &amp; Планирование[[#This Row],[Конец (факт, прогноз)]]
    ),
    0
)</f>
        <v>0</v>
      </c>
      <c r="AG16" s="233">
        <f ca="1">IFERROR(
    SUMIFS(
        Хронология[Часы],
        Хронология[Результат], "НПВ: нет в ГГД",
        Хронология[Начало], "&gt;=" &amp; Планирование[[#This Row],[Конец (факт, прогноз)]],
        Хронология[Окончание], "&lt;=" &amp; Y17
    ),
    0
)</f>
        <v>0</v>
      </c>
      <c r="AH16" s="550">
        <f ca="1">ROUND(IF(Планирование[[#This Row],[Часы (факт)]]-Планирование[[#This Row],[НПВ за операцию, часы]]-Планирование[[#This Row],[Часы (план)]] &lt;0, 0, Планирование[[#This Row],[Часы (факт)]]-Планирование[[#This Row],[НПВ за операцию, часы]]-Планирование[[#This Row],[Часы (план)]]), 2)</f>
        <v>3.52</v>
      </c>
      <c r="AI16" s="567" t="s">
        <v>1060</v>
      </c>
      <c r="AJ16" s="568">
        <f ca="1">Планирование[[#This Row],[Конец (план)]]-Планирование[[#This Row],[Конец (факт, прогноз)]]</f>
        <v>-0.66749999999592546</v>
      </c>
    </row>
    <row r="17" spans="1:36" ht="30" customHeight="1">
      <c r="A17" s="508" t="s">
        <v>1064</v>
      </c>
      <c r="B17" s="577" t="s">
        <v>53</v>
      </c>
      <c r="C17" s="543"/>
      <c r="D17" s="543" t="s">
        <v>51</v>
      </c>
      <c r="E17" s="543" t="s">
        <v>58</v>
      </c>
      <c r="F17" s="543"/>
      <c r="G17" s="543" t="s">
        <v>90</v>
      </c>
      <c r="H17" s="543" t="s">
        <v>91</v>
      </c>
      <c r="I17" s="543" t="s">
        <v>92</v>
      </c>
      <c r="J17" s="543" t="s">
        <v>93</v>
      </c>
      <c r="K17" s="543"/>
      <c r="L17" s="9" t="str">
        <f>IF(Планирование[[#This Row],[Контекст простоя]]="Штатно", Планирование[[#This Row],[Скважина]] &amp; " " &amp; "ОК–" &amp;Планирование[[#This Row],[ОК]] &amp; " "  &amp; Планирование[[#This Row],[Этап]] &amp; " " &amp; Планирование[[#This Row],[Вид работ]] &amp; " " &amp; Планирование[[#This Row],[Объект работ]] &amp; " " &amp; Планирование[[#This Row],[Рейс]], Планирование[[#This Row],[Скважина]] &amp; " " &amp; "ОК–" &amp;Планирование[[#This Row],[ОК]] &amp; " " &amp; Планирование[[#This Row],[Этап]] &amp; " " &amp; Планирование[[#This Row],[Контекст простоя]] &amp; " " &amp; Планирование[[#This Row],[Событие]] &amp; " " &amp; Планирование[[#This Row],[Вид работ]] &amp; " " &amp; Планирование[[#This Row],[Объект работ]] &amp; " " &amp; Планирование[[#This Row],[Рейс]])</f>
        <v xml:space="preserve">6 бис ОК– КРС Подъем УЭЦН </v>
      </c>
      <c r="M17" s="551">
        <f>IF(Планирование[[#This Row],[Скважина]]&lt;&gt;B16, Планирование[[#This Row],[Начало (факт)]], N16)</f>
        <v>46145.665833333347</v>
      </c>
      <c r="N17" s="4">
        <f>Планирование[[#This Row],[Начало (цель)]]+Планирование[[#This Row],[Сутки (цель)]]</f>
        <v>46145.810000000012</v>
      </c>
      <c r="O17" s="233">
        <v>3.46</v>
      </c>
      <c r="Q17" s="5">
        <f>Планирование[[#This Row],[Часы (цель)]]/24</f>
        <v>0.14416666666666667</v>
      </c>
      <c r="R17" s="5">
        <f>R16+Планирование[[#This Row],[Сутки (цель)]]</f>
        <v>0.71124999999999994</v>
      </c>
      <c r="S17" s="551">
        <f>Планирование[[#This Row],[Начало (цель)]]</f>
        <v>46145.665833333347</v>
      </c>
      <c r="T17" s="4">
        <f>Планирование[[#This Row],[Начало (план)]]+Планирование[[#This Row],[Сутки (план)]]</f>
        <v>46145.810000000012</v>
      </c>
      <c r="U17" s="233">
        <f>Планирование[[#This Row],[Часы (цель)]]</f>
        <v>3.46</v>
      </c>
      <c r="V17">
        <f>Планирование[[#This Row],[Забой, м (цель)]]</f>
        <v>0</v>
      </c>
      <c r="W17" s="5">
        <f>Планирование[[#This Row],[Часы (план)]]/24</f>
        <v>0.14416666666666667</v>
      </c>
      <c r="X17" s="550">
        <f>Планирование[[#This Row],[Сутки (план)]]+X16</f>
        <v>0.97666666666666668</v>
      </c>
      <c r="Y17" s="551">
        <f t="array" ref="Y17">IFERROR(
    INDEX(Хронология[Начало], MATCH(1, (Хронология[Ключ]=Планирование[[#This Row],[Ключ]]) * (Хронология[Подытог за операцию]=MIN(IF(Хронология[Ключ]=Планирование[[#This Row],[Ключ]], Хронология[Подытог за операцию]))), 0)),
    Z16
)</f>
        <v>46146.333333333343</v>
      </c>
      <c r="Z17" s="4">
        <f t="array" aca="1" ref="Z17" ca="1">MAX(IFERROR(
    INDEX(Хронология[Окончание], MATCH(1, (Хронология[Ключ]=Планирование[[#This Row],[Ключ]]) * (Хронология[Подытог за операцию]=MAX(IF(Хронология[Ключ]=Планирование[[#This Row],[Ключ]], Хронология[Подытог за операцию]))), 0)),
    Y17+AC17
), Планирование[[#This Row],[Начало (факт)]]+Планирование[[#This Row],[Сутки (факт)]])</f>
        <v>46146.645833333343</v>
      </c>
      <c r="AA17" s="233">
        <f ca="1">IF(AND(Планирование[[#This Row],[Начало (факт)]]=Y18, Планирование[[#This Row],[Забой, м (факт)]]=0), 0, Планирование[[#This Row],[Сутки (факт)]]*24)</f>
        <v>7.5</v>
      </c>
      <c r="AB17" s="233">
        <f ca="1">Планирование[[#This Row],[Часы (факт)]]-Планирование[[#This Row],[НПВ за операцию, часы]]-Планирование[[#This Row],[ПНВ, часы]]</f>
        <v>3.46</v>
      </c>
      <c r="AC17" s="5">
        <f t="array" aca="1" ref="AC17" ca="1">IFERROR(
  IF(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окончены",
    MAX(IF(Хронология[Ключ]=Планирование[[#This Row],[Ключ]], Хронология[Подытог за операцию])),
    IF(
      Планирование[[#This Row],[Событие]]="Мех. бурение",
      (MAX(Хронология[Окончание]) - Планирование[[#This Row],[Начало (факт)]]) +
      (Планирование[[#This Row],[Забой, м (план)]] - Планирование[[#This Row],[Забой, м (факт)]]) /
      ((Планирование[[#This Row],[Забой, м (план)]] - V16)/Планирование[[#This Row],[Сутки (план)]]),
      IF(
        AND(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продолжаются",
          Планирование[[#This Row],[Начало (факт)]]&gt;0
        ),
        (TODAY()-Планирование[[#This Row],[Начало (факт)]]),
        IF(
          AND(Планирование[[#This Row],[Начало (факт)]]=0,
            Планирование[[#This Row],[Начало (план)]] &gt; MAX(Хронология[Начало])),
          Планирование[[#This Row],[Сутки (план)]],
          IF(
            AND((TODAY()-Планирование[[#This Row],[Начало (план)]])&gt;1,
              ISERR(MATCH(Планирование[[#This Row],[Ключ]], Хронология[Ключ], 0))),
            0,
            Планирование[[#This Row],[Сутки (план)]]
          )
        )
      )
    )
  ),
  Планирование[[#This Row],[Сутки (план)]]
)</f>
        <v>0.3125</v>
      </c>
      <c r="AD17" s="5">
        <f ca="1">Планирование[[#This Row],[Сутки (факт)]]</f>
        <v>0.3125</v>
      </c>
      <c r="AE17" s="566">
        <f t="array" ref="AE17">MAX(IF(Хронология[Ключ]=Планирование[[#This Row],[Ключ]], Хронология[Забой, м]))</f>
        <v>0</v>
      </c>
      <c r="AF17" s="233">
        <f ca="1">IFERROR(
    SUMIFS(
        Хронология[Часы],
        Хронология[Результат], "НПВ: нет в ГГД",
        Хронология[Начало], "&gt;=" &amp; Планирование[[#This Row],[Начало (факт)]],
        Хронология[Окончание], "&lt;=" &amp; Планирование[[#This Row],[Конец (факт, прогноз)]]
    ),
    0
)</f>
        <v>0</v>
      </c>
      <c r="AG17" s="233">
        <f ca="1">IFERROR(
    SUMIFS(
        Хронология[Часы],
        Хронология[Результат], "НПВ: нет в ГГД",
        Хронология[Начало], "&gt;=" &amp; Планирование[[#This Row],[Конец (факт, прогноз)]],
        Хронология[Окончание], "&lt;=" &amp; Y18
    ),
    0
)</f>
        <v>0</v>
      </c>
      <c r="AH17" s="550">
        <f ca="1">ROUND(IF(Планирование[[#This Row],[Часы (факт)]]-Планирование[[#This Row],[НПВ за операцию, часы]]-Планирование[[#This Row],[Часы (план)]] &lt;0, 0, Планирование[[#This Row],[Часы (факт)]]-Планирование[[#This Row],[НПВ за операцию, часы]]-Планирование[[#This Row],[Часы (план)]]), 2)</f>
        <v>4.04</v>
      </c>
      <c r="AI17" s="567" t="s">
        <v>1060</v>
      </c>
      <c r="AJ17" s="568">
        <f ca="1">Планирование[[#This Row],[Конец (план)]]-Планирование[[#This Row],[Конец (факт, прогноз)]]</f>
        <v>-0.835833333330811</v>
      </c>
    </row>
    <row r="18" spans="1:36" ht="30" customHeight="1">
      <c r="A18" s="508" t="s">
        <v>1065</v>
      </c>
      <c r="B18" s="577" t="s">
        <v>53</v>
      </c>
      <c r="C18" s="543"/>
      <c r="D18" s="543" t="s">
        <v>51</v>
      </c>
      <c r="E18" s="543" t="s">
        <v>58</v>
      </c>
      <c r="F18" s="543"/>
      <c r="G18" s="543" t="s">
        <v>95</v>
      </c>
      <c r="H18" s="543" t="s">
        <v>96</v>
      </c>
      <c r="I18" s="543" t="s">
        <v>92</v>
      </c>
      <c r="J18" s="543" t="s">
        <v>93</v>
      </c>
      <c r="K18" s="543"/>
      <c r="L18" s="9" t="str">
        <f>IF(Планирование[[#This Row],[Контекст простоя]]="Штатно", Планирование[[#This Row],[Скважина]] &amp; " " &amp; "ОК–" &amp;Планирование[[#This Row],[ОК]] &amp; " "  &amp; Планирование[[#This Row],[Этап]] &amp; " " &amp; Планирование[[#This Row],[Вид работ]] &amp; " " &amp; Планирование[[#This Row],[Объект работ]] &amp; " " &amp; Планирование[[#This Row],[Рейс]], Планирование[[#This Row],[Скважина]] &amp; " " &amp; "ОК–" &amp;Планирование[[#This Row],[ОК]] &amp; " " &amp; Планирование[[#This Row],[Этап]] &amp; " " &amp; Планирование[[#This Row],[Контекст простоя]] &amp; " " &amp; Планирование[[#This Row],[Событие]] &amp; " " &amp; Планирование[[#This Row],[Вид работ]] &amp; " " &amp; Планирование[[#This Row],[Объект работ]] &amp; " " &amp; Планирование[[#This Row],[Рейс]])</f>
        <v xml:space="preserve">6 бис ОК– КРС Разборка УЭЦН </v>
      </c>
      <c r="M18" s="551">
        <f>IF(Планирование[[#This Row],[Скважина]]&lt;&gt;B17, Планирование[[#This Row],[Начало (факт)]], N17)</f>
        <v>46145.810000000012</v>
      </c>
      <c r="N18" s="4">
        <f>Планирование[[#This Row],[Начало (цель)]]+Планирование[[#This Row],[Сутки (цель)]]</f>
        <v>46145.921250000014</v>
      </c>
      <c r="O18" s="233">
        <v>2.67</v>
      </c>
      <c r="Q18" s="5">
        <f>Планирование[[#This Row],[Часы (цель)]]/24</f>
        <v>0.11125</v>
      </c>
      <c r="R18" s="5">
        <f>R17+Планирование[[#This Row],[Сутки (цель)]]</f>
        <v>0.8224999999999999</v>
      </c>
      <c r="S18" s="551">
        <f>Планирование[[#This Row],[Начало (цель)]]</f>
        <v>46145.810000000012</v>
      </c>
      <c r="T18" s="4">
        <f>Планирование[[#This Row],[Начало (план)]]+Планирование[[#This Row],[Сутки (план)]]</f>
        <v>46145.921250000014</v>
      </c>
      <c r="U18" s="233">
        <f>Планирование[[#This Row],[Часы (цель)]]</f>
        <v>2.67</v>
      </c>
      <c r="V18">
        <f>Планирование[[#This Row],[Забой, м (цель)]]</f>
        <v>0</v>
      </c>
      <c r="W18" s="5">
        <f>Планирование[[#This Row],[Часы (план)]]/24</f>
        <v>0.11125</v>
      </c>
      <c r="X18" s="550">
        <f>Планирование[[#This Row],[Сутки (план)]]+X17</f>
        <v>1.0879166666666666</v>
      </c>
      <c r="Y18" s="551">
        <f t="array" ref="Y18">IFERROR(
    INDEX(Хронология[Начало], MATCH(1, (Хронология[Ключ]=Планирование[[#This Row],[Ключ]]) * (Хронология[Подытог за операцию]=MIN(IF(Хронология[Ключ]=Планирование[[#This Row],[Ключ]], Хронология[Подытог за операцию]))), 0)),
    Z17
)</f>
        <v>46146.645833333343</v>
      </c>
      <c r="Z18" s="4">
        <f t="array" aca="1" ref="Z18" ca="1">MAX(IFERROR(
    INDEX(Хронология[Окончание], MATCH(1, (Хронология[Ключ]=Планирование[[#This Row],[Ключ]]) * (Хронология[Подытог за операцию]=MAX(IF(Хронология[Ключ]=Планирование[[#This Row],[Ключ]], Хронология[Подытог за операцию]))), 0)),
    Y18+AC18
), Планирование[[#This Row],[Начало (факт)]]+Планирование[[#This Row],[Сутки (факт)]])</f>
        <v>46146.750000000007</v>
      </c>
      <c r="AA18" s="233">
        <f ca="1">IF(AND(Планирование[[#This Row],[Начало (факт)]]=Y19, Планирование[[#This Row],[Забой, м (факт)]]=0), 0, Планирование[[#This Row],[Сутки (факт)]]*24)</f>
        <v>2.5</v>
      </c>
      <c r="AB18" s="233">
        <f ca="1">Планирование[[#This Row],[Часы (факт)]]-Планирование[[#This Row],[НПВ за операцию, часы]]-Планирование[[#This Row],[ПНВ, часы]]</f>
        <v>2.5</v>
      </c>
      <c r="AC18" s="5">
        <f t="array" aca="1" ref="AC18" ca="1">IFERROR(
  IF(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окончены",
    MAX(IF(Хронология[Ключ]=Планирование[[#This Row],[Ключ]], Хронология[Подытог за операцию])),
    IF(
      Планирование[[#This Row],[Событие]]="Мех. бурение",
      (MAX(Хронология[Окончание]) - Планирование[[#This Row],[Начало (факт)]]) +
      (Планирование[[#This Row],[Забой, м (план)]] - Планирование[[#This Row],[Забой, м (факт)]]) /
      ((Планирование[[#This Row],[Забой, м (план)]] - V17)/Планирование[[#This Row],[Сутки (план)]]),
      IF(
        AND(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продолжаются",
          Планирование[[#This Row],[Начало (факт)]]&gt;0
        ),
        (TODAY()-Планирование[[#This Row],[Начало (факт)]]),
        IF(
          AND(Планирование[[#This Row],[Начало (факт)]]=0,
            Планирование[[#This Row],[Начало (план)]] &gt; MAX(Хронология[Начало])),
          Планирование[[#This Row],[Сутки (план)]],
          IF(
            AND((TODAY()-Планирование[[#This Row],[Начало (план)]])&gt;1,
              ISERR(MATCH(Планирование[[#This Row],[Ключ]], Хронология[Ключ], 0))),
            0,
            Планирование[[#This Row],[Сутки (план)]]
          )
        )
      )
    )
  ),
  Планирование[[#This Row],[Сутки (план)]]
)</f>
        <v>0.10416666666666667</v>
      </c>
      <c r="AD18" s="5">
        <f ca="1">Планирование[[#This Row],[Сутки (факт)]]</f>
        <v>0.10416666666666667</v>
      </c>
      <c r="AE18" s="566">
        <f t="array" ref="AE18">MAX(IF(Хронология[Ключ]=Планирование[[#This Row],[Ключ]], Хронология[Забой, м]))</f>
        <v>0</v>
      </c>
      <c r="AF18" s="233">
        <f ca="1">IFERROR(
    SUMIFS(
        Хронология[Часы],
        Хронология[Результат], "НПВ: нет в ГГД",
        Хронология[Начало], "&gt;=" &amp; Планирование[[#This Row],[Начало (факт)]],
        Хронология[Окончание], "&lt;=" &amp; Планирование[[#This Row],[Конец (факт, прогноз)]]
    ),
    0
)</f>
        <v>0</v>
      </c>
      <c r="AG18" s="233">
        <f ca="1">IFERROR(
    SUMIFS(
        Хронология[Часы],
        Хронология[Результат], "НПВ: нет в ГГД",
        Хронология[Начало], "&gt;=" &amp; Планирование[[#This Row],[Конец (факт, прогноз)]],
        Хронология[Окончание], "&lt;=" &amp; Y19
    ),
    0
)</f>
        <v>0</v>
      </c>
      <c r="AH18" s="550">
        <f ca="1">ROUND(IF(Планирование[[#This Row],[Часы (факт)]]-Планирование[[#This Row],[НПВ за операцию, часы]]-Планирование[[#This Row],[Часы (план)]] &lt;0, 0, Планирование[[#This Row],[Часы (факт)]]-Планирование[[#This Row],[НПВ за операцию, часы]]-Планирование[[#This Row],[Часы (план)]]), 2)</f>
        <v>0</v>
      </c>
      <c r="AI18" s="567" t="s">
        <v>1060</v>
      </c>
      <c r="AJ18" s="568">
        <f ca="1">Планирование[[#This Row],[Конец (план)]]-Планирование[[#This Row],[Конец (факт, прогноз)]]</f>
        <v>-0.82874999999330612</v>
      </c>
    </row>
    <row r="19" spans="1:36" ht="30" customHeight="1">
      <c r="A19" s="508" t="s">
        <v>1066</v>
      </c>
      <c r="B19" s="577" t="s">
        <v>53</v>
      </c>
      <c r="C19" s="543"/>
      <c r="D19" s="543" t="s">
        <v>98</v>
      </c>
      <c r="E19" s="543" t="s">
        <v>58</v>
      </c>
      <c r="F19" s="543"/>
      <c r="G19" s="543" t="s">
        <v>98</v>
      </c>
      <c r="H19" s="543" t="s">
        <v>98</v>
      </c>
      <c r="I19" s="543" t="s">
        <v>99</v>
      </c>
      <c r="J19" s="543" t="s">
        <v>100</v>
      </c>
      <c r="K19" s="543"/>
      <c r="L19" s="9" t="str">
        <f>IF(Планирование[[#This Row],[Контекст простоя]]="Штатно", Планирование[[#This Row],[Скважина]] &amp; " " &amp; "ОК–" &amp;Планирование[[#This Row],[ОК]] &amp; " "  &amp; Планирование[[#This Row],[Этап]] &amp; " " &amp; Планирование[[#This Row],[Вид работ]] &amp; " " &amp; Планирование[[#This Row],[Объект работ]] &amp; " " &amp; Планирование[[#This Row],[Рейс]], Планирование[[#This Row],[Скважина]] &amp; " " &amp; "ОК–" &amp;Планирование[[#This Row],[ОК]] &amp; " " &amp; Планирование[[#This Row],[Этап]] &amp; " " &amp; Планирование[[#This Row],[Контекст простоя]] &amp; " " &amp; Планирование[[#This Row],[Событие]] &amp; " " &amp; Планирование[[#This Row],[Вид работ]] &amp; " " &amp; Планирование[[#This Row],[Объект работ]] &amp; " " &amp; Планирование[[#This Row],[Рейс]])</f>
        <v xml:space="preserve">6 бис ОК– ГИС ГИС АКЦ-прибор </v>
      </c>
      <c r="M19" s="551">
        <f>IF(Планирование[[#This Row],[Скважина]]&lt;&gt;B18, Планирование[[#This Row],[Начало (факт)]], N18)</f>
        <v>46145.921250000014</v>
      </c>
      <c r="N19" s="4">
        <f>Планирование[[#This Row],[Начало (цель)]]+Планирование[[#This Row],[Сутки (цель)]]</f>
        <v>46146.587916666678</v>
      </c>
      <c r="O19" s="233">
        <v>16</v>
      </c>
      <c r="Q19" s="5">
        <f>Планирование[[#This Row],[Часы (цель)]]/24</f>
        <v>0.66666666666666663</v>
      </c>
      <c r="R19" s="5">
        <f>R18+Планирование[[#This Row],[Сутки (цель)]]</f>
        <v>1.4891666666666665</v>
      </c>
      <c r="S19" s="551">
        <f>Планирование[[#This Row],[Начало (цель)]]</f>
        <v>46145.921250000014</v>
      </c>
      <c r="T19" s="4">
        <f>Планирование[[#This Row],[Начало (план)]]+Планирование[[#This Row],[Сутки (план)]]</f>
        <v>46146.587916666678</v>
      </c>
      <c r="U19" s="233">
        <f>Планирование[[#This Row],[Часы (цель)]]</f>
        <v>16</v>
      </c>
      <c r="V19">
        <f>Планирование[[#This Row],[Забой, м (цель)]]</f>
        <v>0</v>
      </c>
      <c r="W19" s="5">
        <f>Планирование[[#This Row],[Часы (план)]]/24</f>
        <v>0.66666666666666663</v>
      </c>
      <c r="X19" s="550">
        <f>Планирование[[#This Row],[Сутки (план)]]+X18</f>
        <v>1.7545833333333332</v>
      </c>
      <c r="Y19" s="551">
        <f t="array" ref="Y19">IFERROR(
    INDEX(Хронология[Начало], MATCH(1, (Хронология[Ключ]=Планирование[[#This Row],[Ключ]]) * (Хронология[Подытог за операцию]=MIN(IF(Хронология[Ключ]=Планирование[[#This Row],[Ключ]], Хронология[Подытог за операцию]))), 0)),
    Z18
)</f>
        <v>46146.750000000007</v>
      </c>
      <c r="Z19" s="4">
        <f t="array" aca="1" ref="Z19" ca="1">MAX(IFERROR(
    INDEX(Хронология[Окончание], MATCH(1, (Хронология[Ключ]=Планирование[[#This Row],[Ключ]]) * (Хронология[Подытог за операцию]=MAX(IF(Хронология[Ключ]=Планирование[[#This Row],[Ключ]], Хронология[Подытог за операцию]))), 0)),
    Y19+AC19
), Планирование[[#This Row],[Начало (факт)]]+Планирование[[#This Row],[Сутки (факт)]])</f>
        <v>46147.416666666672</v>
      </c>
      <c r="AA19" s="233">
        <f ca="1">IF(AND(Планирование[[#This Row],[Начало (факт)]]=Y20, Планирование[[#This Row],[Забой, м (факт)]]=0), 0, Планирование[[#This Row],[Сутки (факт)]]*24)</f>
        <v>16</v>
      </c>
      <c r="AB19" s="233">
        <f ca="1">Планирование[[#This Row],[Часы (факт)]]-Планирование[[#This Row],[НПВ за операцию, часы]]-Планирование[[#This Row],[ПНВ, часы]]</f>
        <v>16</v>
      </c>
      <c r="AC19" s="5">
        <f t="array" aca="1" ref="AC19" ca="1">IFERROR(
  IF(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окончены",
    MAX(IF(Хронология[Ключ]=Планирование[[#This Row],[Ключ]], Хронология[Подытог за операцию])),
    IF(
      Планирование[[#This Row],[Событие]]="Мех. бурение",
      (MAX(Хронология[Окончание]) - Планирование[[#This Row],[Начало (факт)]]) +
      (Планирование[[#This Row],[Забой, м (план)]] - Планирование[[#This Row],[Забой, м (факт)]]) /
      ((Планирование[[#This Row],[Забой, м (план)]] - V18)/Планирование[[#This Row],[Сутки (план)]]),
      IF(
        AND(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продолжаются",
          Планирование[[#This Row],[Начало (факт)]]&gt;0
        ),
        (TODAY()-Планирование[[#This Row],[Начало (факт)]]),
        IF(
          AND(Планирование[[#This Row],[Начало (факт)]]=0,
            Планирование[[#This Row],[Начало (план)]] &gt; MAX(Хронология[Начало])),
          Планирование[[#This Row],[Сутки (план)]],
          IF(
            AND((TODAY()-Планирование[[#This Row],[Начало (план)]])&gt;1,
              ISERR(MATCH(Планирование[[#This Row],[Ключ]], Хронология[Ключ], 0))),
            0,
            Планирование[[#This Row],[Сутки (план)]]
          )
        )
      )
    )
  ),
  Планирование[[#This Row],[Сутки (план)]]
)</f>
        <v>0.66666666666666663</v>
      </c>
      <c r="AD19" s="5">
        <f ca="1">Планирование[[#This Row],[Сутки (факт)]]</f>
        <v>0.66666666666666663</v>
      </c>
      <c r="AE19" s="566">
        <f t="array" ref="AE19">MAX(IF(Хронология[Ключ]=Планирование[[#This Row],[Ключ]], Хронология[Забой, м]))</f>
        <v>0</v>
      </c>
      <c r="AF19" s="233">
        <f ca="1">IFERROR(
    SUMIFS(
        Хронология[Часы],
        Хронология[Результат], "НПВ: нет в ГГД",
        Хронология[Начало], "&gt;=" &amp; Планирование[[#This Row],[Начало (факт)]],
        Хронология[Окончание], "&lt;=" &amp; Планирование[[#This Row],[Конец (факт, прогноз)]]
    ),
    0
)</f>
        <v>0</v>
      </c>
      <c r="AG19" s="233">
        <f ca="1">IFERROR(
    SUMIFS(
        Хронология[Часы],
        Хронология[Результат], "НПВ: нет в ГГД",
        Хронология[Начало], "&gt;=" &amp; Планирование[[#This Row],[Конец (факт, прогноз)]],
        Хронология[Окончание], "&lt;=" &amp; Y20
    ),
    0
)</f>
        <v>0</v>
      </c>
      <c r="AH19" s="550">
        <f ca="1">ROUND(IF(Планирование[[#This Row],[Часы (факт)]]-Планирование[[#This Row],[НПВ за операцию, часы]]-Планирование[[#This Row],[Часы (план)]] &lt;0, 0, Планирование[[#This Row],[Часы (факт)]]-Планирование[[#This Row],[НПВ за операцию, часы]]-Планирование[[#This Row],[Часы (план)]]), 2)</f>
        <v>0</v>
      </c>
      <c r="AI19" s="567" t="s">
        <v>1060</v>
      </c>
      <c r="AJ19" s="568">
        <f ca="1">Планирование[[#This Row],[Конец (план)]]-Планирование[[#This Row],[Конец (факт, прогноз)]]</f>
        <v>-0.82874999999330612</v>
      </c>
    </row>
    <row r="20" spans="1:36" ht="30" customHeight="1">
      <c r="A20" s="508" t="s">
        <v>1067</v>
      </c>
      <c r="B20" s="577" t="s">
        <v>53</v>
      </c>
      <c r="C20" s="543"/>
      <c r="D20" s="543" t="s">
        <v>51</v>
      </c>
      <c r="E20" s="543" t="s">
        <v>58</v>
      </c>
      <c r="F20" s="543"/>
      <c r="G20" s="543" t="s">
        <v>78</v>
      </c>
      <c r="H20" s="543" t="s">
        <v>102</v>
      </c>
      <c r="I20" s="543" t="s">
        <v>92</v>
      </c>
      <c r="J20" s="543" t="s">
        <v>93</v>
      </c>
      <c r="K20" s="543"/>
      <c r="L20" s="9" t="str">
        <f>IF(Планирование[[#This Row],[Контекст простоя]]="Штатно", Планирование[[#This Row],[Скважина]] &amp; " " &amp; "ОК–" &amp;Планирование[[#This Row],[ОК]] &amp; " "  &amp; Планирование[[#This Row],[Этап]] &amp; " " &amp; Планирование[[#This Row],[Вид работ]] &amp; " " &amp; Планирование[[#This Row],[Объект работ]] &amp; " " &amp; Планирование[[#This Row],[Рейс]], Планирование[[#This Row],[Скважина]] &amp; " " &amp; "ОК–" &amp;Планирование[[#This Row],[ОК]] &amp; " " &amp; Планирование[[#This Row],[Этап]] &amp; " " &amp; Планирование[[#This Row],[Контекст простоя]] &amp; " " &amp; Планирование[[#This Row],[Событие]] &amp; " " &amp; Планирование[[#This Row],[Вид работ]] &amp; " " &amp; Планирование[[#This Row],[Объект работ]] &amp; " " &amp; Планирование[[#This Row],[Рейс]])</f>
        <v xml:space="preserve">6 бис ОК– КРС Подготовка УЭЦН </v>
      </c>
      <c r="M20" s="551">
        <f>IF(Планирование[[#This Row],[Скважина]]&lt;&gt;B19, Планирование[[#This Row],[Начало (факт)]], N19)</f>
        <v>46146.587916666678</v>
      </c>
      <c r="N20" s="4">
        <f>Планирование[[#This Row],[Начало (цель)]]+Планирование[[#This Row],[Сутки (цель)]]</f>
        <v>46146.626250000008</v>
      </c>
      <c r="O20" s="233">
        <v>0.92</v>
      </c>
      <c r="Q20" s="5">
        <f>Планирование[[#This Row],[Часы (цель)]]/24</f>
        <v>3.8333333333333337E-2</v>
      </c>
      <c r="R20" s="5">
        <f>R19+Планирование[[#This Row],[Сутки (цель)]]</f>
        <v>1.5274999999999999</v>
      </c>
      <c r="S20" s="551">
        <f>Планирование[[#This Row],[Начало (цель)]]</f>
        <v>46146.587916666678</v>
      </c>
      <c r="T20" s="4">
        <f>Планирование[[#This Row],[Начало (план)]]+Планирование[[#This Row],[Сутки (план)]]</f>
        <v>46146.626250000008</v>
      </c>
      <c r="U20" s="233">
        <f>Планирование[[#This Row],[Часы (цель)]]</f>
        <v>0.92</v>
      </c>
      <c r="V20">
        <f>Планирование[[#This Row],[Забой, м (цель)]]</f>
        <v>0</v>
      </c>
      <c r="W20" s="5">
        <f>Планирование[[#This Row],[Часы (план)]]/24</f>
        <v>3.8333333333333337E-2</v>
      </c>
      <c r="X20" s="550">
        <f>Планирование[[#This Row],[Сутки (план)]]+X19</f>
        <v>1.7929166666666665</v>
      </c>
      <c r="Y20" s="551">
        <f t="array" ref="Y20">IFERROR(
    INDEX(Хронология[Начало], MATCH(1, (Хронология[Ключ]=Планирование[[#This Row],[Ключ]]) * (Хронология[Подытог за операцию]=MIN(IF(Хронология[Ключ]=Планирование[[#This Row],[Ключ]], Хронология[Подытог за операцию]))), 0)),
    Z19
)</f>
        <v>46147.250000000007</v>
      </c>
      <c r="Z20" s="4">
        <f t="array" aca="1" ref="Z20" ca="1">MAX(IFERROR(
    INDEX(Хронология[Окончание], MATCH(1, (Хронология[Ключ]=Планирование[[#This Row],[Ключ]]) * (Хронология[Подытог за операцию]=MAX(IF(Хронология[Ключ]=Планирование[[#This Row],[Ключ]], Хронология[Подытог за операцию]))), 0)),
    Y20+AC20
), Планирование[[#This Row],[Начало (факт)]]+Планирование[[#This Row],[Сутки (факт)]])</f>
        <v>46147.312500000007</v>
      </c>
      <c r="AA20" s="233">
        <f ca="1">IF(AND(Планирование[[#This Row],[Начало (факт)]]=Y21, Планирование[[#This Row],[Забой, м (факт)]]=0), 0, Планирование[[#This Row],[Сутки (факт)]]*24)</f>
        <v>1.5</v>
      </c>
      <c r="AB20" s="233">
        <f ca="1">Планирование[[#This Row],[Часы (факт)]]-Планирование[[#This Row],[НПВ за операцию, часы]]-Планирование[[#This Row],[ПНВ, часы]]</f>
        <v>0.92</v>
      </c>
      <c r="AC20" s="5">
        <f t="array" aca="1" ref="AC20" ca="1">IFERROR(
  IF(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окончены",
    MAX(IF(Хронология[Ключ]=Планирование[[#This Row],[Ключ]], Хронология[Подытог за операцию])),
    IF(
      Планирование[[#This Row],[Событие]]="Мех. бурение",
      (MAX(Хронология[Окончание]) - Планирование[[#This Row],[Начало (факт)]]) +
      (Планирование[[#This Row],[Забой, м (план)]] - Планирование[[#This Row],[Забой, м (факт)]]) /
      ((Планирование[[#This Row],[Забой, м (план)]] - V19)/Планирование[[#This Row],[Сутки (план)]]),
      IF(
        AND(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продолжаются",
          Планирование[[#This Row],[Начало (факт)]]&gt;0
        ),
        (TODAY()-Планирование[[#This Row],[Начало (факт)]]),
        IF(
          AND(Планирование[[#This Row],[Начало (факт)]]=0,
            Планирование[[#This Row],[Начало (план)]] &gt; MAX(Хронология[Начало])),
          Планирование[[#This Row],[Сутки (план)]],
          IF(
            AND((TODAY()-Планирование[[#This Row],[Начало (план)]])&gt;1,
              ISERR(MATCH(Планирование[[#This Row],[Ключ]], Хронология[Ключ], 0))),
            0,
            Планирование[[#This Row],[Сутки (план)]]
          )
        )
      )
    )
  ),
  Планирование[[#This Row],[Сутки (план)]]
)</f>
        <v>6.25E-2</v>
      </c>
      <c r="AD20" s="5">
        <f ca="1">Планирование[[#This Row],[Сутки (факт)]]</f>
        <v>6.25E-2</v>
      </c>
      <c r="AE20" s="566">
        <f t="array" ref="AE20">MAX(IF(Хронология[Ключ]=Планирование[[#This Row],[Ключ]], Хронология[Забой, м]))</f>
        <v>0</v>
      </c>
      <c r="AF20" s="233">
        <f ca="1">IFERROR(
    SUMIFS(
        Хронология[Часы],
        Хронология[Результат], "НПВ: нет в ГГД",
        Хронология[Начало], "&gt;=" &amp; Планирование[[#This Row],[Начало (факт)]],
        Хронология[Окончание], "&lt;=" &amp; Планирование[[#This Row],[Конец (факт, прогноз)]]
    ),
    0
)</f>
        <v>0</v>
      </c>
      <c r="AG20" s="233">
        <f ca="1">IFERROR(
    SUMIFS(
        Хронология[Часы],
        Хронология[Результат], "НПВ: нет в ГГД",
        Хронология[Начало], "&gt;=" &amp; Планирование[[#This Row],[Конец (факт, прогноз)]],
        Хронология[Окончание], "&lt;=" &amp; Y21
    ),
    0
)</f>
        <v>0</v>
      </c>
      <c r="AH20" s="550">
        <f ca="1">ROUND(IF(Планирование[[#This Row],[Часы (факт)]]-Планирование[[#This Row],[НПВ за операцию, часы]]-Планирование[[#This Row],[Часы (план)]] &lt;0, 0, Планирование[[#This Row],[Часы (факт)]]-Планирование[[#This Row],[НПВ за операцию, часы]]-Планирование[[#This Row],[Часы (план)]]), 2)</f>
        <v>0.57999999999999996</v>
      </c>
      <c r="AI20" s="567" t="s">
        <v>1060</v>
      </c>
      <c r="AJ20" s="568">
        <f ca="1">Планирование[[#This Row],[Конец (план)]]-Планирование[[#This Row],[Конец (факт, прогноз)]]</f>
        <v>-0.68624999999883585</v>
      </c>
    </row>
    <row r="21" spans="1:36" ht="30" customHeight="1">
      <c r="A21" s="508" t="s">
        <v>1068</v>
      </c>
      <c r="B21" s="577" t="s">
        <v>53</v>
      </c>
      <c r="C21" s="543"/>
      <c r="D21" s="543" t="s">
        <v>51</v>
      </c>
      <c r="E21" s="543" t="s">
        <v>58</v>
      </c>
      <c r="F21" s="543"/>
      <c r="G21" s="543" t="s">
        <v>95</v>
      </c>
      <c r="H21" s="543" t="s">
        <v>104</v>
      </c>
      <c r="I21" s="543" t="s">
        <v>92</v>
      </c>
      <c r="J21" s="543" t="s">
        <v>93</v>
      </c>
      <c r="K21" s="543"/>
      <c r="L21" s="9" t="str">
        <f>IF(Планирование[[#This Row],[Контекст простоя]]="Штатно", Планирование[[#This Row],[Скважина]] &amp; " " &amp; "ОК–" &amp;Планирование[[#This Row],[ОК]] &amp; " "  &amp; Планирование[[#This Row],[Этап]] &amp; " " &amp; Планирование[[#This Row],[Вид работ]] &amp; " " &amp; Планирование[[#This Row],[Объект работ]] &amp; " " &amp; Планирование[[#This Row],[Рейс]], Планирование[[#This Row],[Скважина]] &amp; " " &amp; "ОК–" &amp;Планирование[[#This Row],[ОК]] &amp; " " &amp; Планирование[[#This Row],[Этап]] &amp; " " &amp; Планирование[[#This Row],[Контекст простоя]] &amp; " " &amp; Планирование[[#This Row],[Событие]] &amp; " " &amp; Планирование[[#This Row],[Вид работ]] &amp; " " &amp; Планирование[[#This Row],[Объект работ]] &amp; " " &amp; Планирование[[#This Row],[Рейс]])</f>
        <v xml:space="preserve">6 бис ОК– КРС Сборка УЭЦН </v>
      </c>
      <c r="M21" s="551">
        <f>IF(Планирование[[#This Row],[Скважина]]&lt;&gt;B20, Планирование[[#This Row],[Начало (факт)]], N20)</f>
        <v>46146.626250000008</v>
      </c>
      <c r="N21" s="4">
        <f>Планирование[[#This Row],[Начало (цель)]]+Планирование[[#This Row],[Сутки (цель)]]</f>
        <v>46146.904166666674</v>
      </c>
      <c r="O21" s="233">
        <v>6.67</v>
      </c>
      <c r="Q21" s="5">
        <f>Планирование[[#This Row],[Часы (цель)]]/24</f>
        <v>0.27791666666666665</v>
      </c>
      <c r="R21" s="5">
        <f>R20+Планирование[[#This Row],[Сутки (цель)]]</f>
        <v>1.8054166666666664</v>
      </c>
      <c r="S21" s="551">
        <f>Планирование[[#This Row],[Начало (цель)]]</f>
        <v>46146.626250000008</v>
      </c>
      <c r="T21" s="4">
        <f>Планирование[[#This Row],[Начало (план)]]+Планирование[[#This Row],[Сутки (план)]]</f>
        <v>46146.904166666674</v>
      </c>
      <c r="U21" s="233">
        <f>Планирование[[#This Row],[Часы (цель)]]</f>
        <v>6.67</v>
      </c>
      <c r="V21">
        <f>Планирование[[#This Row],[Забой, м (цель)]]</f>
        <v>0</v>
      </c>
      <c r="W21" s="5">
        <f>Планирование[[#This Row],[Часы (план)]]/24</f>
        <v>0.27791666666666665</v>
      </c>
      <c r="X21" s="550">
        <f>Планирование[[#This Row],[Сутки (план)]]+X20</f>
        <v>2.0708333333333333</v>
      </c>
      <c r="Y21" s="551">
        <f t="array" ref="Y21">IFERROR(
    INDEX(Хронология[Начало], MATCH(1, (Хронология[Ключ]=Планирование[[#This Row],[Ключ]]) * (Хронология[Подытог за операцию]=MIN(IF(Хронология[Ключ]=Планирование[[#This Row],[Ключ]], Хронология[Подытог за операцию]))), 0)),
    Z20
)</f>
        <v>46147.312500000007</v>
      </c>
      <c r="Z21" s="4">
        <f t="array" aca="1" ref="Z21" ca="1">MAX(IFERROR(
    INDEX(Хронология[Окончание], MATCH(1, (Хронология[Ключ]=Планирование[[#This Row],[Ключ]]) * (Хронология[Подытог за операцию]=MAX(IF(Хронология[Ключ]=Планирование[[#This Row],[Ключ]], Хронология[Подытог за операцию]))), 0)),
    Y21+AC21
), Планирование[[#This Row],[Начало (факт)]]+Планирование[[#This Row],[Сутки (факт)]])</f>
        <v>46147.757083333338</v>
      </c>
      <c r="AA21" s="233">
        <f ca="1">IF(AND(Планирование[[#This Row],[Начало (факт)]]=Y22, Планирование[[#This Row],[Забой, м (факт)]]=0), 0, Планирование[[#This Row],[Сутки (факт)]]*24)</f>
        <v>10.67</v>
      </c>
      <c r="AB21" s="233">
        <f ca="1">Планирование[[#This Row],[Часы (факт)]]-Планирование[[#This Row],[НПВ за операцию, часы]]-Планирование[[#This Row],[ПНВ, часы]]</f>
        <v>6.67</v>
      </c>
      <c r="AC21" s="5">
        <f t="array" aca="1" ref="AC21" ca="1">IFERROR(
  IF(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окончены",
    MAX(IF(Хронология[Ключ]=Планирование[[#This Row],[Ключ]], Хронология[Подытог за операцию])),
    IF(
      Планирование[[#This Row],[Событие]]="Мех. бурение",
      (MAX(Хронология[Окончание]) - Планирование[[#This Row],[Начало (факт)]]) +
      (Планирование[[#This Row],[Забой, м (план)]] - Планирование[[#This Row],[Забой, м (факт)]]) /
      ((Планирование[[#This Row],[Забой, м (план)]] - V20)/Планирование[[#This Row],[Сутки (план)]]),
      IF(
        AND(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продолжаются",
          Планирование[[#This Row],[Начало (факт)]]&gt;0
        ),
        (TODAY()-Планирование[[#This Row],[Начало (факт)]]),
        IF(
          AND(Планирование[[#This Row],[Начало (факт)]]=0,
            Планирование[[#This Row],[Начало (план)]] &gt; MAX(Хронология[Начало])),
          Планирование[[#This Row],[Сутки (план)]],
          IF(
            AND((TODAY()-Планирование[[#This Row],[Начало (план)]])&gt;1,
              ISERR(MATCH(Планирование[[#This Row],[Ключ]], Хронология[Ключ], 0))),
            0,
            Планирование[[#This Row],[Сутки (план)]]
          )
        )
      )
    )
  ),
  Планирование[[#This Row],[Сутки (план)]]
)</f>
        <v>0.44458333333333333</v>
      </c>
      <c r="AD21" s="5">
        <f ca="1">Планирование[[#This Row],[Сутки (факт)]]</f>
        <v>0.44458333333333333</v>
      </c>
      <c r="AE21" s="566">
        <f t="array" ref="AE21">MAX(IF(Хронология[Ключ]=Планирование[[#This Row],[Ключ]], Хронология[Забой, м]))</f>
        <v>0</v>
      </c>
      <c r="AF21" s="233">
        <f ca="1">IFERROR(
    SUMIFS(
        Хронология[Часы],
        Хронология[Результат], "НПВ: нет в ГГД",
        Хронология[Начало], "&gt;=" &amp; Планирование[[#This Row],[Начало (факт)]],
        Хронология[Окончание], "&lt;=" &amp; Планирование[[#This Row],[Конец (факт, прогноз)]]
    ),
    0
)</f>
        <v>0</v>
      </c>
      <c r="AG21" s="233">
        <f ca="1">IFERROR(
    SUMIFS(
        Хронология[Часы],
        Хронология[Результат], "НПВ: нет в ГГД",
        Хронология[Начало], "&gt;=" &amp; Планирование[[#This Row],[Конец (факт, прогноз)]],
        Хронология[Окончание], "&lt;=" &amp; Y22
    ),
    0
)</f>
        <v>0</v>
      </c>
      <c r="AH21" s="550">
        <f ca="1">ROUND(IF(Планирование[[#This Row],[Часы (факт)]]-Планирование[[#This Row],[НПВ за операцию, часы]]-Планирование[[#This Row],[Часы (план)]] &lt;0, 0, Планирование[[#This Row],[Часы (факт)]]-Планирование[[#This Row],[НПВ за операцию, часы]]-Планирование[[#This Row],[Часы (план)]]), 2)</f>
        <v>4</v>
      </c>
      <c r="AI21" s="567" t="s">
        <v>1060</v>
      </c>
      <c r="AJ21" s="568">
        <f ca="1">Планирование[[#This Row],[Конец (план)]]-Планирование[[#This Row],[Конец (факт, прогноз)]]</f>
        <v>-0.85291666666307719</v>
      </c>
    </row>
    <row r="22" spans="1:36" ht="30" customHeight="1">
      <c r="A22" s="508" t="s">
        <v>1069</v>
      </c>
      <c r="B22" s="577" t="s">
        <v>53</v>
      </c>
      <c r="C22" s="543"/>
      <c r="D22" s="543" t="s">
        <v>51</v>
      </c>
      <c r="E22" s="543" t="s">
        <v>58</v>
      </c>
      <c r="F22" s="543"/>
      <c r="G22" s="543" t="s">
        <v>90</v>
      </c>
      <c r="H22" s="543" t="s">
        <v>106</v>
      </c>
      <c r="I22" s="543" t="s">
        <v>92</v>
      </c>
      <c r="J22" s="543" t="s">
        <v>93</v>
      </c>
      <c r="K22" s="543"/>
      <c r="L22" s="9" t="str">
        <f>IF(Планирование[[#This Row],[Контекст простоя]]="Штатно", Планирование[[#This Row],[Скважина]] &amp; " " &amp; "ОК–" &amp;Планирование[[#This Row],[ОК]] &amp; " "  &amp; Планирование[[#This Row],[Этап]] &amp; " " &amp; Планирование[[#This Row],[Вид работ]] &amp; " " &amp; Планирование[[#This Row],[Объект работ]] &amp; " " &amp; Планирование[[#This Row],[Рейс]], Планирование[[#This Row],[Скважина]] &amp; " " &amp; "ОК–" &amp;Планирование[[#This Row],[ОК]] &amp; " " &amp; Планирование[[#This Row],[Этап]] &amp; " " &amp; Планирование[[#This Row],[Контекст простоя]] &amp; " " &amp; Планирование[[#This Row],[Событие]] &amp; " " &amp; Планирование[[#This Row],[Вид работ]] &amp; " " &amp; Планирование[[#This Row],[Объект работ]] &amp; " " &amp; Планирование[[#This Row],[Рейс]])</f>
        <v xml:space="preserve">6 бис ОК– КРС Спуск УЭЦН </v>
      </c>
      <c r="M22" s="551">
        <f>IF(Планирование[[#This Row],[Скважина]]&lt;&gt;B21, Планирование[[#This Row],[Начало (факт)]], N21)</f>
        <v>46146.904166666674</v>
      </c>
      <c r="N22" s="4">
        <f>Планирование[[#This Row],[Начало (цель)]]+Планирование[[#This Row],[Сутки (цель)]]</f>
        <v>46147.111250000009</v>
      </c>
      <c r="O22" s="233">
        <v>4.97</v>
      </c>
      <c r="Q22" s="5">
        <f>Планирование[[#This Row],[Часы (цель)]]/24</f>
        <v>0.20708333333333331</v>
      </c>
      <c r="R22" s="5">
        <f>R21+Планирование[[#This Row],[Сутки (цель)]]</f>
        <v>2.0124999999999997</v>
      </c>
      <c r="S22" s="551">
        <f>Планирование[[#This Row],[Начало (цель)]]</f>
        <v>46146.904166666674</v>
      </c>
      <c r="T22" s="4">
        <f>Планирование[[#This Row],[Начало (план)]]+Планирование[[#This Row],[Сутки (план)]]</f>
        <v>46147.111250000009</v>
      </c>
      <c r="U22" s="233">
        <f>Планирование[[#This Row],[Часы (цель)]]</f>
        <v>4.97</v>
      </c>
      <c r="V22">
        <f>Планирование[[#This Row],[Забой, м (цель)]]</f>
        <v>0</v>
      </c>
      <c r="W22" s="5">
        <f>Планирование[[#This Row],[Часы (план)]]/24</f>
        <v>0.20708333333333331</v>
      </c>
      <c r="X22" s="550">
        <f>Планирование[[#This Row],[Сутки (план)]]+X21</f>
        <v>2.2779166666666666</v>
      </c>
      <c r="Y22" s="551">
        <f t="array" ref="Y22">IFERROR(
    INDEX(Хронология[Начало], MATCH(1, (Хронология[Ключ]=Планирование[[#This Row],[Ключ]]) * (Хронология[Подытог за операцию]=MIN(IF(Хронология[Ключ]=Планирование[[#This Row],[Ключ]], Хронология[Подытог за операцию]))), 0)),
    Z21
)</f>
        <v>46147.757083333338</v>
      </c>
      <c r="Z22" s="4">
        <f t="array" aca="1" ref="Z22" ca="1">MAX(IFERROR(
    INDEX(Хронология[Окончание], MATCH(1, (Хронология[Ключ]=Планирование[[#This Row],[Ключ]]) * (Хронология[Подытог за операцию]=MAX(IF(Хронология[Ключ]=Планирование[[#This Row],[Ключ]], Хронология[Подытог за операцию]))), 0)),
    Y22+AC22
), Планирование[[#This Row],[Начало (факт)]]+Планирование[[#This Row],[Сутки (факт)]])</f>
        <v>46147.965416666673</v>
      </c>
      <c r="AA22" s="233">
        <f ca="1">IF(AND(Планирование[[#This Row],[Начало (факт)]]=Y23, Планирование[[#This Row],[Забой, м (факт)]]=0), 0, Планирование[[#This Row],[Сутки (факт)]]*24)</f>
        <v>5</v>
      </c>
      <c r="AB22" s="233">
        <f ca="1">Планирование[[#This Row],[Часы (факт)]]-Планирование[[#This Row],[НПВ за операцию, часы]]-Планирование[[#This Row],[ПНВ, часы]]</f>
        <v>4.97</v>
      </c>
      <c r="AC22" s="5">
        <f t="array" aca="1" ref="AC22" ca="1">IFERROR(
  IF(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окончены",
    MAX(IF(Хронология[Ключ]=Планирование[[#This Row],[Ключ]], Хронология[Подытог за операцию])),
    IF(
      Планирование[[#This Row],[Событие]]="Мех. бурение",
      (MAX(Хронология[Окончание]) - Планирование[[#This Row],[Начало (факт)]]) +
      (Планирование[[#This Row],[Забой, м (план)]] - Планирование[[#This Row],[Забой, м (факт)]]) /
      ((Планирование[[#This Row],[Забой, м (план)]] - V21)/Планирование[[#This Row],[Сутки (план)]]),
      IF(
        AND(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продолжаются",
          Планирование[[#This Row],[Начало (факт)]]&gt;0
        ),
        (TODAY()-Планирование[[#This Row],[Начало (факт)]]),
        IF(
          AND(Планирование[[#This Row],[Начало (факт)]]=0,
            Планирование[[#This Row],[Начало (план)]] &gt; MAX(Хронология[Начало])),
          Планирование[[#This Row],[Сутки (план)]],
          IF(
            AND((TODAY()-Планирование[[#This Row],[Начало (план)]])&gt;1,
              ISERR(MATCH(Планирование[[#This Row],[Ключ]], Хронология[Ключ], 0))),
            0,
            Планирование[[#This Row],[Сутки (план)]]
          )
        )
      )
    )
  ),
  Планирование[[#This Row],[Сутки (план)]]
)</f>
        <v>0.20833333333333334</v>
      </c>
      <c r="AD22" s="5">
        <f ca="1">Планирование[[#This Row],[Сутки (факт)]]</f>
        <v>0.20833333333333334</v>
      </c>
      <c r="AE22" s="566">
        <f t="array" ref="AE22">MAX(IF(Хронология[Ключ]=Планирование[[#This Row],[Ключ]], Хронология[Забой, м]))</f>
        <v>0</v>
      </c>
      <c r="AF22" s="233">
        <f ca="1">IFERROR(
    SUMIFS(
        Хронология[Часы],
        Хронология[Результат], "НПВ: нет в ГГД",
        Хронология[Начало], "&gt;=" &amp; Планирование[[#This Row],[Начало (факт)]],
        Хронология[Окончание], "&lt;=" &amp; Планирование[[#This Row],[Конец (факт, прогноз)]]
    ),
    0
)</f>
        <v>0</v>
      </c>
      <c r="AG22" s="233">
        <f ca="1">IFERROR(
    SUMIFS(
        Хронология[Часы],
        Хронология[Результат], "НПВ: нет в ГГД",
        Хронология[Начало], "&gt;=" &amp; Планирование[[#This Row],[Конец (факт, прогноз)]],
        Хронология[Окончание], "&lt;=" &amp; Y23
    ),
    0
)</f>
        <v>0</v>
      </c>
      <c r="AH22" s="550">
        <f ca="1">ROUND(IF(Планирование[[#This Row],[Часы (факт)]]-Планирование[[#This Row],[НПВ за операцию, часы]]-Планирование[[#This Row],[Часы (план)]] &lt;0, 0, Планирование[[#This Row],[Часы (факт)]]-Планирование[[#This Row],[НПВ за операцию, часы]]-Планирование[[#This Row],[Часы (план)]]), 2)</f>
        <v>0.03</v>
      </c>
      <c r="AI22" s="567" t="s">
        <v>1060</v>
      </c>
      <c r="AJ22" s="568">
        <f ca="1">Планирование[[#This Row],[Конец (план)]]-Планирование[[#This Row],[Конец (факт, прогноз)]]</f>
        <v>-0.85416666666424135</v>
      </c>
    </row>
    <row r="23" spans="1:36" ht="30" customHeight="1">
      <c r="A23" s="508" t="s">
        <v>1070</v>
      </c>
      <c r="B23" s="577" t="s">
        <v>53</v>
      </c>
      <c r="C23" s="543"/>
      <c r="D23" s="543" t="s">
        <v>51</v>
      </c>
      <c r="E23" s="543" t="s">
        <v>58</v>
      </c>
      <c r="F23" s="543"/>
      <c r="G23" s="543" t="s">
        <v>69</v>
      </c>
      <c r="H23" s="543" t="s">
        <v>108</v>
      </c>
      <c r="I23" s="543" t="s">
        <v>61</v>
      </c>
      <c r="J23" s="543" t="s">
        <v>109</v>
      </c>
      <c r="K23" s="543"/>
      <c r="L23" s="9" t="str">
        <f>IF(Планирование[[#This Row],[Контекст простоя]]="Штатно", Планирование[[#This Row],[Скважина]] &amp; " " &amp; "ОК–" &amp;Планирование[[#This Row],[ОК]] &amp; " "  &amp; Планирование[[#This Row],[Этап]] &amp; " " &amp; Планирование[[#This Row],[Вид работ]] &amp; " " &amp; Планирование[[#This Row],[Объект работ]] &amp; " " &amp; Планирование[[#This Row],[Рейс]], Планирование[[#This Row],[Скважина]] &amp; " " &amp; "ОК–" &amp;Планирование[[#This Row],[ОК]] &amp; " " &amp; Планирование[[#This Row],[Этап]] &amp; " " &amp; Планирование[[#This Row],[Контекст простоя]] &amp; " " &amp; Планирование[[#This Row],[Событие]] &amp; " " &amp; Планирование[[#This Row],[Вид работ]] &amp; " " &amp; Планирование[[#This Row],[Объект работ]] &amp; " " &amp; Планирование[[#This Row],[Рейс]])</f>
        <v xml:space="preserve">6 бис ОК– КРС Демонтаж ГКШ </v>
      </c>
      <c r="M23" s="551">
        <f>IF(Планирование[[#This Row],[Скважина]]&lt;&gt;B22, Планирование[[#This Row],[Начало (факт)]], N22)</f>
        <v>46147.111250000009</v>
      </c>
      <c r="N23" s="4">
        <f>Планирование[[#This Row],[Начало (цель)]]+Планирование[[#This Row],[Сутки (цель)]]</f>
        <v>46147.145833333343</v>
      </c>
      <c r="O23" s="233">
        <v>0.83</v>
      </c>
      <c r="Q23" s="5">
        <f>Планирование[[#This Row],[Часы (цель)]]/24</f>
        <v>3.4583333333333334E-2</v>
      </c>
      <c r="R23" s="5">
        <f>R22+Планирование[[#This Row],[Сутки (цель)]]</f>
        <v>2.0470833333333331</v>
      </c>
      <c r="S23" s="551">
        <f>Планирование[[#This Row],[Начало (цель)]]</f>
        <v>46147.111250000009</v>
      </c>
      <c r="T23" s="4">
        <f>Планирование[[#This Row],[Начало (план)]]+Планирование[[#This Row],[Сутки (план)]]</f>
        <v>46147.145833333343</v>
      </c>
      <c r="U23" s="233">
        <f>Планирование[[#This Row],[Часы (цель)]]</f>
        <v>0.83</v>
      </c>
      <c r="V23">
        <f>Планирование[[#This Row],[Забой, м (цель)]]</f>
        <v>0</v>
      </c>
      <c r="W23" s="5">
        <f>Планирование[[#This Row],[Часы (план)]]/24</f>
        <v>3.4583333333333334E-2</v>
      </c>
      <c r="X23" s="550">
        <f>Планирование[[#This Row],[Сутки (план)]]+X22</f>
        <v>2.3125</v>
      </c>
      <c r="Y23" s="551">
        <f t="array" ref="Y23">IFERROR(
    INDEX(Хронология[Начало], MATCH(1, (Хронология[Ключ]=Планирование[[#This Row],[Ключ]]) * (Хронология[Подытог за операцию]=MIN(IF(Хронология[Ключ]=Планирование[[#This Row],[Ключ]], Хронология[Подытог за операцию]))), 0)),
    Z22
)</f>
        <v>46147.965416666673</v>
      </c>
      <c r="Z23" s="4">
        <f t="array" aca="1" ref="Z23" ca="1">MAX(IFERROR(
    INDEX(Хронология[Окончание], MATCH(1, (Хронология[Ключ]=Планирование[[#This Row],[Ключ]]) * (Хронология[Подытог за операцию]=MAX(IF(Хронология[Ключ]=Планирование[[#This Row],[Ключ]], Хронология[Подытог за операцию]))), 0)),
    Y23+AC23
), Планирование[[#This Row],[Начало (факт)]]+Планирование[[#This Row],[Сутки (факт)]])</f>
        <v>46148.000000000007</v>
      </c>
      <c r="AA23" s="233">
        <f ca="1">IF(AND(Планирование[[#This Row],[Начало (факт)]]=Y24, Планирование[[#This Row],[Забой, м (факт)]]=0), 0, Планирование[[#This Row],[Сутки (факт)]]*24)</f>
        <v>0.83000000000000007</v>
      </c>
      <c r="AB23" s="233">
        <f ca="1">Планирование[[#This Row],[Часы (факт)]]-Планирование[[#This Row],[НПВ за операцию, часы]]-Планирование[[#This Row],[ПНВ, часы]]</f>
        <v>0.83000000000000007</v>
      </c>
      <c r="AC23" s="5">
        <f t="array" aca="1" ref="AC23" ca="1">IFERROR(
  IF(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окончены",
    MAX(IF(Хронология[Ключ]=Планирование[[#This Row],[Ключ]], Хронология[Подытог за операцию])),
    IF(
      Планирование[[#This Row],[Событие]]="Мех. бурение",
      (MAX(Хронология[Окончание]) - Планирование[[#This Row],[Начало (факт)]]) +
      (Планирование[[#This Row],[Забой, м (план)]] - Планирование[[#This Row],[Забой, м (факт)]]) /
      ((Планирование[[#This Row],[Забой, м (план)]] - V22)/Планирование[[#This Row],[Сутки (план)]]),
      IF(
        AND(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продолжаются",
          Планирование[[#This Row],[Начало (факт)]]&gt;0
        ),
        (TODAY()-Планирование[[#This Row],[Начало (факт)]]),
        IF(
          AND(Планирование[[#This Row],[Начало (факт)]]=0,
            Планирование[[#This Row],[Начало (план)]] &gt; MAX(Хронология[Начало])),
          Планирование[[#This Row],[Сутки (план)]],
          IF(
            AND((TODAY()-Планирование[[#This Row],[Начало (план)]])&gt;1,
              ISERR(MATCH(Планирование[[#This Row],[Ключ]], Хронология[Ключ], 0))),
            0,
            Планирование[[#This Row],[Сутки (план)]]
          )
        )
      )
    )
  ),
  Планирование[[#This Row],[Сутки (план)]]
)</f>
        <v>3.4583333333333334E-2</v>
      </c>
      <c r="AD23" s="5">
        <f ca="1">Планирование[[#This Row],[Сутки (факт)]]</f>
        <v>3.4583333333333334E-2</v>
      </c>
      <c r="AE23" s="566">
        <f t="array" ref="AE23">MAX(IF(Хронология[Ключ]=Планирование[[#This Row],[Ключ]], Хронология[Забой, м]))</f>
        <v>0</v>
      </c>
      <c r="AF23" s="233">
        <f ca="1">IFERROR(
    SUMIFS(
        Хронология[Часы],
        Хронология[Результат], "НПВ: нет в ГГД",
        Хронология[Начало], "&gt;=" &amp; Планирование[[#This Row],[Начало (факт)]],
        Хронология[Окончание], "&lt;=" &amp; Планирование[[#This Row],[Конец (факт, прогноз)]]
    ),
    0
)</f>
        <v>0</v>
      </c>
      <c r="AG23" s="233">
        <f ca="1">IFERROR(
    SUMIFS(
        Хронология[Часы],
        Хронология[Результат], "НПВ: нет в ГГД",
        Хронология[Начало], "&gt;=" &amp; Планирование[[#This Row],[Конец (факт, прогноз)]],
        Хронология[Окончание], "&lt;=" &amp; Y24
    ),
    0
)</f>
        <v>0</v>
      </c>
      <c r="AH23" s="550">
        <f ca="1">ROUND(IF(Планирование[[#This Row],[Часы (факт)]]-Планирование[[#This Row],[НПВ за операцию, часы]]-Планирование[[#This Row],[Часы (план)]] &lt;0, 0, Планирование[[#This Row],[Часы (факт)]]-Планирование[[#This Row],[НПВ за операцию, часы]]-Планирование[[#This Row],[Часы (план)]]), 2)</f>
        <v>0</v>
      </c>
      <c r="AI23" s="567" t="s">
        <v>1060</v>
      </c>
      <c r="AJ23" s="568">
        <f ca="1">Планирование[[#This Row],[Конец (план)]]-Планирование[[#This Row],[Конец (факт, прогноз)]]</f>
        <v>-0.85416666666424135</v>
      </c>
    </row>
    <row r="24" spans="1:36" ht="30" customHeight="1">
      <c r="A24" s="508" t="s">
        <v>1071</v>
      </c>
      <c r="B24" s="577" t="s">
        <v>53</v>
      </c>
      <c r="C24" s="543"/>
      <c r="D24" s="543" t="s">
        <v>51</v>
      </c>
      <c r="E24" s="543" t="s">
        <v>58</v>
      </c>
      <c r="F24" s="543"/>
      <c r="G24" s="543" t="s">
        <v>111</v>
      </c>
      <c r="H24" s="543" t="s">
        <v>112</v>
      </c>
      <c r="I24" s="543" t="s">
        <v>113</v>
      </c>
      <c r="J24" s="543" t="s">
        <v>114</v>
      </c>
      <c r="K24" s="543"/>
      <c r="L24" s="9" t="str">
        <f>IF(Планирование[[#This Row],[Контекст простоя]]="Штатно", Планирование[[#This Row],[Скважина]] &amp; " " &amp; "ОК–" &amp;Планирование[[#This Row],[ОК]] &amp; " "  &amp; Планирование[[#This Row],[Этап]] &amp; " " &amp; Планирование[[#This Row],[Вид работ]] &amp; " " &amp; Планирование[[#This Row],[Объект работ]] &amp; " " &amp; Планирование[[#This Row],[Рейс]], Планирование[[#This Row],[Скважина]] &amp; " " &amp; "ОК–" &amp;Планирование[[#This Row],[ОК]] &amp; " " &amp; Планирование[[#This Row],[Этап]] &amp; " " &amp; Планирование[[#This Row],[Контекст простоя]] &amp; " " &amp; Планирование[[#This Row],[Событие]] &amp; " " &amp; Планирование[[#This Row],[Вид работ]] &amp; " " &amp; Планирование[[#This Row],[Объект работ]] &amp; " " &amp; Планирование[[#This Row],[Рейс]])</f>
        <v xml:space="preserve">6 бис ОК– КРС Замер Электрооборудование </v>
      </c>
      <c r="M24" s="551">
        <f>IF(Планирование[[#This Row],[Скважина]]&lt;&gt;B23, Планирование[[#This Row],[Начало (факт)]], N23)</f>
        <v>46147.145833333343</v>
      </c>
      <c r="N24" s="4">
        <f>Планирование[[#This Row],[Начало (цель)]]+Планирование[[#This Row],[Сутки (цель)]]</f>
        <v>46147.166666666679</v>
      </c>
      <c r="O24" s="233">
        <v>0.5</v>
      </c>
      <c r="Q24" s="5">
        <f>Планирование[[#This Row],[Часы (цель)]]/24</f>
        <v>2.0833333333333332E-2</v>
      </c>
      <c r="R24" s="5">
        <f>R23+Планирование[[#This Row],[Сутки (цель)]]</f>
        <v>2.0679166666666666</v>
      </c>
      <c r="S24" s="551">
        <f>Планирование[[#This Row],[Начало (цель)]]</f>
        <v>46147.145833333343</v>
      </c>
      <c r="T24" s="4">
        <f>Планирование[[#This Row],[Начало (план)]]+Планирование[[#This Row],[Сутки (план)]]</f>
        <v>46147.166666666679</v>
      </c>
      <c r="U24" s="233">
        <f>Планирование[[#This Row],[Часы (цель)]]</f>
        <v>0.5</v>
      </c>
      <c r="V24">
        <f>Планирование[[#This Row],[Забой, м (цель)]]</f>
        <v>0</v>
      </c>
      <c r="W24" s="5">
        <f>Планирование[[#This Row],[Часы (план)]]/24</f>
        <v>2.0833333333333332E-2</v>
      </c>
      <c r="X24" s="550">
        <f>Планирование[[#This Row],[Сутки (план)]]+X23</f>
        <v>2.3333333333333335</v>
      </c>
      <c r="Y24" s="551">
        <f t="array" ref="Y24">IFERROR(
    INDEX(Хронология[Начало], MATCH(1, (Хронология[Ключ]=Планирование[[#This Row],[Ключ]]) * (Хронология[Подытог за операцию]=MIN(IF(Хронология[Ключ]=Планирование[[#This Row],[Ключ]], Хронология[Подытог за операцию]))), 0)),
    Z23
)</f>
        <v>46148.000000000007</v>
      </c>
      <c r="Z24" s="4">
        <f t="array" aca="1" ref="Z24" ca="1">MAX(IFERROR(
    INDEX(Хронология[Окончание], MATCH(1, (Хронология[Ключ]=Планирование[[#This Row],[Ключ]]) * (Хронология[Подытог за операцию]=MAX(IF(Хронология[Ключ]=Планирование[[#This Row],[Ключ]], Хронология[Подытог за операцию]))), 0)),
    Y24+AC24
), Планирование[[#This Row],[Начало (факт)]]+Планирование[[#This Row],[Сутки (факт)]])</f>
        <v>46148.020833333343</v>
      </c>
      <c r="AA24" s="233">
        <f ca="1">IF(AND(Планирование[[#This Row],[Начало (факт)]]=Y25, Планирование[[#This Row],[Забой, м (факт)]]=0), 0, Планирование[[#This Row],[Сутки (факт)]]*24)</f>
        <v>0.5</v>
      </c>
      <c r="AB24" s="233">
        <f ca="1">Планирование[[#This Row],[Часы (факт)]]-Планирование[[#This Row],[НПВ за операцию, часы]]-Планирование[[#This Row],[ПНВ, часы]]</f>
        <v>0.5</v>
      </c>
      <c r="AC24" s="5">
        <f t="array" aca="1" ref="AC24" ca="1">IFERROR(
  IF(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окончены",
    MAX(IF(Хронология[Ключ]=Планирование[[#This Row],[Ключ]], Хронология[Подытог за операцию])),
    IF(
      Планирование[[#This Row],[Событие]]="Мех. бурение",
      (MAX(Хронология[Окончание]) - Планирование[[#This Row],[Начало (факт)]]) +
      (Планирование[[#This Row],[Забой, м (план)]] - Планирование[[#This Row],[Забой, м (факт)]]) /
      ((Планирование[[#This Row],[Забой, м (план)]] - V23)/Планирование[[#This Row],[Сутки (план)]]),
      IF(
        AND(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продолжаются",
          Планирование[[#This Row],[Начало (факт)]]&gt;0
        ),
        (TODAY()-Планирование[[#This Row],[Начало (факт)]]),
        IF(
          AND(Планирование[[#This Row],[Начало (факт)]]=0,
            Планирование[[#This Row],[Начало (план)]] &gt; MAX(Хронология[Начало])),
          Планирование[[#This Row],[Сутки (план)]],
          IF(
            AND((TODAY()-Планирование[[#This Row],[Начало (план)]])&gt;1,
              ISERR(MATCH(Планирование[[#This Row],[Ключ]], Хронология[Ключ], 0))),
            0,
            Планирование[[#This Row],[Сутки (план)]]
          )
        )
      )
    )
  ),
  Планирование[[#This Row],[Сутки (план)]]
)</f>
        <v>2.0833333333333332E-2</v>
      </c>
      <c r="AD24" s="5">
        <f ca="1">Планирование[[#This Row],[Сутки (факт)]]</f>
        <v>2.0833333333333332E-2</v>
      </c>
      <c r="AE24" s="566">
        <f t="array" ref="AE24">MAX(IF(Хронология[Ключ]=Планирование[[#This Row],[Ключ]], Хронология[Забой, м]))</f>
        <v>0</v>
      </c>
      <c r="AF24" s="233">
        <f ca="1">IFERROR(
    SUMIFS(
        Хронология[Часы],
        Хронология[Результат], "НПВ: нет в ГГД",
        Хронология[Начало], "&gt;=" &amp; Планирование[[#This Row],[Начало (факт)]],
        Хронология[Окончание], "&lt;=" &amp; Планирование[[#This Row],[Конец (факт, прогноз)]]
    ),
    0
)</f>
        <v>0</v>
      </c>
      <c r="AG24" s="233">
        <f ca="1">IFERROR(
    SUMIFS(
        Хронология[Часы],
        Хронология[Результат], "НПВ: нет в ГГД",
        Хронология[Начало], "&gt;=" &amp; Планирование[[#This Row],[Конец (факт, прогноз)]],
        Хронология[Окончание], "&lt;=" &amp; Y25
    ),
    0
)</f>
        <v>0</v>
      </c>
      <c r="AH24" s="550">
        <f ca="1">ROUND(IF(Планирование[[#This Row],[Часы (факт)]]-Планирование[[#This Row],[НПВ за операцию, часы]]-Планирование[[#This Row],[Часы (план)]] &lt;0, 0, Планирование[[#This Row],[Часы (факт)]]-Планирование[[#This Row],[НПВ за операцию, часы]]-Планирование[[#This Row],[Часы (план)]]), 2)</f>
        <v>0</v>
      </c>
      <c r="AI24" s="567" t="s">
        <v>1060</v>
      </c>
      <c r="AJ24" s="568">
        <f ca="1">Планирование[[#This Row],[Конец (план)]]-Планирование[[#This Row],[Конец (факт, прогноз)]]</f>
        <v>-0.85416666666424135</v>
      </c>
    </row>
    <row r="25" spans="1:36" ht="30" customHeight="1">
      <c r="A25" s="508" t="s">
        <v>1072</v>
      </c>
      <c r="B25" s="577" t="s">
        <v>53</v>
      </c>
      <c r="C25" s="543"/>
      <c r="D25" s="543" t="s">
        <v>116</v>
      </c>
      <c r="E25" s="543" t="s">
        <v>58</v>
      </c>
      <c r="F25" s="543"/>
      <c r="G25" s="543" t="s">
        <v>69</v>
      </c>
      <c r="H25" s="543" t="s">
        <v>117</v>
      </c>
      <c r="I25" s="543" t="s">
        <v>86</v>
      </c>
      <c r="J25" s="543" t="s">
        <v>118</v>
      </c>
      <c r="K25" s="543"/>
      <c r="L25" s="9" t="str">
        <f>IF(Планирование[[#This Row],[Контекст простоя]]="Штатно", Планирование[[#This Row],[Скважина]] &amp; " " &amp; "ОК–" &amp;Планирование[[#This Row],[ОК]] &amp; " "  &amp; Планирование[[#This Row],[Этап]] &amp; " " &amp; Планирование[[#This Row],[Вид работ]] &amp; " " &amp; Планирование[[#This Row],[Объект работ]] &amp; " " &amp; Планирование[[#This Row],[Рейс]], Планирование[[#This Row],[Скважина]] &amp; " " &amp; "ОК–" &amp;Планирование[[#This Row],[ОК]] &amp; " " &amp; Планирование[[#This Row],[Этап]] &amp; " " &amp; Планирование[[#This Row],[Контекст простоя]] &amp; " " &amp; Планирование[[#This Row],[Событие]] &amp; " " &amp; Планирование[[#This Row],[Вид работ]] &amp; " " &amp; Планирование[[#This Row],[Объект работ]] &amp; " " &amp; Планирование[[#This Row],[Рейс]])</f>
        <v xml:space="preserve">6 бис ОК– Заканчивание Перемонтаж Фонтанная арматура </v>
      </c>
      <c r="M25" s="551">
        <f>IF(Планирование[[#This Row],[Скважина]]&lt;&gt;B24, Планирование[[#This Row],[Начало (факт)]], N24)</f>
        <v>46147.166666666679</v>
      </c>
      <c r="N25" s="4">
        <f>Планирование[[#This Row],[Начало (цель)]]+Планирование[[#This Row],[Сутки (цель)]]</f>
        <v>46147.247083333343</v>
      </c>
      <c r="O25" s="233">
        <v>1.93</v>
      </c>
      <c r="Q25" s="5">
        <f>Планирование[[#This Row],[Часы (цель)]]/24</f>
        <v>8.0416666666666664E-2</v>
      </c>
      <c r="R25" s="5">
        <f>R24+Планирование[[#This Row],[Сутки (цель)]]</f>
        <v>2.1483333333333334</v>
      </c>
      <c r="S25" s="551">
        <f>Планирование[[#This Row],[Начало (цель)]]</f>
        <v>46147.166666666679</v>
      </c>
      <c r="T25" s="4">
        <f>Планирование[[#This Row],[Начало (план)]]+Планирование[[#This Row],[Сутки (план)]]</f>
        <v>46147.247083333343</v>
      </c>
      <c r="U25" s="233">
        <f>Планирование[[#This Row],[Часы (цель)]]</f>
        <v>1.93</v>
      </c>
      <c r="V25">
        <f>Планирование[[#This Row],[Забой, м (цель)]]</f>
        <v>0</v>
      </c>
      <c r="W25" s="5">
        <f>Планирование[[#This Row],[Часы (план)]]/24</f>
        <v>8.0416666666666664E-2</v>
      </c>
      <c r="X25" s="550">
        <f>Планирование[[#This Row],[Сутки (план)]]+X24</f>
        <v>2.4137500000000003</v>
      </c>
      <c r="Y25" s="551">
        <f t="array" ref="Y25">IFERROR(
    INDEX(Хронология[Начало], MATCH(1, (Хронология[Ключ]=Планирование[[#This Row],[Ключ]]) * (Хронология[Подытог за операцию]=MIN(IF(Хронология[Ключ]=Планирование[[#This Row],[Ключ]], Хронология[Подытог за операцию]))), 0)),
    Z24
)</f>
        <v>46148.020833333343</v>
      </c>
      <c r="Z25" s="4">
        <f t="array" aca="1" ref="Z25" ca="1">MAX(IFERROR(
    INDEX(Хронология[Окончание], MATCH(1, (Хронология[Ключ]=Планирование[[#This Row],[Ключ]]) * (Хронология[Подытог за операцию]=MAX(IF(Хронология[Ключ]=Планирование[[#This Row],[Ключ]], Хронология[Подытог за операцию]))), 0)),
    Y25+AC25
), Планирование[[#This Row],[Начало (факт)]]+Планирование[[#This Row],[Сутки (факт)]])</f>
        <v>46148.104166666679</v>
      </c>
      <c r="AA25" s="233">
        <f ca="1">IF(AND(Планирование[[#This Row],[Начало (факт)]]=Y26, Планирование[[#This Row],[Забой, м (факт)]]=0), 0, Планирование[[#This Row],[Сутки (факт)]]*24)</f>
        <v>2</v>
      </c>
      <c r="AB25" s="233">
        <f ca="1">Планирование[[#This Row],[Часы (факт)]]-Планирование[[#This Row],[НПВ за операцию, часы]]-Планирование[[#This Row],[ПНВ, часы]]</f>
        <v>1.93</v>
      </c>
      <c r="AC25" s="5">
        <f t="array" aca="1" ref="AC25" ca="1">IFERROR(
  IF(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окончены",
    MAX(IF(Хронология[Ключ]=Планирование[[#This Row],[Ключ]], Хронология[Подытог за операцию])),
    IF(
      Планирование[[#This Row],[Событие]]="Мех. бурение",
      (MAX(Хронология[Окончание]) - Планирование[[#This Row],[Начало (факт)]]) +
      (Планирование[[#This Row],[Забой, м (план)]] - Планирование[[#This Row],[Забой, м (факт)]]) /
      ((Планирование[[#This Row],[Забой, м (план)]] - V24)/Планирование[[#This Row],[Сутки (план)]]),
      IF(
        AND(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продолжаются",
          Планирование[[#This Row],[Начало (факт)]]&gt;0
        ),
        (TODAY()-Планирование[[#This Row],[Начало (факт)]]),
        IF(
          AND(Планирование[[#This Row],[Начало (факт)]]=0,
            Планирование[[#This Row],[Начало (план)]] &gt; MAX(Хронология[Начало])),
          Планирование[[#This Row],[Сутки (план)]],
          IF(
            AND((TODAY()-Планирование[[#This Row],[Начало (план)]])&gt;1,
              ISERR(MATCH(Планирование[[#This Row],[Ключ]], Хронология[Ключ], 0))),
            0,
            Планирование[[#This Row],[Сутки (план)]]
          )
        )
      )
    )
  ),
  Планирование[[#This Row],[Сутки (план)]]
)</f>
        <v>8.3333333333333329E-2</v>
      </c>
      <c r="AD25" s="5">
        <f ca="1">Планирование[[#This Row],[Сутки (факт)]]</f>
        <v>8.3333333333333329E-2</v>
      </c>
      <c r="AE25" s="566">
        <f t="array" ref="AE25">MAX(IF(Хронология[Ключ]=Планирование[[#This Row],[Ключ]], Хронология[Забой, м]))</f>
        <v>0</v>
      </c>
      <c r="AF25" s="233">
        <f ca="1">IFERROR(
    SUMIFS(
        Хронология[Часы],
        Хронология[Результат], "НПВ: нет в ГГД",
        Хронология[Начало], "&gt;=" &amp; Планирование[[#This Row],[Начало (факт)]],
        Хронология[Окончание], "&lt;=" &amp; Планирование[[#This Row],[Конец (факт, прогноз)]]
    ),
    0
)</f>
        <v>0</v>
      </c>
      <c r="AG25" s="233">
        <f ca="1">IFERROR(
    SUMIFS(
        Хронология[Часы],
        Хронология[Результат], "НПВ: нет в ГГД",
        Хронология[Начало], "&gt;=" &amp; Планирование[[#This Row],[Конец (факт, прогноз)]],
        Хронология[Окончание], "&lt;=" &amp; Y26
    ),
    0
)</f>
        <v>0</v>
      </c>
      <c r="AH25" s="550">
        <f ca="1">ROUND(IF(Планирование[[#This Row],[Часы (факт)]]-Планирование[[#This Row],[НПВ за операцию, часы]]-Планирование[[#This Row],[Часы (план)]] &lt;0, 0, Планирование[[#This Row],[Часы (факт)]]-Планирование[[#This Row],[НПВ за операцию, часы]]-Планирование[[#This Row],[Часы (план)]]), 2)</f>
        <v>7.0000000000000007E-2</v>
      </c>
      <c r="AI25" s="567" t="s">
        <v>1060</v>
      </c>
      <c r="AJ25" s="568">
        <f ca="1">Планирование[[#This Row],[Конец (план)]]-Планирование[[#This Row],[Конец (факт, прогноз)]]</f>
        <v>-0.85708333333604969</v>
      </c>
    </row>
    <row r="26" spans="1:36" s="6" customFormat="1" ht="30" customHeight="1">
      <c r="A26" s="509" t="s">
        <v>1073</v>
      </c>
      <c r="B26" s="578" t="s">
        <v>53</v>
      </c>
      <c r="C26" s="580"/>
      <c r="D26" s="580" t="s">
        <v>116</v>
      </c>
      <c r="E26" s="580" t="s">
        <v>58</v>
      </c>
      <c r="F26" s="580"/>
      <c r="G26" s="580" t="s">
        <v>120</v>
      </c>
      <c r="H26" s="580" t="s">
        <v>121</v>
      </c>
      <c r="I26" s="580" t="s">
        <v>92</v>
      </c>
      <c r="J26" s="580" t="s">
        <v>93</v>
      </c>
      <c r="K26" s="580"/>
      <c r="L26" s="581" t="str">
        <f>IF(Планирование[[#This Row],[Контекст простоя]]="Штатно", Планирование[[#This Row],[Скважина]] &amp; " " &amp; "ОК–" &amp;Планирование[[#This Row],[ОК]] &amp; " "  &amp; Планирование[[#This Row],[Этап]] &amp; " " &amp; Планирование[[#This Row],[Вид работ]] &amp; " " &amp; Планирование[[#This Row],[Объект работ]] &amp; " " &amp; Планирование[[#This Row],[Рейс]], Планирование[[#This Row],[Скважина]] &amp; " " &amp; "ОК–" &amp;Планирование[[#This Row],[ОК]] &amp; " " &amp; Планирование[[#This Row],[Этап]] &amp; " " &amp; Планирование[[#This Row],[Контекст простоя]] &amp; " " &amp; Планирование[[#This Row],[Событие]] &amp; " " &amp; Планирование[[#This Row],[Вид работ]] &amp; " " &amp; Планирование[[#This Row],[Объект работ]] &amp; " " &amp; Планирование[[#This Row],[Рейс]])</f>
        <v xml:space="preserve">6 бис ОК– Заканчивание Запуск в работу УЭЦН </v>
      </c>
      <c r="M26" s="586">
        <f>IF(Планирование[[#This Row],[Скважина]]&lt;&gt;B25, Планирование[[#This Row],[Начало (факт)]], N25)</f>
        <v>46147.247083333343</v>
      </c>
      <c r="N26" s="569">
        <f>Планирование[[#This Row],[Начало (цель)]]+Планирование[[#This Row],[Сутки (цель)]]</f>
        <v>46147.292083333341</v>
      </c>
      <c r="O26" s="570">
        <v>1.08</v>
      </c>
      <c r="Q26" s="571">
        <f>Планирование[[#This Row],[Часы (цель)]]/24</f>
        <v>4.5000000000000005E-2</v>
      </c>
      <c r="R26" s="571">
        <f>R25+Планирование[[#This Row],[Сутки (цель)]]</f>
        <v>2.1933333333333334</v>
      </c>
      <c r="S26" s="586">
        <f>Планирование[[#This Row],[Начало (цель)]]</f>
        <v>46147.247083333343</v>
      </c>
      <c r="T26" s="569">
        <f>Планирование[[#This Row],[Начало (план)]]+Планирование[[#This Row],[Сутки (план)]]</f>
        <v>46147.292083333341</v>
      </c>
      <c r="U26" s="570">
        <f>Планирование[[#This Row],[Часы (цель)]]</f>
        <v>1.08</v>
      </c>
      <c r="V26" s="6">
        <f>Планирование[[#This Row],[Забой, м (цель)]]</f>
        <v>0</v>
      </c>
      <c r="W26" s="571">
        <f>Планирование[[#This Row],[Часы (план)]]/24</f>
        <v>4.5000000000000005E-2</v>
      </c>
      <c r="X26" s="572">
        <f>Планирование[[#This Row],[Сутки (план)]]+X25</f>
        <v>2.4587500000000002</v>
      </c>
      <c r="Y26" s="551">
        <f t="array" ref="Y26">IFERROR(
    INDEX(Хронология[Начало], MATCH(1, (Хронология[Ключ]=Планирование[[#This Row],[Ключ]]) * (Хронология[Подытог за операцию]=MIN(IF(Хронология[Ключ]=Планирование[[#This Row],[Ключ]], Хронология[Подытог за операцию]))), 0)),
    Z25
)</f>
        <v>46148.104166666679</v>
      </c>
      <c r="Z26" s="4">
        <f t="array" aca="1" ref="Z26" ca="1">MAX(IFERROR(
    INDEX(Хронология[Окончание], MATCH(1, (Хронология[Ключ]=Планирование[[#This Row],[Ключ]]) * (Хронология[Подытог за операцию]=MAX(IF(Хронология[Ключ]=Планирование[[#This Row],[Ключ]], Хронология[Подытог за операцию]))), 0)),
    Y26+AC26
), Планирование[[#This Row],[Начало (факт)]]+Планирование[[#This Row],[Сутки (факт)]])</f>
        <v>46148.145833333343</v>
      </c>
      <c r="AA26" s="233">
        <f ca="1">IF(AND(Планирование[[#This Row],[Начало (факт)]]=Y27, Планирование[[#This Row],[Забой, м (факт)]]=0), 0, Планирование[[#This Row],[Сутки (факт)]]*24)</f>
        <v>1</v>
      </c>
      <c r="AB26" s="233">
        <f ca="1">Планирование[[#This Row],[Часы (факт)]]-Планирование[[#This Row],[НПВ за операцию, часы]]-Планирование[[#This Row],[ПНВ, часы]]</f>
        <v>1</v>
      </c>
      <c r="AC26" s="5">
        <f t="array" aca="1" ref="AC26" ca="1">IFERROR(
  IF(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окончены",
    MAX(IF(Хронология[Ключ]=Планирование[[#This Row],[Ключ]], Хронология[Подытог за операцию])),
    IF(
      Планирование[[#This Row],[Событие]]="Мех. бурение",
      (MAX(Хронология[Окончание]) - Планирование[[#This Row],[Начало (факт)]]) +
      (Планирование[[#This Row],[Забой, м (план)]] - Планирование[[#This Row],[Забой, м (факт)]]) /
      ((Планирование[[#This Row],[Забой, м (план)]] - V25)/Планирование[[#This Row],[Сутки (план)]]),
      IF(
        AND(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продолжаются",
          Планирование[[#This Row],[Начало (факт)]]&gt;0
        ),
        (TODAY()-Планирование[[#This Row],[Начало (факт)]]),
        IF(
          AND(Планирование[[#This Row],[Начало (факт)]]=0,
            Планирование[[#This Row],[Начало (план)]] &gt; MAX(Хронология[Начало])),
          Планирование[[#This Row],[Сутки (план)]],
          IF(
            AND((TODAY()-Планирование[[#This Row],[Начало (план)]])&gt;1,
              ISERR(MATCH(Планирование[[#This Row],[Ключ]], Хронология[Ключ], 0))),
            0,
            Планирование[[#This Row],[Сутки (план)]]
          )
        )
      )
    )
  ),
  Планирование[[#This Row],[Сутки (план)]]
)</f>
        <v>4.1666666666666664E-2</v>
      </c>
      <c r="AD26" s="5">
        <f ca="1">Планирование[[#This Row],[Сутки (факт)]]</f>
        <v>4.1666666666666664E-2</v>
      </c>
      <c r="AE26" s="566">
        <f t="array" ref="AE26">MAX(IF(Хронология[Ключ]=Планирование[[#This Row],[Ключ]], Хронология[Забой, м]))</f>
        <v>0</v>
      </c>
      <c r="AF26" s="233">
        <f ca="1">IFERROR(
    SUMIFS(
        Хронология[Часы],
        Хронология[Результат], "НПВ: нет в ГГД",
        Хронология[Начало], "&gt;=" &amp; Планирование[[#This Row],[Начало (факт)]],
        Хронология[Окончание], "&lt;=" &amp; Планирование[[#This Row],[Конец (факт, прогноз)]]
    ),
    0
)</f>
        <v>0</v>
      </c>
      <c r="AG26" s="233">
        <f ca="1">IFERROR(
    SUMIFS(
        Хронология[Часы],
        Хронология[Результат], "НПВ: нет в ГГД",
        Хронология[Начало], "&gt;=" &amp; Планирование[[#This Row],[Конец (факт, прогноз)]],
        Хронология[Окончание], "&lt;=" &amp; Y27
    ),
    0
)</f>
        <v>0</v>
      </c>
      <c r="AH26" s="550">
        <f ca="1">ROUND(IF(Планирование[[#This Row],[Часы (факт)]]-Планирование[[#This Row],[НПВ за операцию, часы]]-Планирование[[#This Row],[Часы (план)]] &lt;0, 0, Планирование[[#This Row],[Часы (факт)]]-Планирование[[#This Row],[НПВ за операцию, часы]]-Планирование[[#This Row],[Часы (план)]]), 2)</f>
        <v>0</v>
      </c>
      <c r="AI26" s="567" t="s">
        <v>1060</v>
      </c>
      <c r="AJ26" s="568">
        <f ca="1">Планирование[[#This Row],[Конец (план)]]-Планирование[[#This Row],[Конец (факт, прогноз)]]</f>
        <v>-0.85375000000203727</v>
      </c>
    </row>
    <row r="27" spans="1:36" ht="30" customHeight="1">
      <c r="A27" s="508" t="s">
        <v>1074</v>
      </c>
      <c r="B27" s="577" t="s">
        <v>53</v>
      </c>
      <c r="C27" s="543"/>
      <c r="D27" s="543" t="s">
        <v>57</v>
      </c>
      <c r="E27" s="543" t="s">
        <v>58</v>
      </c>
      <c r="F27" s="543"/>
      <c r="G27" s="543" t="s">
        <v>69</v>
      </c>
      <c r="H27" s="543" t="s">
        <v>108</v>
      </c>
      <c r="I27" s="543" t="s">
        <v>61</v>
      </c>
      <c r="J27" s="543" t="s">
        <v>62</v>
      </c>
      <c r="K27" s="543"/>
      <c r="L27" s="9" t="str">
        <f>IF(Планирование[[#This Row],[Контекст простоя]]="Штатно", Планирование[[#This Row],[Скважина]] &amp; " " &amp; "ОК–" &amp;Планирование[[#This Row],[ОК]] &amp; " "  &amp; Планирование[[#This Row],[Этап]] &amp; " " &amp; Планирование[[#This Row],[Вид работ]] &amp; " " &amp; Планирование[[#This Row],[Объект работ]] &amp; " " &amp; Планирование[[#This Row],[Рейс]], Планирование[[#This Row],[Скважина]] &amp; " " &amp; "ОК–" &amp;Планирование[[#This Row],[ОК]] &amp; " " &amp; Планирование[[#This Row],[Этап]] &amp; " " &amp; Планирование[[#This Row],[Контекст простоя]] &amp; " " &amp; Планирование[[#This Row],[Событие]] &amp; " " &amp; Планирование[[#This Row],[Вид работ]] &amp; " " &amp; Планирование[[#This Row],[Объект работ]] &amp; " " &amp; Планирование[[#This Row],[Рейс]])</f>
        <v xml:space="preserve">6 бис ОК– ДПМ Демонтаж УПА </v>
      </c>
      <c r="M27" s="551">
        <f>IF(Планирование[[#This Row],[Скважина]]&lt;&gt;B26, Планирование[[#This Row],[Начало (факт)]], N26)</f>
        <v>46147.292083333341</v>
      </c>
      <c r="N27" s="4">
        <f>Планирование[[#This Row],[Начало (цель)]]+Планирование[[#This Row],[Сутки (цель)]]</f>
        <v>46147.604583333341</v>
      </c>
      <c r="O27" s="233">
        <v>7.5</v>
      </c>
      <c r="Q27" s="5">
        <f>Планирование[[#This Row],[Часы (цель)]]/24</f>
        <v>0.3125</v>
      </c>
      <c r="R27" s="5">
        <f>R26+Планирование[[#This Row],[Сутки (цель)]]</f>
        <v>2.5058333333333334</v>
      </c>
      <c r="S27" s="551">
        <f>Планирование[[#This Row],[Начало (цель)]]</f>
        <v>46147.292083333341</v>
      </c>
      <c r="T27" s="4">
        <f>Планирование[[#This Row],[Начало (план)]]+Планирование[[#This Row],[Сутки (план)]]</f>
        <v>46147.604583333341</v>
      </c>
      <c r="U27" s="233">
        <f>Планирование[[#This Row],[Часы (цель)]]</f>
        <v>7.5</v>
      </c>
      <c r="V27">
        <f>Планирование[[#This Row],[Забой, м (цель)]]</f>
        <v>0</v>
      </c>
      <c r="W27" s="5">
        <f>Планирование[[#This Row],[Часы (план)]]/24</f>
        <v>0.3125</v>
      </c>
      <c r="X27" s="550">
        <f>Планирование[[#This Row],[Сутки (план)]]+X26</f>
        <v>2.7712500000000002</v>
      </c>
      <c r="Y27" s="551">
        <f t="array" ref="Y27">IFERROR(
    INDEX(Хронология[Начало], MATCH(1, (Хронология[Ключ]=Планирование[[#This Row],[Ключ]]) * (Хронология[Подытог за операцию]=MIN(IF(Хронология[Ключ]=Планирование[[#This Row],[Ключ]], Хронология[Подытог за операцию]))), 0)),
    Z26
)</f>
        <v>46148.145833333343</v>
      </c>
      <c r="Z27" s="4">
        <f t="array" aca="1" ref="Z27" ca="1">MAX(IFERROR(
    INDEX(Хронология[Окончание], MATCH(1, (Хронология[Ключ]=Планирование[[#This Row],[Ключ]]) * (Хронология[Подытог за операцию]=MAX(IF(Хронология[Ключ]=Планирование[[#This Row],[Ключ]], Хронология[Подытог за операцию]))), 0)),
    Y27+AC27
), Планирование[[#This Row],[Начало (факт)]]+Планирование[[#This Row],[Сутки (факт)]])</f>
        <v>46148.895833333343</v>
      </c>
      <c r="AA27" s="233">
        <f ca="1">IF(AND(Планирование[[#This Row],[Начало (факт)]]=Y28, Планирование[[#This Row],[Забой, м (факт)]]=0), 0, Планирование[[#This Row],[Сутки (факт)]]*24)</f>
        <v>18</v>
      </c>
      <c r="AB27" s="233">
        <f ca="1">Планирование[[#This Row],[Часы (факт)]]-Планирование[[#This Row],[НПВ за операцию, часы]]-Планирование[[#This Row],[ПНВ, часы]]</f>
        <v>7.5</v>
      </c>
      <c r="AC27" s="5">
        <f t="array" aca="1" ref="AC27" ca="1">IFERROR(
  IF(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окончены",
    MAX(IF(Хронология[Ключ]=Планирование[[#This Row],[Ключ]], Хронология[Подытог за операцию])),
    IF(
      Планирование[[#This Row],[Событие]]="Мех. бурение",
      (MAX(Хронология[Окончание]) - Планирование[[#This Row],[Начало (факт)]]) +
      (Планирование[[#This Row],[Забой, м (план)]] - Планирование[[#This Row],[Забой, м (факт)]]) /
      ((Планирование[[#This Row],[Забой, м (план)]] - V26)/Планирование[[#This Row],[Сутки (план)]]),
      IF(
        AND(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продолжаются",
          Планирование[[#This Row],[Начало (факт)]]&gt;0
        ),
        (TODAY()-Планирование[[#This Row],[Начало (факт)]]),
        IF(
          AND(Планирование[[#This Row],[Начало (факт)]]=0,
            Планирование[[#This Row],[Начало (план)]] &gt; MAX(Хронология[Начало])),
          Планирование[[#This Row],[Сутки (план)]],
          IF(
            AND((TODAY()-Планирование[[#This Row],[Начало (план)]])&gt;1,
              ISERR(MATCH(Планирование[[#This Row],[Ключ]], Хронология[Ключ], 0))),
            0,
            Планирование[[#This Row],[Сутки (план)]]
          )
        )
      )
    )
  ),
  Планирование[[#This Row],[Сутки (план)]]
)</f>
        <v>0.75</v>
      </c>
      <c r="AD27" s="5">
        <f ca="1">Планирование[[#This Row],[Сутки (факт)]]</f>
        <v>0.75</v>
      </c>
      <c r="AE27" s="566">
        <f t="array" ref="AE27">MAX(IF(Хронология[Ключ]=Планирование[[#This Row],[Ключ]], Хронология[Забой, м]))</f>
        <v>0</v>
      </c>
      <c r="AF27" s="233">
        <f ca="1">IFERROR(
    SUMIFS(
        Хронология[Часы],
        Хронология[Результат], "НПВ: нет в ГГД",
        Хронология[Начало], "&gt;=" &amp; Планирование[[#This Row],[Начало (факт)]],
        Хронология[Окончание], "&lt;=" &amp; Планирование[[#This Row],[Конец (факт, прогноз)]]
    ),
    0
)</f>
        <v>0</v>
      </c>
      <c r="AG27" s="233">
        <f ca="1">IFERROR(
    SUMIFS(
        Хронология[Часы],
        Хронология[Результат], "НПВ: нет в ГГД",
        Хронология[Начало], "&gt;=" &amp; Планирование[[#This Row],[Конец (факт, прогноз)]],
        Хронология[Окончание], "&lt;=" &amp; Y28
    ),
    0
)</f>
        <v>0</v>
      </c>
      <c r="AH27" s="550">
        <f ca="1">ROUND(IF(Планирование[[#This Row],[Часы (факт)]]-Планирование[[#This Row],[НПВ за операцию, часы]]-Планирование[[#This Row],[Часы (план)]] &lt;0, 0, Планирование[[#This Row],[Часы (факт)]]-Планирование[[#This Row],[НПВ за операцию, часы]]-Планирование[[#This Row],[Часы (план)]]), 2)</f>
        <v>10.5</v>
      </c>
      <c r="AI27" s="567" t="s">
        <v>1060</v>
      </c>
      <c r="AJ27" s="568">
        <f ca="1">Планирование[[#This Row],[Конец (план)]]-Планирование[[#This Row],[Конец (факт, прогноз)]]</f>
        <v>-1.2912500000020373</v>
      </c>
    </row>
    <row r="28" spans="1:36" ht="30" customHeight="1">
      <c r="A28" s="508" t="s">
        <v>1075</v>
      </c>
      <c r="B28" s="577">
        <v>431</v>
      </c>
      <c r="C28" s="543"/>
      <c r="D28" s="543" t="s">
        <v>57</v>
      </c>
      <c r="E28" s="543" t="s">
        <v>58</v>
      </c>
      <c r="F28" s="543"/>
      <c r="G28" s="543" t="s">
        <v>59</v>
      </c>
      <c r="H28" s="543" t="s">
        <v>60</v>
      </c>
      <c r="I28" s="543" t="s">
        <v>61</v>
      </c>
      <c r="J28" s="543" t="s">
        <v>62</v>
      </c>
      <c r="K28" s="543"/>
      <c r="L28" s="9" t="str">
        <f>IF(Планирование[[#This Row],[Контекст простоя]]="Штатно", Планирование[[#This Row],[Скважина]] &amp; " " &amp; "ОК–" &amp;Планирование[[#This Row],[ОК]] &amp; " "  &amp; Планирование[[#This Row],[Этап]] &amp; " " &amp; Планирование[[#This Row],[Вид работ]] &amp; " " &amp; Планирование[[#This Row],[Объект работ]] &amp; " " &amp; Планирование[[#This Row],[Рейс]], Планирование[[#This Row],[Скважина]] &amp; " " &amp; "ОК–" &amp;Планирование[[#This Row],[ОК]] &amp; " " &amp; Планирование[[#This Row],[Этап]] &amp; " " &amp; Планирование[[#This Row],[Контекст простоя]] &amp; " " &amp; Планирование[[#This Row],[Событие]] &amp; " " &amp; Планирование[[#This Row],[Вид работ]] &amp; " " &amp; Планирование[[#This Row],[Объект работ]] &amp; " " &amp; Планирование[[#This Row],[Рейс]])</f>
        <v xml:space="preserve">431 ОК– ДПМ Передвижка УПА </v>
      </c>
      <c r="M28" s="551">
        <f>IF(Планирование[[#This Row],[Скважина]]&lt;&gt;B27, Планирование[[#This Row],[Начало (факт)]], N27)</f>
        <v>46148.895833333343</v>
      </c>
      <c r="N28" s="4">
        <f>Планирование[[#This Row],[Начало (цель)]]+Планирование[[#This Row],[Сутки (цель)]]</f>
        <v>46149.582083333342</v>
      </c>
      <c r="O28" s="233">
        <v>16.47</v>
      </c>
      <c r="Q28" s="5">
        <f>Планирование[[#This Row],[Часы (цель)]]/24</f>
        <v>0.68624999999999992</v>
      </c>
      <c r="R28" s="5">
        <f>R27+Планирование[[#This Row],[Сутки (цель)]]</f>
        <v>3.1920833333333332</v>
      </c>
      <c r="S28" s="551">
        <f>Планирование[[#This Row],[Начало (цель)]]</f>
        <v>46148.895833333343</v>
      </c>
      <c r="T28" s="4">
        <f>Планирование[[#This Row],[Начало (план)]]+Планирование[[#This Row],[Сутки (план)]]</f>
        <v>46149.582083333342</v>
      </c>
      <c r="U28" s="233">
        <f>Планирование[[#This Row],[Часы (цель)]]</f>
        <v>16.47</v>
      </c>
      <c r="V28">
        <f>Планирование[[#This Row],[Забой, м (цель)]]</f>
        <v>0</v>
      </c>
      <c r="W28" s="5">
        <f>Планирование[[#This Row],[Часы (план)]]/24</f>
        <v>0.68624999999999992</v>
      </c>
      <c r="X28" s="550">
        <f>Планирование[[#This Row],[Сутки (план)]]+X27</f>
        <v>3.4575</v>
      </c>
      <c r="Y28" s="551">
        <f t="array" ref="Y28">IFERROR(
    INDEX(Хронология[Начало], MATCH(1, (Хронология[Ключ]=Планирование[[#This Row],[Ключ]]) * (Хронология[Подытог за операцию]=MIN(IF(Хронология[Ключ]=Планирование[[#This Row],[Ключ]], Хронология[Подытог за операцию]))), 0)),
    Z27
)</f>
        <v>46148.895833333343</v>
      </c>
      <c r="Z28" s="4">
        <f t="array" aca="1" ref="Z28" ca="1">MAX(IFERROR(
    INDEX(Хронология[Окончание], MATCH(1, (Хронология[Ключ]=Планирование[[#This Row],[Ключ]]) * (Хронология[Подытог за операцию]=MAX(IF(Хронология[Ключ]=Планирование[[#This Row],[Ключ]], Хронология[Подытог за операцию]))), 0)),
    Y28+AC28
), Планирование[[#This Row],[Начало (факт)]]+Планирование[[#This Row],[Сутки (факт)]])</f>
        <v>46151.291666666679</v>
      </c>
      <c r="AA28" s="233">
        <f ca="1">IF(AND(Планирование[[#This Row],[Начало (факт)]]=Y29, Планирование[[#This Row],[Забой, м (факт)]]=0), 0, Планирование[[#This Row],[Сутки (факт)]]*24)</f>
        <v>57.5</v>
      </c>
      <c r="AB28" s="233">
        <f ca="1">Планирование[[#This Row],[Часы (факт)]]-Планирование[[#This Row],[НПВ за операцию, часы]]-Планирование[[#This Row],[ПНВ, часы]]</f>
        <v>16.47</v>
      </c>
      <c r="AC28" s="5">
        <f t="array" aca="1" ref="AC28" ca="1">IFERROR(
  IF(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окончены",
    MAX(IF(Хронология[Ключ]=Планирование[[#This Row],[Ключ]], Хронология[Подытог за операцию])),
    IF(
      Планирование[[#This Row],[Событие]]="Мех. бурение",
      (MAX(Хронология[Окончание]) - Планирование[[#This Row],[Начало (факт)]]) +
      (Планирование[[#This Row],[Забой, м (план)]] - Планирование[[#This Row],[Забой, м (факт)]]) /
      ((Планирование[[#This Row],[Забой, м (план)]] - V27)/Планирование[[#This Row],[Сутки (план)]]),
      IF(
        AND(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продолжаются",
          Планирование[[#This Row],[Начало (факт)]]&gt;0
        ),
        (TODAY()-Планирование[[#This Row],[Начало (факт)]]),
        IF(
          AND(Планирование[[#This Row],[Начало (факт)]]=0,
            Планирование[[#This Row],[Начало (план)]] &gt; MAX(Хронология[Начало])),
          Планирование[[#This Row],[Сутки (план)]],
          IF(
            AND((TODAY()-Планирование[[#This Row],[Начало (план)]])&gt;1,
              ISERR(MATCH(Планирование[[#This Row],[Ключ]], Хронология[Ключ], 0))),
            0,
            Планирование[[#This Row],[Сутки (план)]]
          )
        )
      )
    )
  ),
  Планирование[[#This Row],[Сутки (план)]]
)</f>
        <v>2.3958333333333335</v>
      </c>
      <c r="AD28" s="5">
        <f ca="1">Планирование[[#This Row],[Сутки (факт)]]</f>
        <v>2.3958333333333335</v>
      </c>
      <c r="AE28" s="566">
        <f t="array" ref="AE28">MAX(IF(Хронология[Ключ]=Планирование[[#This Row],[Ключ]], Хронология[Забой, м]))</f>
        <v>0</v>
      </c>
      <c r="AF28" s="233">
        <f ca="1">IFERROR(
    SUMIFS(
        Хронология[Часы],
        Хронология[Результат], "НПВ: нет в ГГД",
        Хронология[Начало], "&gt;=" &amp; Планирование[[#This Row],[Начало (факт)]],
        Хронология[Окончание], "&lt;=" &amp; Планирование[[#This Row],[Конец (факт, прогноз)]]
    ),
    0
)</f>
        <v>0</v>
      </c>
      <c r="AG28" s="233">
        <f ca="1">IFERROR(
    SUMIFS(
        Хронология[Часы],
        Хронология[Результат], "НПВ: нет в ГГД",
        Хронология[Начало], "&gt;=" &amp; Планирование[[#This Row],[Конец (факт, прогноз)]],
        Хронология[Окончание], "&lt;=" &amp; Y29
    ),
    0
)</f>
        <v>0</v>
      </c>
      <c r="AH28" s="550">
        <f ca="1">ROUND(IF(Планирование[[#This Row],[Часы (факт)]]-Планирование[[#This Row],[НПВ за операцию, часы]]-Планирование[[#This Row],[Часы (план)]] &lt;0, 0, Планирование[[#This Row],[Часы (факт)]]-Планирование[[#This Row],[НПВ за операцию, часы]]-Планирование[[#This Row],[Часы (план)]]), 2)</f>
        <v>41.03</v>
      </c>
      <c r="AI28" s="567" t="s">
        <v>1060</v>
      </c>
      <c r="AJ28" s="568">
        <f ca="1">Планирование[[#This Row],[Конец (план)]]-Планирование[[#This Row],[Конец (факт, прогноз)]]</f>
        <v>-1.7095833333369228</v>
      </c>
    </row>
    <row r="29" spans="1:36" ht="30" customHeight="1">
      <c r="A29" s="508" t="s">
        <v>1076</v>
      </c>
      <c r="B29" s="577">
        <v>431</v>
      </c>
      <c r="C29" s="543"/>
      <c r="D29" s="543" t="s">
        <v>57</v>
      </c>
      <c r="E29" s="543" t="s">
        <v>58</v>
      </c>
      <c r="F29" s="543"/>
      <c r="G29" s="543" t="s">
        <v>69</v>
      </c>
      <c r="H29" s="543" t="s">
        <v>70</v>
      </c>
      <c r="I29" s="543" t="s">
        <v>61</v>
      </c>
      <c r="J29" s="543" t="s">
        <v>71</v>
      </c>
      <c r="K29" s="543"/>
      <c r="L29" s="9" t="str">
        <f>IF(Планирование[[#This Row],[Контекст простоя]]="Штатно", Планирование[[#This Row],[Скважина]] &amp; " " &amp; "ОК–" &amp;Планирование[[#This Row],[ОК]] &amp; " "  &amp; Планирование[[#This Row],[Этап]] &amp; " " &amp; Планирование[[#This Row],[Вид работ]] &amp; " " &amp; Планирование[[#This Row],[Объект работ]] &amp; " " &amp; Планирование[[#This Row],[Рейс]], Планирование[[#This Row],[Скважина]] &amp; " " &amp; "ОК–" &amp;Планирование[[#This Row],[ОК]] &amp; " " &amp; Планирование[[#This Row],[Этап]] &amp; " " &amp; Планирование[[#This Row],[Контекст простоя]] &amp; " " &amp; Планирование[[#This Row],[Событие]] &amp; " " &amp; Планирование[[#This Row],[Вид работ]] &amp; " " &amp; Планирование[[#This Row],[Объект работ]] &amp; " " &amp; Планирование[[#This Row],[Рейс]])</f>
        <v xml:space="preserve">431 ОК– ДПМ Монтаж БО </v>
      </c>
      <c r="M29" s="551">
        <f>IF(Планирование[[#This Row],[Скважина]]&lt;&gt;B28, Планирование[[#This Row],[Начало (факт)]], N28)</f>
        <v>46149.582083333342</v>
      </c>
      <c r="N29" s="4">
        <f>Планирование[[#This Row],[Начало (цель)]]+Планирование[[#This Row],[Сутки (цель)]]</f>
        <v>46149.804433333338</v>
      </c>
      <c r="O29" s="233">
        <v>5.3364000000000003</v>
      </c>
      <c r="Q29" s="5">
        <f>Планирование[[#This Row],[Часы (цель)]]/24</f>
        <v>0.22235000000000002</v>
      </c>
      <c r="R29" s="5">
        <f>R28+Планирование[[#This Row],[Сутки (цель)]]</f>
        <v>3.4144333333333332</v>
      </c>
      <c r="S29" s="551">
        <f>Планирование[[#This Row],[Начало (цель)]]</f>
        <v>46149.582083333342</v>
      </c>
      <c r="T29" s="4">
        <f>Планирование[[#This Row],[Начало (план)]]+Планирование[[#This Row],[Сутки (план)]]</f>
        <v>46149.804433333338</v>
      </c>
      <c r="U29" s="233">
        <f>Планирование[[#This Row],[Часы (цель)]]</f>
        <v>5.3364000000000003</v>
      </c>
      <c r="V29">
        <f>Планирование[[#This Row],[Забой, м (цель)]]</f>
        <v>0</v>
      </c>
      <c r="W29" s="5">
        <f>Планирование[[#This Row],[Часы (план)]]/24</f>
        <v>0.22235000000000002</v>
      </c>
      <c r="X29" s="550">
        <f>Планирование[[#This Row],[Сутки (план)]]+X28</f>
        <v>3.6798500000000001</v>
      </c>
      <c r="Y29" s="551">
        <f t="array" ref="Y29">IFERROR(
    INDEX(Хронология[Начало], MATCH(1, (Хронология[Ключ]=Планирование[[#This Row],[Ключ]]) * (Хронология[Подытог за операцию]=MIN(IF(Хронология[Ключ]=Планирование[[#This Row],[Ключ]], Хронология[Подытог за операцию]))), 0)),
    Z28
)</f>
        <v>46152.66666666665</v>
      </c>
      <c r="Z29" s="4">
        <f t="array" aca="1" ref="Z29" ca="1">MAX(IFERROR(
    INDEX(Хронология[Окончание], MATCH(1, (Хронология[Ключ]=Планирование[[#This Row],[Ключ]]) * (Хронология[Подытог за операцию]=MAX(IF(Хронология[Ключ]=Планирование[[#This Row],[Ключ]], Хронология[Подытог за операцию]))), 0)),
    Y29+AC29
), Планирование[[#This Row],[Начало (факт)]]+Планирование[[#This Row],[Сутки (факт)]])</f>
        <v>46153.66666666665</v>
      </c>
      <c r="AA29" s="233">
        <f ca="1">IF(AND(Планирование[[#This Row],[Начало (факт)]]=Y30, Планирование[[#This Row],[Забой, м (факт)]]=0), 0, Планирование[[#This Row],[Сутки (факт)]]*24)</f>
        <v>24</v>
      </c>
      <c r="AB29" s="233">
        <f ca="1">Планирование[[#This Row],[Часы (факт)]]-Планирование[[#This Row],[НПВ за операцию, часы]]-Планирование[[#This Row],[ПНВ, часы]]</f>
        <v>5.34</v>
      </c>
      <c r="AC29" s="5">
        <f t="array" aca="1" ref="AC29" ca="1">IFERROR(
  IF(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окончены",
    MAX(IF(Хронология[Ключ]=Планирование[[#This Row],[Ключ]], Хронология[Подытог за операцию])),
    IF(
      Планирование[[#This Row],[Событие]]="Мех. бурение",
      (MAX(Хронология[Окончание]) - Планирование[[#This Row],[Начало (факт)]]) +
      (Планирование[[#This Row],[Забой, м (план)]] - Планирование[[#This Row],[Забой, м (факт)]]) /
      ((Планирование[[#This Row],[Забой, м (план)]] - V28)/Планирование[[#This Row],[Сутки (план)]]),
      IF(
        AND(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продолжаются",
          Планирование[[#This Row],[Начало (факт)]]&gt;0
        ),
        (TODAY()-Планирование[[#This Row],[Начало (факт)]]),
        IF(
          AND(Планирование[[#This Row],[Начало (факт)]]=0,
            Планирование[[#This Row],[Начало (план)]] &gt; MAX(Хронология[Начало])),
          Планирование[[#This Row],[Сутки (план)]],
          IF(
            AND((TODAY()-Планирование[[#This Row],[Начало (план)]])&gt;1,
              ISERR(MATCH(Планирование[[#This Row],[Ключ]], Хронология[Ключ], 0))),
            0,
            Планирование[[#This Row],[Сутки (план)]]
          )
        )
      )
    )
  ),
  Планирование[[#This Row],[Сутки (план)]]
)</f>
        <v>1</v>
      </c>
      <c r="AD29" s="5">
        <f ca="1">Планирование[[#This Row],[Сутки (факт)]]</f>
        <v>1</v>
      </c>
      <c r="AE29" s="566">
        <f t="array" ref="AE29">MAX(IF(Хронология[Ключ]=Планирование[[#This Row],[Ключ]], Хронология[Забой, м]))</f>
        <v>0</v>
      </c>
      <c r="AF29" s="233">
        <f ca="1">IFERROR(
    SUMIFS(
        Хронология[Часы],
        Хронология[Результат], "НПВ: нет в ГГД",
        Хронология[Начало], "&gt;=" &amp; Планирование[[#This Row],[Начало (факт)]],
        Хронология[Окончание], "&lt;=" &amp; Планирование[[#This Row],[Конец (факт, прогноз)]]
    ),
    0
)</f>
        <v>0</v>
      </c>
      <c r="AG29" s="233">
        <f ca="1">IFERROR(
    SUMIFS(
        Хронология[Часы],
        Хронология[Результат], "НПВ: нет в ГГД",
        Хронология[Начало], "&gt;=" &amp; Планирование[[#This Row],[Конец (факт, прогноз)]],
        Хронология[Окончание], "&lt;=" &amp; Y30
    ),
    0
)</f>
        <v>0</v>
      </c>
      <c r="AH29" s="550">
        <f ca="1">ROUND(IF(Планирование[[#This Row],[Часы (факт)]]-Планирование[[#This Row],[НПВ за операцию, часы]]-Планирование[[#This Row],[Часы (план)]] &lt;0, 0, Планирование[[#This Row],[Часы (факт)]]-Планирование[[#This Row],[НПВ за операцию, часы]]-Планирование[[#This Row],[Часы (план)]]), 2)</f>
        <v>18.66</v>
      </c>
      <c r="AI29" s="567" t="s">
        <v>1060</v>
      </c>
      <c r="AJ29" s="568">
        <f ca="1">Планирование[[#This Row],[Конец (план)]]-Планирование[[#This Row],[Конец (факт, прогноз)]]</f>
        <v>-3.8622333333114511</v>
      </c>
    </row>
    <row r="30" spans="1:36" ht="30" customHeight="1">
      <c r="A30" s="508" t="s">
        <v>1077</v>
      </c>
      <c r="B30" s="577">
        <v>431</v>
      </c>
      <c r="C30" s="543"/>
      <c r="D30" s="543" t="s">
        <v>59</v>
      </c>
      <c r="E30" s="543" t="s">
        <v>58</v>
      </c>
      <c r="F30" s="543"/>
      <c r="G30" s="543" t="s">
        <v>69</v>
      </c>
      <c r="H30" s="543" t="s">
        <v>157</v>
      </c>
      <c r="I30" s="543" t="s">
        <v>86</v>
      </c>
      <c r="J30" s="543" t="s">
        <v>158</v>
      </c>
      <c r="K30" s="543"/>
      <c r="L30" s="9" t="str">
        <f>IF(Планирование[[#This Row],[Контекст простоя]]="Штатно", Планирование[[#This Row],[Скважина]] &amp; " " &amp; "ОК–" &amp;Планирование[[#This Row],[ОК]] &amp; " "  &amp; Планирование[[#This Row],[Этап]] &amp; " " &amp; Планирование[[#This Row],[Вид работ]] &amp; " " &amp; Планирование[[#This Row],[Объект работ]] &amp; " " &amp; Планирование[[#This Row],[Рейс]], Планирование[[#This Row],[Скважина]] &amp; " " &amp; "ОК–" &amp;Планирование[[#This Row],[ОК]] &amp; " " &amp; Планирование[[#This Row],[Этап]] &amp; " " &amp; Планирование[[#This Row],[Контекст простоя]] &amp; " " &amp; Планирование[[#This Row],[Событие]] &amp; " " &amp; Планирование[[#This Row],[Вид работ]] &amp; " " &amp; Планирование[[#This Row],[Объект работ]] &amp; " " &amp; Планирование[[#This Row],[Рейс]])</f>
        <v xml:space="preserve">431 ОК– ПР Монтаж линии Линия глушения </v>
      </c>
      <c r="M30" s="551">
        <f>IF(Планирование[[#This Row],[Скважина]]&lt;&gt;B29, Планирование[[#This Row],[Начало (факт)]], N29)</f>
        <v>46149.804433333338</v>
      </c>
      <c r="N30" s="4">
        <f>Планирование[[#This Row],[Начало (цель)]]+Планирование[[#This Row],[Сутки (цель)]]</f>
        <v>46149.823366666671</v>
      </c>
      <c r="O30" s="233">
        <v>0.45440000000000003</v>
      </c>
      <c r="Q30" s="5">
        <f>Планирование[[#This Row],[Часы (цель)]]/24</f>
        <v>1.8933333333333333E-2</v>
      </c>
      <c r="R30" s="5">
        <f>R29+Планирование[[#This Row],[Сутки (цель)]]</f>
        <v>3.4333666666666667</v>
      </c>
      <c r="S30" s="551">
        <f>Планирование[[#This Row],[Начало (цель)]]</f>
        <v>46149.804433333338</v>
      </c>
      <c r="T30" s="4">
        <f>Планирование[[#This Row],[Начало (план)]]+Планирование[[#This Row],[Сутки (план)]]</f>
        <v>46149.823366666671</v>
      </c>
      <c r="U30" s="233">
        <f>Планирование[[#This Row],[Часы (цель)]]</f>
        <v>0.45440000000000003</v>
      </c>
      <c r="V30">
        <f>Планирование[[#This Row],[Забой, м (цель)]]</f>
        <v>0</v>
      </c>
      <c r="W30" s="5">
        <f>Планирование[[#This Row],[Часы (план)]]/24</f>
        <v>1.8933333333333333E-2</v>
      </c>
      <c r="X30" s="550">
        <f>Планирование[[#This Row],[Сутки (план)]]+X29</f>
        <v>3.6987833333333335</v>
      </c>
      <c r="Y30" s="551">
        <f t="array" ref="Y30">IFERROR(
    INDEX(Хронология[Начало], MATCH(1, (Хронология[Ключ]=Планирование[[#This Row],[Ключ]]) * (Хронология[Подытог за операцию]=MIN(IF(Хронология[Ключ]=Планирование[[#This Row],[Ключ]], Хронология[Подытог за операцию]))), 0)),
    Z29
)</f>
        <v>46153.666666666642</v>
      </c>
      <c r="Z30" s="4">
        <f t="array" aca="1" ref="Z30" ca="1">MAX(IFERROR(
    INDEX(Хронология[Окончание], MATCH(1, (Хронология[Ключ]=Планирование[[#This Row],[Ключ]]) * (Хронология[Подытог за операцию]=MAX(IF(Хронология[Ключ]=Планирование[[#This Row],[Ключ]], Хронология[Подытог за операцию]))), 0)),
    Y30+AC30
), Планирование[[#This Row],[Начало (факт)]]+Планирование[[#This Row],[Сутки (факт)]])</f>
        <v>46153.999999999978</v>
      </c>
      <c r="AA30" s="233">
        <f ca="1">IF(AND(Планирование[[#This Row],[Начало (факт)]]=Y31, Планирование[[#This Row],[Забой, м (факт)]]=0), 0, Планирование[[#This Row],[Сутки (факт)]]*24)</f>
        <v>8</v>
      </c>
      <c r="AB30" s="233">
        <f ca="1">Планирование[[#This Row],[Часы (факт)]]-Планирование[[#This Row],[НПВ за операцию, часы]]-Планирование[[#This Row],[ПНВ, часы]]</f>
        <v>0.45000000000000018</v>
      </c>
      <c r="AC30" s="5">
        <f t="array" aca="1" ref="AC30" ca="1">IFERROR(
  IF(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окончены",
    MAX(IF(Хронология[Ключ]=Планирование[[#This Row],[Ключ]], Хронология[Подытог за операцию])),
    IF(
      Планирование[[#This Row],[Событие]]="Мех. бурение",
      (MAX(Хронология[Окончание]) - Планирование[[#This Row],[Начало (факт)]]) +
      (Планирование[[#This Row],[Забой, м (план)]] - Планирование[[#This Row],[Забой, м (факт)]]) /
      ((Планирование[[#This Row],[Забой, м (план)]] - V29)/Планирование[[#This Row],[Сутки (план)]]),
      IF(
        AND(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продолжаются",
          Планирование[[#This Row],[Начало (факт)]]&gt;0
        ),
        (TODAY()-Планирование[[#This Row],[Начало (факт)]]),
        IF(
          AND(Планирование[[#This Row],[Начало (факт)]]=0,
            Планирование[[#This Row],[Начало (план)]] &gt; MAX(Хронология[Начало])),
          Планирование[[#This Row],[Сутки (план)]],
          IF(
            AND((TODAY()-Планирование[[#This Row],[Начало (план)]])&gt;1,
              ISERR(MATCH(Планирование[[#This Row],[Ключ]], Хронология[Ключ], 0))),
            0,
            Планирование[[#This Row],[Сутки (план)]]
          )
        )
      )
    )
  ),
  Планирование[[#This Row],[Сутки (план)]]
)</f>
        <v>0.33333333333333331</v>
      </c>
      <c r="AD30" s="5">
        <f ca="1">Планирование[[#This Row],[Сутки (факт)]]</f>
        <v>0.33333333333333331</v>
      </c>
      <c r="AE30" s="566">
        <f t="array" ref="AE30">MAX(IF(Хронология[Ключ]=Планирование[[#This Row],[Ключ]], Хронология[Забой, м]))</f>
        <v>0</v>
      </c>
      <c r="AF30" s="233">
        <f ca="1">IFERROR(
    SUMIFS(
        Хронология[Часы],
        Хронология[Результат], "НПВ: нет в ГГД",
        Хронология[Начало], "&gt;=" &amp; Планирование[[#This Row],[Начало (факт)]],
        Хронология[Окончание], "&lt;=" &amp; Планирование[[#This Row],[Конец (факт, прогноз)]]
    ),
    0
)</f>
        <v>0</v>
      </c>
      <c r="AG30" s="233">
        <f ca="1">IFERROR(
    SUMIFS(
        Хронология[Часы],
        Хронология[Результат], "НПВ: нет в ГГД",
        Хронология[Начало], "&gt;=" &amp; Планирование[[#This Row],[Конец (факт, прогноз)]],
        Хронология[Окончание], "&lt;=" &amp; Y31
    ),
    0
)</f>
        <v>0</v>
      </c>
      <c r="AH30" s="550">
        <f ca="1">ROUND(IF(Планирование[[#This Row],[Часы (факт)]]-Планирование[[#This Row],[НПВ за операцию, часы]]-Планирование[[#This Row],[Часы (план)]] &lt;0, 0, Планирование[[#This Row],[Часы (факт)]]-Планирование[[#This Row],[НПВ за операцию, часы]]-Планирование[[#This Row],[Часы (план)]]), 2)</f>
        <v>7.55</v>
      </c>
      <c r="AI30" s="567" t="s">
        <v>1060</v>
      </c>
      <c r="AJ30" s="568">
        <f ca="1">Планирование[[#This Row],[Конец (план)]]-Планирование[[#This Row],[Конец (факт, прогноз)]]</f>
        <v>-4.1766333333071088</v>
      </c>
    </row>
    <row r="31" spans="1:36" ht="30" customHeight="1">
      <c r="A31" s="508" t="s">
        <v>1078</v>
      </c>
      <c r="B31" s="577">
        <v>431</v>
      </c>
      <c r="C31" s="543"/>
      <c r="D31" s="543" t="s">
        <v>59</v>
      </c>
      <c r="E31" s="543" t="s">
        <v>58</v>
      </c>
      <c r="F31" s="543"/>
      <c r="G31" s="543" t="s">
        <v>111</v>
      </c>
      <c r="H31" s="543" t="s">
        <v>150</v>
      </c>
      <c r="I31" s="543" t="s">
        <v>86</v>
      </c>
      <c r="J31" s="543" t="s">
        <v>161</v>
      </c>
      <c r="K31" s="543"/>
      <c r="L31" s="9" t="str">
        <f>IF(Планирование[[#This Row],[Контекст простоя]]="Штатно", Планирование[[#This Row],[Скважина]] &amp; " " &amp; "ОК–" &amp;Планирование[[#This Row],[ОК]] &amp; " "  &amp; Планирование[[#This Row],[Этап]] &amp; " " &amp; Планирование[[#This Row],[Вид работ]] &amp; " " &amp; Планирование[[#This Row],[Объект работ]] &amp; " " &amp; Планирование[[#This Row],[Рейс]], Планирование[[#This Row],[Скважина]] &amp; " " &amp; "ОК–" &amp;Планирование[[#This Row],[ОК]] &amp; " " &amp; Планирование[[#This Row],[Этап]] &amp; " " &amp; Планирование[[#This Row],[Контекст простоя]] &amp; " " &amp; Планирование[[#This Row],[Событие]] &amp; " " &amp; Планирование[[#This Row],[Вид работ]] &amp; " " &amp; Планирование[[#This Row],[Объект работ]] &amp; " " &amp; Планирование[[#This Row],[Рейс]])</f>
        <v xml:space="preserve">431 ОК– ПР Опрессовка ПВО </v>
      </c>
      <c r="M31" s="551">
        <f>IF(Планирование[[#This Row],[Скважина]]&lt;&gt;B30, Планирование[[#This Row],[Начало (факт)]], N30)</f>
        <v>46149.823366666671</v>
      </c>
      <c r="N31" s="4">
        <f>Планирование[[#This Row],[Начало (цель)]]+Планирование[[#This Row],[Сутки (цель)]]</f>
        <v>46149.844366666672</v>
      </c>
      <c r="O31" s="233">
        <v>0.504</v>
      </c>
      <c r="Q31" s="5">
        <f>Планирование[[#This Row],[Часы (цель)]]/24</f>
        <v>2.1000000000000001E-2</v>
      </c>
      <c r="R31" s="5">
        <f>R30+Планирование[[#This Row],[Сутки (цель)]]</f>
        <v>3.4543666666666666</v>
      </c>
      <c r="S31" s="551">
        <f>Планирование[[#This Row],[Начало (цель)]]</f>
        <v>46149.823366666671</v>
      </c>
      <c r="T31" s="4">
        <f>Планирование[[#This Row],[Начало (план)]]+Планирование[[#This Row],[Сутки (план)]]</f>
        <v>46149.844366666672</v>
      </c>
      <c r="U31" s="233">
        <f>Планирование[[#This Row],[Часы (цель)]]</f>
        <v>0.504</v>
      </c>
      <c r="V31">
        <f>Планирование[[#This Row],[Забой, м (цель)]]</f>
        <v>0</v>
      </c>
      <c r="W31" s="5">
        <f>Планирование[[#This Row],[Часы (план)]]/24</f>
        <v>2.1000000000000001E-2</v>
      </c>
      <c r="X31" s="550">
        <f>Планирование[[#This Row],[Сутки (план)]]+X30</f>
        <v>3.7197833333333334</v>
      </c>
      <c r="Y31" s="551">
        <f t="array" ref="Y31">IFERROR(
    INDEX(Хронология[Начало], MATCH(1, (Хронология[Ключ]=Планирование[[#This Row],[Ключ]]) * (Хронология[Подытог за операцию]=MIN(IF(Хронология[Ключ]=Планирование[[#This Row],[Ключ]], Хронология[Подытог за операцию]))), 0)),
    Z30
)</f>
        <v>46153.999999999971</v>
      </c>
      <c r="Z31" s="4">
        <f t="array" aca="1" ref="Z31" ca="1">MAX(IFERROR(
    INDEX(Хронология[Окончание], MATCH(1, (Хронология[Ключ]=Планирование[[#This Row],[Ключ]]) * (Хронология[Подытог за операцию]=MAX(IF(Хронология[Ключ]=Планирование[[#This Row],[Ключ]], Хронология[Подытог за операцию]))), 0)),
    Y31+AC31
), Планирование[[#This Row],[Начало (факт)]]+Планирование[[#This Row],[Сутки (факт)]])</f>
        <v>46154.833333333299</v>
      </c>
      <c r="AA31" s="233">
        <f ca="1">IF(AND(Планирование[[#This Row],[Начало (факт)]]=Y32, Планирование[[#This Row],[Забой, м (факт)]]=0), 0, Планирование[[#This Row],[Сутки (факт)]]*24)</f>
        <v>15</v>
      </c>
      <c r="AB31" s="233">
        <f ca="1">Планирование[[#This Row],[Часы (факт)]]-Планирование[[#This Row],[НПВ за операцию, часы]]-Планирование[[#This Row],[ПНВ, часы]]</f>
        <v>0.5</v>
      </c>
      <c r="AC31" s="5">
        <f t="array" aca="1" ref="AC31" ca="1">IFERROR(
  IF(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окончены",
    MAX(IF(Хронология[Ключ]=Планирование[[#This Row],[Ключ]], Хронология[Подытог за операцию])),
    IF(
      Планирование[[#This Row],[Событие]]="Мех. бурение",
      (MAX(Хронология[Окончание]) - Планирование[[#This Row],[Начало (факт)]]) +
      (Планирование[[#This Row],[Забой, м (план)]] - Планирование[[#This Row],[Забой, м (факт)]]) /
      ((Планирование[[#This Row],[Забой, м (план)]] - V30)/Планирование[[#This Row],[Сутки (план)]]),
      IF(
        AND(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продолжаются",
          Планирование[[#This Row],[Начало (факт)]]&gt;0
        ),
        (TODAY()-Планирование[[#This Row],[Начало (факт)]]),
        IF(
          AND(Планирование[[#This Row],[Начало (факт)]]=0,
            Планирование[[#This Row],[Начало (план)]] &gt; MAX(Хронология[Начало])),
          Планирование[[#This Row],[Сутки (план)]],
          IF(
            AND((TODAY()-Планирование[[#This Row],[Начало (план)]])&gt;1,
              ISERR(MATCH(Планирование[[#This Row],[Ключ]], Хронология[Ключ], 0))),
            0,
            Планирование[[#This Row],[Сутки (план)]]
          )
        )
      )
    )
  ),
  Планирование[[#This Row],[Сутки (план)]]
)</f>
        <v>0.625</v>
      </c>
      <c r="AD31" s="5">
        <f ca="1">Планирование[[#This Row],[Сутки (факт)]]</f>
        <v>0.625</v>
      </c>
      <c r="AE31" s="566">
        <f t="array" ref="AE31">MAX(IF(Хронология[Ключ]=Планирование[[#This Row],[Ключ]], Хронология[Забой, м]))</f>
        <v>0</v>
      </c>
      <c r="AF31" s="233">
        <f ca="1">IFERROR(
    SUMIFS(
        Хронология[Часы],
        Хронология[Результат], "НПВ: нет в ГГД",
        Хронология[Начало], "&gt;=" &amp; Планирование[[#This Row],[Начало (факт)]],
        Хронология[Окончание], "&lt;=" &amp; Планирование[[#This Row],[Конец (факт, прогноз)]]
    ),
    0
)</f>
        <v>0</v>
      </c>
      <c r="AG31" s="233">
        <f ca="1">IFERROR(
    SUMIFS(
        Хронология[Часы],
        Хронология[Результат], "НПВ: нет в ГГД",
        Хронология[Начало], "&gt;=" &amp; Планирование[[#This Row],[Конец (факт, прогноз)]],
        Хронология[Окончание], "&lt;=" &amp; Y32
    ),
    0
)</f>
        <v>0</v>
      </c>
      <c r="AH31" s="550">
        <f ca="1">ROUND(IF(Планирование[[#This Row],[Часы (факт)]]-Планирование[[#This Row],[НПВ за операцию, часы]]-Планирование[[#This Row],[Часы (план)]] &lt;0, 0, Планирование[[#This Row],[Часы (факт)]]-Планирование[[#This Row],[НПВ за операцию, часы]]-Планирование[[#This Row],[Часы (план)]]), 2)</f>
        <v>14.5</v>
      </c>
      <c r="AI31" s="567" t="s">
        <v>1060</v>
      </c>
      <c r="AJ31" s="568">
        <f ca="1">Планирование[[#This Row],[Конец (план)]]-Планирование[[#This Row],[Конец (факт, прогноз)]]</f>
        <v>-4.9889666666276753</v>
      </c>
    </row>
    <row r="32" spans="1:36" ht="30" customHeight="1">
      <c r="A32" s="508" t="s">
        <v>1079</v>
      </c>
      <c r="B32" s="577">
        <v>431</v>
      </c>
      <c r="C32" s="543"/>
      <c r="D32" s="543" t="s">
        <v>59</v>
      </c>
      <c r="E32" s="543" t="s">
        <v>58</v>
      </c>
      <c r="F32" s="543"/>
      <c r="G32" s="543" t="s">
        <v>78</v>
      </c>
      <c r="H32" s="543" t="s">
        <v>136</v>
      </c>
      <c r="I32" s="543" t="s">
        <v>137</v>
      </c>
      <c r="J32" s="543" t="s">
        <v>138</v>
      </c>
      <c r="K32" s="543"/>
      <c r="L32" s="9" t="str">
        <f>IF(Планирование[[#This Row],[Контекст простоя]]="Штатно", Планирование[[#This Row],[Скважина]] &amp; " " &amp; "ОК–" &amp;Планирование[[#This Row],[ОК]] &amp; " "  &amp; Планирование[[#This Row],[Этап]] &amp; " " &amp; Планирование[[#This Row],[Вид работ]] &amp; " " &amp; Планирование[[#This Row],[Объект работ]] &amp; " " &amp; Планирование[[#This Row],[Рейс]], Планирование[[#This Row],[Скважина]] &amp; " " &amp; "ОК–" &amp;Планирование[[#This Row],[ОК]] &amp; " " &amp; Планирование[[#This Row],[Этап]] &amp; " " &amp; Планирование[[#This Row],[Контекст простоя]] &amp; " " &amp; Планирование[[#This Row],[Событие]] &amp; " " &amp; Планирование[[#This Row],[Вид работ]] &amp; " " &amp; Планирование[[#This Row],[Объект работ]] &amp; " " &amp; Планирование[[#This Row],[Рейс]])</f>
        <v xml:space="preserve">431 ОК– ПР Завоз Тех. вода </v>
      </c>
      <c r="M32" s="551">
        <f>IF(Планирование[[#This Row],[Скважина]]&lt;&gt;B31, Планирование[[#This Row],[Начало (факт)]], N31)</f>
        <v>46149.844366666672</v>
      </c>
      <c r="N32" s="4">
        <f>Планирование[[#This Row],[Начало (цель)]]+Планирование[[#This Row],[Сутки (цель)]]</f>
        <v>46150.216866666669</v>
      </c>
      <c r="O32" s="233">
        <v>8.94</v>
      </c>
      <c r="Q32" s="5">
        <f>Планирование[[#This Row],[Часы (цель)]]/24</f>
        <v>0.3725</v>
      </c>
      <c r="R32" s="5">
        <f>R31+Планирование[[#This Row],[Сутки (цель)]]</f>
        <v>3.8268666666666666</v>
      </c>
      <c r="S32" s="551">
        <f>Планирование[[#This Row],[Начало (цель)]]</f>
        <v>46149.844366666672</v>
      </c>
      <c r="T32" s="4">
        <f>Планирование[[#This Row],[Начало (план)]]+Планирование[[#This Row],[Сутки (план)]]</f>
        <v>46150.216866666669</v>
      </c>
      <c r="U32" s="233">
        <f>Планирование[[#This Row],[Часы (цель)]]</f>
        <v>8.94</v>
      </c>
      <c r="V32">
        <f>Планирование[[#This Row],[Забой, м (цель)]]</f>
        <v>0</v>
      </c>
      <c r="W32" s="5">
        <f>Планирование[[#This Row],[Часы (план)]]/24</f>
        <v>0.3725</v>
      </c>
      <c r="X32" s="550">
        <f>Планирование[[#This Row],[Сутки (план)]]+X31</f>
        <v>4.0922833333333335</v>
      </c>
      <c r="Y32" s="551">
        <f t="array" ref="Y32">IFERROR(
    INDEX(Хронология[Начало], MATCH(1, (Хронология[Ключ]=Планирование[[#This Row],[Ключ]]) * (Хронология[Подытог за операцию]=MIN(IF(Хронология[Ключ]=Планирование[[#This Row],[Ключ]], Хронология[Подытог за операцию]))), 0)),
    Z31
)</f>
        <v>46151.291666666657</v>
      </c>
      <c r="Z32" s="4">
        <f t="array" aca="1" ref="Z32" ca="1">MAX(IFERROR(
    INDEX(Хронология[Окончание], MATCH(1, (Хронология[Ключ]=Планирование[[#This Row],[Ключ]]) * (Хронология[Подытог за операцию]=MAX(IF(Хронология[Ключ]=Планирование[[#This Row],[Ключ]], Хронология[Подытог за операцию]))), 0)),
    Y32+AC32
), Планирование[[#This Row],[Начало (факт)]]+Планирование[[#This Row],[Сутки (факт)]])</f>
        <v>46152.499999999985</v>
      </c>
      <c r="AA32" s="233">
        <f ca="1">IF(AND(Планирование[[#This Row],[Начало (факт)]]=Y33, Планирование[[#This Row],[Забой, м (факт)]]=0), 0, Планирование[[#This Row],[Сутки (факт)]]*24)</f>
        <v>24.999999999999996</v>
      </c>
      <c r="AB32" s="233">
        <f ca="1">Планирование[[#This Row],[Часы (факт)]]-Планирование[[#This Row],[НПВ за операцию, часы]]-Планирование[[#This Row],[ПНВ, часы]]</f>
        <v>8.9399999999999977</v>
      </c>
      <c r="AC32" s="5">
        <f t="array" aca="1" ref="AC32" ca="1">IFERROR(
  IF(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окончены",
    MAX(IF(Хронология[Ключ]=Планирование[[#This Row],[Ключ]], Хронология[Подытог за операцию])),
    IF(
      Планирование[[#This Row],[Событие]]="Мех. бурение",
      (MAX(Хронология[Окончание]) - Планирование[[#This Row],[Начало (факт)]]) +
      (Планирование[[#This Row],[Забой, м (план)]] - Планирование[[#This Row],[Забой, м (факт)]]) /
      ((Планирование[[#This Row],[Забой, м (план)]] - V31)/Планирование[[#This Row],[Сутки (план)]]),
      IF(
        AND(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продолжаются",
          Планирование[[#This Row],[Начало (факт)]]&gt;0
        ),
        (TODAY()-Планирование[[#This Row],[Начало (факт)]]),
        IF(
          AND(Планирование[[#This Row],[Начало (факт)]]=0,
            Планирование[[#This Row],[Начало (план)]] &gt; MAX(Хронология[Начало])),
          Планирование[[#This Row],[Сутки (план)]],
          IF(
            AND((TODAY()-Планирование[[#This Row],[Начало (план)]])&gt;1,
              ISERR(MATCH(Планирование[[#This Row],[Ключ]], Хронология[Ключ], 0))),
            0,
            Планирование[[#This Row],[Сутки (план)]]
          )
        )
      )
    )
  ),
  Планирование[[#This Row],[Сутки (план)]]
)</f>
        <v>1.0416666666666665</v>
      </c>
      <c r="AD32" s="5">
        <f ca="1">Планирование[[#This Row],[Сутки (факт)]]</f>
        <v>1.0416666666666665</v>
      </c>
      <c r="AE32" s="566">
        <f t="array" ref="AE32">MAX(IF(Хронология[Ключ]=Планирование[[#This Row],[Ключ]], Хронология[Забой, м]))</f>
        <v>0</v>
      </c>
      <c r="AF32" s="233">
        <f ca="1">IFERROR(
    SUMIFS(
        Хронология[Часы],
        Хронология[Результат], "НПВ: нет в ГГД",
        Хронология[Начало], "&gt;=" &amp; Планирование[[#This Row],[Начало (факт)]],
        Хронология[Окончание], "&lt;=" &amp; Планирование[[#This Row],[Конец (факт, прогноз)]]
    ),
    0
)</f>
        <v>0</v>
      </c>
      <c r="AG32" s="233">
        <f ca="1">IFERROR(
    SUMIFS(
        Хронология[Часы],
        Хронология[Результат], "НПВ: нет в ГГД",
        Хронология[Начало], "&gt;=" &amp; Планирование[[#This Row],[Конец (факт, прогноз)]],
        Хронология[Окончание], "&lt;=" &amp; Y33
    ),
    0
)</f>
        <v>0</v>
      </c>
      <c r="AH32" s="550">
        <f ca="1">ROUND(IF(Планирование[[#This Row],[Часы (факт)]]-Планирование[[#This Row],[НПВ за операцию, часы]]-Планирование[[#This Row],[Часы (план)]] &lt;0, 0, Планирование[[#This Row],[Часы (факт)]]-Планирование[[#This Row],[НПВ за операцию, часы]]-Планирование[[#This Row],[Часы (план)]]), 2)</f>
        <v>16.059999999999999</v>
      </c>
      <c r="AI32" s="567" t="s">
        <v>1060</v>
      </c>
      <c r="AJ32" s="568">
        <f ca="1">Планирование[[#This Row],[Конец (план)]]-Планирование[[#This Row],[Конец (факт, прогноз)]]</f>
        <v>-2.2831333333160728</v>
      </c>
    </row>
    <row r="33" spans="1:39" ht="30" customHeight="1">
      <c r="A33" s="508" t="s">
        <v>1080</v>
      </c>
      <c r="B33" s="577">
        <v>431</v>
      </c>
      <c r="C33" s="543"/>
      <c r="D33" s="543" t="s">
        <v>59</v>
      </c>
      <c r="E33" s="543" t="s">
        <v>58</v>
      </c>
      <c r="F33" s="543"/>
      <c r="G33" s="543" t="s">
        <v>111</v>
      </c>
      <c r="H33" s="543" t="s">
        <v>150</v>
      </c>
      <c r="I33" s="543" t="s">
        <v>86</v>
      </c>
      <c r="J33" s="543" t="s">
        <v>118</v>
      </c>
      <c r="K33" s="543"/>
      <c r="L33" s="9" t="str">
        <f>IF(Планирование[[#This Row],[Контекст простоя]]="Штатно", Планирование[[#This Row],[Скважина]] &amp; " " &amp; "ОК–" &amp;Планирование[[#This Row],[ОК]] &amp; " "  &amp; Планирование[[#This Row],[Этап]] &amp; " " &amp; Планирование[[#This Row],[Вид работ]] &amp; " " &amp; Планирование[[#This Row],[Объект работ]] &amp; " " &amp; Планирование[[#This Row],[Рейс]], Планирование[[#This Row],[Скважина]] &amp; " " &amp; "ОК–" &amp;Планирование[[#This Row],[ОК]] &amp; " " &amp; Планирование[[#This Row],[Этап]] &amp; " " &amp; Планирование[[#This Row],[Контекст простоя]] &amp; " " &amp; Планирование[[#This Row],[Событие]] &amp; " " &amp; Планирование[[#This Row],[Вид работ]] &amp; " " &amp; Планирование[[#This Row],[Объект работ]] &amp; " " &amp; Планирование[[#This Row],[Рейс]])</f>
        <v xml:space="preserve">431 ОК– ПР Опрессовка Фонтанная арматура </v>
      </c>
      <c r="M33" s="551">
        <f>IF(Планирование[[#This Row],[Скважина]]&lt;&gt;B32, Планирование[[#This Row],[Начало (факт)]], N32)</f>
        <v>46150.216866666669</v>
      </c>
      <c r="N33" s="4">
        <f>Планирование[[#This Row],[Начало (цель)]]+Планирование[[#This Row],[Сутки (цель)]]</f>
        <v>46150.246266666669</v>
      </c>
      <c r="O33" s="233">
        <v>0.7056</v>
      </c>
      <c r="Q33" s="5">
        <f>Планирование[[#This Row],[Часы (цель)]]/24</f>
        <v>2.9399999999999999E-2</v>
      </c>
      <c r="R33" s="5">
        <f>R32+Планирование[[#This Row],[Сутки (цель)]]</f>
        <v>3.8562666666666665</v>
      </c>
      <c r="S33" s="551">
        <f>Планирование[[#This Row],[Начало (цель)]]</f>
        <v>46150.216866666669</v>
      </c>
      <c r="T33" s="4">
        <f>Планирование[[#This Row],[Начало (план)]]+Планирование[[#This Row],[Сутки (план)]]</f>
        <v>46150.246266666669</v>
      </c>
      <c r="U33" s="233">
        <f>Планирование[[#This Row],[Часы (цель)]]</f>
        <v>0.7056</v>
      </c>
      <c r="V33">
        <f>Планирование[[#This Row],[Забой, м (цель)]]</f>
        <v>0</v>
      </c>
      <c r="W33" s="5">
        <f>Планирование[[#This Row],[Часы (план)]]/24</f>
        <v>2.9399999999999999E-2</v>
      </c>
      <c r="X33" s="550">
        <f>Планирование[[#This Row],[Сутки (план)]]+X32</f>
        <v>4.1216833333333334</v>
      </c>
      <c r="Y33" s="551">
        <f t="array" ref="Y33">IFERROR(
    INDEX(Хронология[Начало], MATCH(1, (Хронология[Ключ]=Планирование[[#This Row],[Ключ]]) * (Хронология[Подытог за операцию]=MIN(IF(Хронология[Ключ]=Планирование[[#This Row],[Ключ]], Хронология[Подытог за операцию]))), 0)),
    Z32
)</f>
        <v>46152.499999999985</v>
      </c>
      <c r="Z33" s="4">
        <f t="array" aca="1" ref="Z33" ca="1">MAX(IFERROR(
    INDEX(Хронология[Окончание], MATCH(1, (Хронология[Ключ]=Планирование[[#This Row],[Ключ]]) * (Хронология[Подытог за операцию]=MAX(IF(Хронология[Ключ]=Планирование[[#This Row],[Ключ]], Хронология[Подытог за операцию]))), 0)),
    Y33+AC33
), Планирование[[#This Row],[Начало (факт)]]+Планирование[[#This Row],[Сутки (факт)]])</f>
        <v>46152.66666666665</v>
      </c>
      <c r="AA33" s="233">
        <f ca="1">IF(AND(Планирование[[#This Row],[Начало (факт)]]=Y34, Планирование[[#This Row],[Забой, м (факт)]]=0), 0, Планирование[[#This Row],[Сутки (факт)]]*24)</f>
        <v>4</v>
      </c>
      <c r="AB33" s="233">
        <f ca="1">Планирование[[#This Row],[Часы (факт)]]-Планирование[[#This Row],[НПВ за операцию, часы]]-Планирование[[#This Row],[ПНВ, часы]]</f>
        <v>0.71</v>
      </c>
      <c r="AC33" s="5">
        <f t="array" aca="1" ref="AC33" ca="1">IFERROR(
  IF(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окончены",
    MAX(IF(Хронология[Ключ]=Планирование[[#This Row],[Ключ]], Хронология[Подытог за операцию])),
    IF(
      Планирование[[#This Row],[Событие]]="Мех. бурение",
      (MAX(Хронология[Окончание]) - Планирование[[#This Row],[Начало (факт)]]) +
      (Планирование[[#This Row],[Забой, м (план)]] - Планирование[[#This Row],[Забой, м (факт)]]) /
      ((Планирование[[#This Row],[Забой, м (план)]] - V32)/Планирование[[#This Row],[Сутки (план)]]),
      IF(
        AND(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продолжаются",
          Планирование[[#This Row],[Начало (факт)]]&gt;0
        ),
        (TODAY()-Планирование[[#This Row],[Начало (факт)]]),
        IF(
          AND(Планирование[[#This Row],[Начало (факт)]]=0,
            Планирование[[#This Row],[Начало (план)]] &gt; MAX(Хронология[Начало])),
          Планирование[[#This Row],[Сутки (план)]],
          IF(
            AND((TODAY()-Планирование[[#This Row],[Начало (план)]])&gt;1,
              ISERR(MATCH(Планирование[[#This Row],[Ключ]], Хронология[Ключ], 0))),
            0,
            Планирование[[#This Row],[Сутки (план)]]
          )
        )
      )
    )
  ),
  Планирование[[#This Row],[Сутки (план)]]
)</f>
        <v>0.16666666666666666</v>
      </c>
      <c r="AD33" s="5">
        <f ca="1">Планирование[[#This Row],[Сутки (факт)]]</f>
        <v>0.16666666666666666</v>
      </c>
      <c r="AE33" s="566">
        <f t="array" ref="AE33">MAX(IF(Хронология[Ключ]=Планирование[[#This Row],[Ключ]], Хронология[Забой, м]))</f>
        <v>0</v>
      </c>
      <c r="AF33" s="233">
        <f ca="1">IFERROR(
    SUMIFS(
        Хронология[Часы],
        Хронология[Результат], "НПВ: нет в ГГД",
        Хронология[Начало], "&gt;=" &amp; Планирование[[#This Row],[Начало (факт)]],
        Хронология[Окончание], "&lt;=" &amp; Планирование[[#This Row],[Конец (факт, прогноз)]]
    ),
    0
)</f>
        <v>0</v>
      </c>
      <c r="AG33" s="233">
        <f ca="1">IFERROR(
    SUMIFS(
        Хронология[Часы],
        Хронология[Результат], "НПВ: нет в ГГД",
        Хронология[Начало], "&gt;=" &amp; Планирование[[#This Row],[Конец (факт, прогноз)]],
        Хронология[Окончание], "&lt;=" &amp; Y34
    ),
    0
)</f>
        <v>0</v>
      </c>
      <c r="AH33" s="550">
        <f ca="1">ROUND(IF(Планирование[[#This Row],[Часы (факт)]]-Планирование[[#This Row],[НПВ за операцию, часы]]-Планирование[[#This Row],[Часы (план)]] &lt;0, 0, Планирование[[#This Row],[Часы (факт)]]-Планирование[[#This Row],[НПВ за операцию, часы]]-Планирование[[#This Row],[Часы (план)]]), 2)</f>
        <v>3.29</v>
      </c>
      <c r="AI33" s="567" t="s">
        <v>1060</v>
      </c>
      <c r="AJ33" s="568">
        <f ca="1">Планирование[[#This Row],[Конец (план)]]-Планирование[[#This Row],[Конец (факт, прогноз)]]</f>
        <v>-2.420399999980873</v>
      </c>
    </row>
    <row r="34" spans="1:39" ht="30" customHeight="1">
      <c r="A34" s="508" t="s">
        <v>1081</v>
      </c>
      <c r="B34" s="577">
        <v>431</v>
      </c>
      <c r="C34" s="543"/>
      <c r="D34" s="543" t="s">
        <v>59</v>
      </c>
      <c r="E34" s="543" t="s">
        <v>58</v>
      </c>
      <c r="F34" s="543"/>
      <c r="G34" s="543" t="s">
        <v>169</v>
      </c>
      <c r="H34" s="543" t="s">
        <v>170</v>
      </c>
      <c r="I34" s="543" t="s">
        <v>167</v>
      </c>
      <c r="J34" s="543" t="s">
        <v>4</v>
      </c>
      <c r="K34" s="543">
        <v>1</v>
      </c>
      <c r="L34" s="9" t="str">
        <f>IF(Планирование[[#This Row],[Контекст простоя]]="Штатно", Планирование[[#This Row],[Скважина]] &amp; " " &amp; "ОК–" &amp;Планирование[[#This Row],[ОК]] &amp; " "  &amp; Планирование[[#This Row],[Этап]] &amp; " " &amp; Планирование[[#This Row],[Вид работ]] &amp; " " &amp; Планирование[[#This Row],[Объект работ]] &amp; " " &amp; Планирование[[#This Row],[Рейс]], Планирование[[#This Row],[Скважина]] &amp; " " &amp; "ОК–" &amp;Планирование[[#This Row],[ОК]] &amp; " " &amp; Планирование[[#This Row],[Этап]] &amp; " " &amp; Планирование[[#This Row],[Контекст простоя]] &amp; " " &amp; Планирование[[#This Row],[Событие]] &amp; " " &amp; Планирование[[#This Row],[Вид работ]] &amp; " " &amp; Планирование[[#This Row],[Объект работ]] &amp; " " &amp; Планирование[[#This Row],[Рейс]])</f>
        <v>431 ОК– ПР Глушение Скважина 1</v>
      </c>
      <c r="M34" s="551">
        <f>IF(Планирование[[#This Row],[Скважина]]&lt;&gt;B33, Планирование[[#This Row],[Начало (факт)]], N33)</f>
        <v>46150.246266666669</v>
      </c>
      <c r="N34" s="4">
        <f>Планирование[[#This Row],[Начало (цель)]]+Планирование[[#This Row],[Сутки (цель)]]</f>
        <v>46150.652099999999</v>
      </c>
      <c r="O34" s="233">
        <v>9.74</v>
      </c>
      <c r="Q34" s="5">
        <f>Планирование[[#This Row],[Часы (цель)]]/24</f>
        <v>0.40583333333333332</v>
      </c>
      <c r="R34" s="5">
        <f>R33+Планирование[[#This Row],[Сутки (цель)]]</f>
        <v>4.2621000000000002</v>
      </c>
      <c r="S34" s="551">
        <f>Планирование[[#This Row],[Начало (цель)]]</f>
        <v>46150.246266666669</v>
      </c>
      <c r="T34" s="4">
        <f>Планирование[[#This Row],[Начало (план)]]+Планирование[[#This Row],[Сутки (план)]]</f>
        <v>46150.652099999999</v>
      </c>
      <c r="U34" s="233">
        <f>Планирование[[#This Row],[Часы (цель)]]</f>
        <v>9.74</v>
      </c>
      <c r="V34">
        <f>Планирование[[#This Row],[Забой, м (цель)]]</f>
        <v>0</v>
      </c>
      <c r="W34" s="5">
        <f>Планирование[[#This Row],[Часы (план)]]/24</f>
        <v>0.40583333333333332</v>
      </c>
      <c r="X34" s="550">
        <f>Планирование[[#This Row],[Сутки (план)]]+X33</f>
        <v>4.5275166666666671</v>
      </c>
      <c r="Y34" s="551">
        <f t="array" ref="Y34">IFERROR(
    INDEX(Хронология[Начало], MATCH(1, (Хронология[Ключ]=Планирование[[#This Row],[Ключ]]) * (Хронология[Подытог за операцию]=MIN(IF(Хронология[Ключ]=Планирование[[#This Row],[Ключ]], Хронология[Подытог за операцию]))), 0)),
    Z33
)</f>
        <v>46155.499999999964</v>
      </c>
      <c r="Z34" s="4">
        <f t="array" aca="1" ref="Z34" ca="1">MAX(IFERROR(
    INDEX(Хронология[Окончание], MATCH(1, (Хронология[Ключ]=Планирование[[#This Row],[Ключ]]) * (Хронология[Подытог за операцию]=MAX(IF(Хронология[Ключ]=Планирование[[#This Row],[Ключ]], Хронология[Подытог за операцию]))), 0)),
    Y34+AC34
), Планирование[[#This Row],[Начало (факт)]]+Планирование[[#This Row],[Сутки (факт)]])</f>
        <v>46155.999999999956</v>
      </c>
      <c r="AA34" s="233">
        <f ca="1">IF(AND(Планирование[[#This Row],[Начало (факт)]]=Y35, Планирование[[#This Row],[Забой, м (факт)]]=0), 0, Планирование[[#This Row],[Сутки (факт)]]*24)</f>
        <v>9.74</v>
      </c>
      <c r="AB34" s="233">
        <f ca="1">Планирование[[#This Row],[Часы (факт)]]-Планирование[[#This Row],[НПВ за операцию, часы]]-Планирование[[#This Row],[ПНВ, часы]]</f>
        <v>9.74</v>
      </c>
      <c r="AC34" s="5">
        <f t="array" aca="1" ref="AC34" ca="1">IFERROR(
  IF(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окончены",
    MAX(IF(Хронология[Ключ]=Планирование[[#This Row],[Ключ]], Хронология[Подытог за операцию])),
    IF(
      Планирование[[#This Row],[Событие]]="Мех. бурение",
      (MAX(Хронология[Окончание]) - Планирование[[#This Row],[Начало (факт)]]) +
      (Планирование[[#This Row],[Забой, м (план)]] - Планирование[[#This Row],[Забой, м (факт)]]) /
      ((Планирование[[#This Row],[Забой, м (план)]] - V33)/Планирование[[#This Row],[Сутки (план)]]),
      IF(
        AND(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продолжаются",
          Планирование[[#This Row],[Начало (факт)]]&gt;0
        ),
        (TODAY()-Планирование[[#This Row],[Начало (факт)]]),
        IF(
          AND(Планирование[[#This Row],[Начало (факт)]]=0,
            Планирование[[#This Row],[Начало (план)]] &gt; MAX(Хронология[Начало])),
          Планирование[[#This Row],[Сутки (план)]],
          IF(
            AND((TODAY()-Планирование[[#This Row],[Начало (план)]])&gt;1,
              ISERR(MATCH(Планирование[[#This Row],[Ключ]], Хронология[Ключ], 0))),
            0,
            Планирование[[#This Row],[Сутки (план)]]
          )
        )
      )
    )
  ),
  Планирование[[#This Row],[Сутки (план)]]
)</f>
        <v>0.40583333333333332</v>
      </c>
      <c r="AD34" s="5">
        <f ca="1">Планирование[[#This Row],[Сутки (факт)]]</f>
        <v>0.40583333333333332</v>
      </c>
      <c r="AE34" s="566">
        <f t="array" ref="AE34">MAX(IF(Хронология[Ключ]=Планирование[[#This Row],[Ключ]], Хронология[Забой, м]))</f>
        <v>0</v>
      </c>
      <c r="AF34" s="233">
        <f ca="1">IFERROR(
    SUMIFS(
        Хронология[Часы],
        Хронология[Результат], "НПВ: нет в ГГД",
        Хронология[Начало], "&gt;=" &amp; Планирование[[#This Row],[Начало (факт)]],
        Хронология[Окончание], "&lt;=" &amp; Планирование[[#This Row],[Конец (факт, прогноз)]]
    ),
    0
)</f>
        <v>0</v>
      </c>
      <c r="AG34" s="233">
        <f ca="1">IFERROR(
    SUMIFS(
        Хронология[Часы],
        Хронология[Результат], "НПВ: нет в ГГД",
        Хронология[Начало], "&gt;=" &amp; Планирование[[#This Row],[Конец (факт, прогноз)]],
        Хронология[Окончание], "&lt;=" &amp; Y35
    ),
    0
)</f>
        <v>0</v>
      </c>
      <c r="AH34" s="550">
        <f ca="1">ROUND(IF(Планирование[[#This Row],[Часы (факт)]]-Планирование[[#This Row],[НПВ за операцию, часы]]-Планирование[[#This Row],[Часы (план)]] &lt;0, 0, Планирование[[#This Row],[Часы (факт)]]-Планирование[[#This Row],[НПВ за операцию, часы]]-Планирование[[#This Row],[Часы (план)]]), 2)</f>
        <v>0</v>
      </c>
      <c r="AI34" s="567" t="s">
        <v>1060</v>
      </c>
      <c r="AJ34" s="568">
        <f ca="1">Планирование[[#This Row],[Конец (план)]]-Планирование[[#This Row],[Конец (факт, прогноз)]]</f>
        <v>-5.3478999999570078</v>
      </c>
    </row>
    <row r="35" spans="1:39" ht="30" customHeight="1">
      <c r="A35" s="508" t="s">
        <v>1082</v>
      </c>
      <c r="B35" s="577">
        <v>431</v>
      </c>
      <c r="C35" s="543"/>
      <c r="D35" s="543" t="s">
        <v>59</v>
      </c>
      <c r="E35" s="543" t="s">
        <v>58</v>
      </c>
      <c r="F35" s="543"/>
      <c r="G35" s="543" t="s">
        <v>169</v>
      </c>
      <c r="H35" s="543" t="s">
        <v>170</v>
      </c>
      <c r="I35" s="543" t="s">
        <v>167</v>
      </c>
      <c r="J35" s="543" t="s">
        <v>4</v>
      </c>
      <c r="K35" s="543">
        <v>2</v>
      </c>
      <c r="L35" s="9" t="str">
        <f>IF(Планирование[[#This Row],[Контекст простоя]]="Штатно", Планирование[[#This Row],[Скважина]] &amp; " " &amp; "ОК–" &amp;Планирование[[#This Row],[ОК]] &amp; " "  &amp; Планирование[[#This Row],[Этап]] &amp; " " &amp; Планирование[[#This Row],[Вид работ]] &amp; " " &amp; Планирование[[#This Row],[Объект работ]] &amp; " " &amp; Планирование[[#This Row],[Рейс]], Планирование[[#This Row],[Скважина]] &amp; " " &amp; "ОК–" &amp;Планирование[[#This Row],[ОК]] &amp; " " &amp; Планирование[[#This Row],[Этап]] &amp; " " &amp; Планирование[[#This Row],[Контекст простоя]] &amp; " " &amp; Планирование[[#This Row],[Событие]] &amp; " " &amp; Планирование[[#This Row],[Вид работ]] &amp; " " &amp; Планирование[[#This Row],[Объект работ]] &amp; " " &amp; Планирование[[#This Row],[Рейс]])</f>
        <v>431 ОК– ПР Глушение Скважина 2</v>
      </c>
      <c r="M35" s="551">
        <f>IF(Планирование[[#This Row],[Скважина]]&lt;&gt;B34, Планирование[[#This Row],[Начало (факт)]], N34)</f>
        <v>46150.652099999999</v>
      </c>
      <c r="N35" s="4">
        <f>Планирование[[#This Row],[Начало (цель)]]+Планирование[[#This Row],[Сутки (цель)]]</f>
        <v>46150.972099999999</v>
      </c>
      <c r="O35" s="233">
        <v>7.68</v>
      </c>
      <c r="Q35" s="5">
        <f>Планирование[[#This Row],[Часы (цель)]]/24</f>
        <v>0.32</v>
      </c>
      <c r="R35" s="5">
        <f>R34+Планирование[[#This Row],[Сутки (цель)]]</f>
        <v>4.5821000000000005</v>
      </c>
      <c r="S35" s="551">
        <f>Планирование[[#This Row],[Начало (цель)]]</f>
        <v>46150.652099999999</v>
      </c>
      <c r="T35" s="4">
        <f>Планирование[[#This Row],[Начало (план)]]+Планирование[[#This Row],[Сутки (план)]]</f>
        <v>46150.972099999999</v>
      </c>
      <c r="U35" s="233">
        <f>Планирование[[#This Row],[Часы (цель)]]</f>
        <v>7.68</v>
      </c>
      <c r="V35">
        <f>Планирование[[#This Row],[Забой, м (цель)]]</f>
        <v>0</v>
      </c>
      <c r="W35" s="5">
        <f>Планирование[[#This Row],[Часы (план)]]/24</f>
        <v>0.32</v>
      </c>
      <c r="X35" s="550">
        <f>Планирование[[#This Row],[Сутки (план)]]+X34</f>
        <v>4.8475166666666674</v>
      </c>
      <c r="Y35" s="551">
        <f t="array" aca="1" ref="Y35" ca="1">IFERROR(
    INDEX(Хронология[Начало], MATCH(1, (Хронология[Ключ]=Планирование[[#This Row],[Ключ]]) * (Хронология[Подытог за операцию]=MIN(IF(Хронология[Ключ]=Планирование[[#This Row],[Ключ]], Хронология[Подытог за операцию]))), 0)),
    Z34
)</f>
        <v>46155.999999999956</v>
      </c>
      <c r="Z35" s="4">
        <f t="array" aca="1" ref="Z35" ca="1">MAX(IFERROR(
    INDEX(Хронология[Окончание], MATCH(1, (Хронология[Ключ]=Планирование[[#This Row],[Ключ]]) * (Хронология[Подытог за операцию]=MAX(IF(Хронология[Ключ]=Планирование[[#This Row],[Ключ]], Хронология[Подытог за операцию]))), 0)),
    Y35+AC35
), Планирование[[#This Row],[Начало (факт)]]+Планирование[[#This Row],[Сутки (факт)]])</f>
        <v>46156.319999999956</v>
      </c>
      <c r="AA35" s="233">
        <f ca="1">IF(AND(Планирование[[#This Row],[Начало (факт)]]=Y36, Планирование[[#This Row],[Забой, м (факт)]]=0), 0, Планирование[[#This Row],[Сутки (факт)]]*24)</f>
        <v>7.68</v>
      </c>
      <c r="AB35" s="233">
        <f ca="1">Планирование[[#This Row],[Часы (факт)]]-Планирование[[#This Row],[НПВ за операцию, часы]]-Планирование[[#This Row],[ПНВ, часы]]</f>
        <v>7.68</v>
      </c>
      <c r="AC35" s="5">
        <f t="array" aca="1" ref="AC35" ca="1">IFERROR(
  IF(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окончены",
    MAX(IF(Хронология[Ключ]=Планирование[[#This Row],[Ключ]], Хронология[Подытог за операцию])),
    IF(
      Планирование[[#This Row],[Событие]]="Мех. бурение",
      (MAX(Хронология[Окончание]) - Планирование[[#This Row],[Начало (факт)]]) +
      (Планирование[[#This Row],[Забой, м (план)]] - Планирование[[#This Row],[Забой, м (факт)]]) /
      ((Планирование[[#This Row],[Забой, м (план)]] - V34)/Планирование[[#This Row],[Сутки (план)]]),
      IF(
        AND(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продолжаются",
          Планирование[[#This Row],[Начало (факт)]]&gt;0
        ),
        (TODAY()-Планирование[[#This Row],[Начало (факт)]]),
        IF(
          AND(Планирование[[#This Row],[Начало (факт)]]=0,
            Планирование[[#This Row],[Начало (план)]] &gt; MAX(Хронология[Начало])),
          Планирование[[#This Row],[Сутки (план)]],
          IF(
            AND((TODAY()-Планирование[[#This Row],[Начало (план)]])&gt;1,
              ISERR(MATCH(Планирование[[#This Row],[Ключ]], Хронология[Ключ], 0))),
            0,
            Планирование[[#This Row],[Сутки (план)]]
          )
        )
      )
    )
  ),
  Планирование[[#This Row],[Сутки (план)]]
)</f>
        <v>0.32</v>
      </c>
      <c r="AD35" s="5">
        <f ca="1">Планирование[[#This Row],[Сутки (факт)]]</f>
        <v>0.32</v>
      </c>
      <c r="AE35" s="566">
        <f t="array" ref="AE35">MAX(IF(Хронология[Ключ]=Планирование[[#This Row],[Ключ]], Хронология[Забой, м]))</f>
        <v>0</v>
      </c>
      <c r="AF35" s="233">
        <f ca="1">IFERROR(
    SUMIFS(
        Хронология[Часы],
        Хронология[Результат], "НПВ: нет в ГГД",
        Хронология[Начало], "&gt;=" &amp; Планирование[[#This Row],[Начало (факт)]],
        Хронология[Окончание], "&lt;=" &amp; Планирование[[#This Row],[Конец (факт, прогноз)]]
    ),
    0
)</f>
        <v>0</v>
      </c>
      <c r="AG35" s="233">
        <f ca="1">IFERROR(
    SUMIFS(
        Хронология[Часы],
        Хронология[Результат], "НПВ: нет в ГГД",
        Хронология[Начало], "&gt;=" &amp; Планирование[[#This Row],[Конец (факт, прогноз)]],
        Хронология[Окончание], "&lt;=" &amp; Y36
    ),
    0
)</f>
        <v>0</v>
      </c>
      <c r="AH35" s="550">
        <f ca="1">ROUND(IF(Планирование[[#This Row],[Часы (факт)]]-Планирование[[#This Row],[НПВ за операцию, часы]]-Планирование[[#This Row],[Часы (план)]] &lt;0, 0, Планирование[[#This Row],[Часы (факт)]]-Планирование[[#This Row],[НПВ за операцию, часы]]-Планирование[[#This Row],[Часы (план)]]), 2)</f>
        <v>0</v>
      </c>
      <c r="AI35" s="567" t="s">
        <v>1060</v>
      </c>
      <c r="AJ35" s="568">
        <f ca="1">Планирование[[#This Row],[Конец (план)]]-Планирование[[#This Row],[Конец (факт, прогноз)]]</f>
        <v>-5.3478999999570078</v>
      </c>
    </row>
    <row r="36" spans="1:39" ht="30" customHeight="1">
      <c r="A36" s="508" t="s">
        <v>1083</v>
      </c>
      <c r="B36" s="577">
        <v>431</v>
      </c>
      <c r="C36" s="543"/>
      <c r="D36" s="543" t="s">
        <v>59</v>
      </c>
      <c r="E36" s="543" t="s">
        <v>58</v>
      </c>
      <c r="F36" s="543"/>
      <c r="G36" s="543" t="s">
        <v>69</v>
      </c>
      <c r="H36" s="543" t="s">
        <v>70</v>
      </c>
      <c r="I36" s="543" t="s">
        <v>61</v>
      </c>
      <c r="J36" s="543" t="s">
        <v>62</v>
      </c>
      <c r="K36" s="543"/>
      <c r="L36" s="9" t="str">
        <f>IF(Планирование[[#This Row],[Контекст простоя]]="Штатно", Планирование[[#This Row],[Скважина]] &amp; " " &amp; "ОК–" &amp;Планирование[[#This Row],[ОК]] &amp; " "  &amp; Планирование[[#This Row],[Этап]] &amp; " " &amp; Планирование[[#This Row],[Вид работ]] &amp; " " &amp; Планирование[[#This Row],[Объект работ]] &amp; " " &amp; Планирование[[#This Row],[Рейс]], Планирование[[#This Row],[Скважина]] &amp; " " &amp; "ОК–" &amp;Планирование[[#This Row],[ОК]] &amp; " " &amp; Планирование[[#This Row],[Этап]] &amp; " " &amp; Планирование[[#This Row],[Контекст простоя]] &amp; " " &amp; Планирование[[#This Row],[Событие]] &amp; " " &amp; Планирование[[#This Row],[Вид работ]] &amp; " " &amp; Планирование[[#This Row],[Объект работ]] &amp; " " &amp; Планирование[[#This Row],[Рейс]])</f>
        <v xml:space="preserve">431 ОК– ПР Монтаж УПА </v>
      </c>
      <c r="M36" s="551">
        <f>IF(Планирование[[#This Row],[Скважина]]&lt;&gt;B35, Планирование[[#This Row],[Начало (факт)]], N35)</f>
        <v>46150.972099999999</v>
      </c>
      <c r="N36" s="4">
        <f>Планирование[[#This Row],[Начало (цель)]]+Планирование[[#This Row],[Сутки (цель)]]</f>
        <v>46151.326300000001</v>
      </c>
      <c r="O36" s="233">
        <v>8.5007999999999999</v>
      </c>
      <c r="Q36" s="5">
        <f>Планирование[[#This Row],[Часы (цель)]]/24</f>
        <v>0.35420000000000001</v>
      </c>
      <c r="R36" s="5">
        <f>R35+Планирование[[#This Row],[Сутки (цель)]]</f>
        <v>4.9363000000000001</v>
      </c>
      <c r="S36" s="551">
        <f>Планирование[[#This Row],[Начало (цель)]]</f>
        <v>46150.972099999999</v>
      </c>
      <c r="T36" s="4">
        <f>Планирование[[#This Row],[Начало (план)]]+Планирование[[#This Row],[Сутки (план)]]</f>
        <v>46151.326300000001</v>
      </c>
      <c r="U36" s="233">
        <f>Планирование[[#This Row],[Часы (цель)]]</f>
        <v>8.5007999999999999</v>
      </c>
      <c r="V36">
        <f>Планирование[[#This Row],[Забой, м (цель)]]</f>
        <v>0</v>
      </c>
      <c r="W36" s="5">
        <f>Планирование[[#This Row],[Часы (план)]]/24</f>
        <v>0.35420000000000001</v>
      </c>
      <c r="X36" s="550">
        <f>Планирование[[#This Row],[Сутки (план)]]+X35</f>
        <v>5.201716666666667</v>
      </c>
      <c r="Y36" s="551">
        <f t="array" ref="Y36">IFERROR(
    INDEX(Хронология[Начало], MATCH(1, (Хронология[Ключ]=Планирование[[#This Row],[Ключ]]) * (Хронология[Подытог за операцию]=MIN(IF(Хронология[Ключ]=Планирование[[#This Row],[Ключ]], Хронология[Подытог за операцию]))), 0)),
    Z35
)</f>
        <v>46156.499999999956</v>
      </c>
      <c r="Z36" s="4">
        <f t="array" aca="1" ref="Z36" ca="1">MAX(IFERROR(
    INDEX(Хронология[Окончание], MATCH(1, (Хронология[Ключ]=Планирование[[#This Row],[Ключ]]) * (Хронология[Подытог за операцию]=MAX(IF(Хронология[Ключ]=Планирование[[#This Row],[Ключ]], Хронология[Подытог за операцию]))), 0)),
    Y36+AC36
), Планирование[[#This Row],[Начало (факт)]]+Планирование[[#This Row],[Сутки (факт)]])</f>
        <v>46156.854199999958</v>
      </c>
      <c r="AA36" s="233">
        <f ca="1">IF(AND(Планирование[[#This Row],[Начало (факт)]]=Y37, Планирование[[#This Row],[Забой, м (факт)]]=0), 0, Планирование[[#This Row],[Сутки (факт)]]*24)</f>
        <v>8.5007999999999999</v>
      </c>
      <c r="AB36" s="233">
        <f ca="1">Планирование[[#This Row],[Часы (факт)]]-Планирование[[#This Row],[НПВ за операцию, часы]]-Планирование[[#This Row],[ПНВ, часы]]</f>
        <v>8.5007999999999999</v>
      </c>
      <c r="AC36" s="5">
        <f t="array" aca="1" ref="AC36" ca="1">IFERROR(
  IF(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окончены",
    MAX(IF(Хронология[Ключ]=Планирование[[#This Row],[Ключ]], Хронология[Подытог за операцию])),
    IF(
      Планирование[[#This Row],[Событие]]="Мех. бурение",
      (MAX(Хронология[Окончание]) - Планирование[[#This Row],[Начало (факт)]]) +
      (Планирование[[#This Row],[Забой, м (план)]] - Планирование[[#This Row],[Забой, м (факт)]]) /
      ((Планирование[[#This Row],[Забой, м (план)]] - V35)/Планирование[[#This Row],[Сутки (план)]]),
      IF(
        AND(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продолжаются",
          Планирование[[#This Row],[Начало (факт)]]&gt;0
        ),
        (TODAY()-Планирование[[#This Row],[Начало (факт)]]),
        IF(
          AND(Планирование[[#This Row],[Начало (факт)]]=0,
            Планирование[[#This Row],[Начало (план)]] &gt; MAX(Хронология[Начало])),
          Планирование[[#This Row],[Сутки (план)]],
          IF(
            AND((TODAY()-Планирование[[#This Row],[Начало (план)]])&gt;1,
              ISERR(MATCH(Планирование[[#This Row],[Ключ]], Хронология[Ключ], 0))),
            0,
            Планирование[[#This Row],[Сутки (план)]]
          )
        )
      )
    )
  ),
  Планирование[[#This Row],[Сутки (план)]]
)</f>
        <v>0.35420000000000001</v>
      </c>
      <c r="AD36" s="5">
        <f ca="1">Планирование[[#This Row],[Сутки (факт)]]</f>
        <v>0.35420000000000001</v>
      </c>
      <c r="AE36" s="566">
        <f t="array" ref="AE36">MAX(IF(Хронология[Ключ]=Планирование[[#This Row],[Ключ]], Хронология[Забой, м]))</f>
        <v>0</v>
      </c>
      <c r="AF36" s="233">
        <f ca="1">IFERROR(
    SUMIFS(
        Хронология[Часы],
        Хронология[Результат], "НПВ: нет в ГГД",
        Хронология[Начало], "&gt;=" &amp; Планирование[[#This Row],[Начало (факт)]],
        Хронология[Окончание], "&lt;=" &amp; Планирование[[#This Row],[Конец (факт, прогноз)]]
    ),
    0
)</f>
        <v>0</v>
      </c>
      <c r="AG36" s="233">
        <f ca="1">IFERROR(
    SUMIFS(
        Хронология[Часы],
        Хронология[Результат], "НПВ: нет в ГГД",
        Хронология[Начало], "&gt;=" &amp; Планирование[[#This Row],[Конец (факт, прогноз)]],
        Хронология[Окончание], "&lt;=" &amp; Y37
    ),
    0
)</f>
        <v>0</v>
      </c>
      <c r="AH36" s="550">
        <f ca="1">ROUND(IF(Планирование[[#This Row],[Часы (факт)]]-Планирование[[#This Row],[НПВ за операцию, часы]]-Планирование[[#This Row],[Часы (план)]] &lt;0, 0, Планирование[[#This Row],[Часы (факт)]]-Планирование[[#This Row],[НПВ за операцию, часы]]-Планирование[[#This Row],[Часы (план)]]), 2)</f>
        <v>0</v>
      </c>
      <c r="AI36" s="567" t="s">
        <v>1060</v>
      </c>
      <c r="AJ36" s="568">
        <f ca="1">Планирование[[#This Row],[Конец (план)]]-Планирование[[#This Row],[Конец (факт, прогноз)]]</f>
        <v>-5.5278999999572989</v>
      </c>
    </row>
    <row r="37" spans="1:39" ht="30" customHeight="1">
      <c r="A37" s="508" t="s">
        <v>1084</v>
      </c>
      <c r="B37" s="577">
        <v>431</v>
      </c>
      <c r="C37" s="543"/>
      <c r="D37" s="543" t="s">
        <v>59</v>
      </c>
      <c r="E37" s="543" t="s">
        <v>58</v>
      </c>
      <c r="F37" s="543"/>
      <c r="G37" s="543" t="s">
        <v>169</v>
      </c>
      <c r="H37" s="543" t="s">
        <v>188</v>
      </c>
      <c r="I37" s="543" t="s">
        <v>167</v>
      </c>
      <c r="J37" s="543" t="s">
        <v>4</v>
      </c>
      <c r="K37" s="543"/>
      <c r="L37" s="9" t="str">
        <f>IF(Планирование[[#This Row],[Контекст простоя]]="Штатно", Планирование[[#This Row],[Скважина]] &amp; " " &amp; "ОК–" &amp;Планирование[[#This Row],[ОК]] &amp; " "  &amp; Планирование[[#This Row],[Этап]] &amp; " " &amp; Планирование[[#This Row],[Вид работ]] &amp; " " &amp; Планирование[[#This Row],[Объект работ]] &amp; " " &amp; Планирование[[#This Row],[Рейс]], Планирование[[#This Row],[Скважина]] &amp; " " &amp; "ОК–" &amp;Планирование[[#This Row],[ОК]] &amp; " " &amp; Планирование[[#This Row],[Этап]] &amp; " " &amp; Планирование[[#This Row],[Контекст простоя]] &amp; " " &amp; Планирование[[#This Row],[Событие]] &amp; " " &amp; Планирование[[#This Row],[Вид работ]] &amp; " " &amp; Планирование[[#This Row],[Объект работ]] &amp; " " &amp; Планирование[[#This Row],[Рейс]])</f>
        <v xml:space="preserve">431 ОК– ПР Промывка Скважина </v>
      </c>
      <c r="M37" s="551">
        <f>IF(Планирование[[#This Row],[Скважина]]&lt;&gt;B36, Планирование[[#This Row],[Начало (факт)]], N36)</f>
        <v>46151.326300000001</v>
      </c>
      <c r="N37" s="4">
        <f>Планирование[[#This Row],[Начало (цель)]]+Планирование[[#This Row],[Сутки (цель)]]</f>
        <v>46151.417966666668</v>
      </c>
      <c r="O37" s="233">
        <v>2.2000000000000002</v>
      </c>
      <c r="Q37" s="5">
        <f>Планирование[[#This Row],[Часы (цель)]]/24</f>
        <v>9.1666666666666674E-2</v>
      </c>
      <c r="R37" s="5">
        <f>R36+Планирование[[#This Row],[Сутки (цель)]]</f>
        <v>5.0279666666666669</v>
      </c>
      <c r="S37" s="551">
        <f>Планирование[[#This Row],[Начало (цель)]]</f>
        <v>46151.326300000001</v>
      </c>
      <c r="T37" s="4">
        <f>Планирование[[#This Row],[Начало (план)]]+Планирование[[#This Row],[Сутки (план)]]</f>
        <v>46151.417966666668</v>
      </c>
      <c r="U37" s="233">
        <f>Планирование[[#This Row],[Часы (цель)]]</f>
        <v>2.2000000000000002</v>
      </c>
      <c r="V37">
        <f>Планирование[[#This Row],[Забой, м (цель)]]</f>
        <v>0</v>
      </c>
      <c r="W37" s="5">
        <f>Планирование[[#This Row],[Часы (план)]]/24</f>
        <v>9.1666666666666674E-2</v>
      </c>
      <c r="X37" s="550">
        <f>Планирование[[#This Row],[Сутки (план)]]+X36</f>
        <v>5.2933833333333338</v>
      </c>
      <c r="Y37" s="551">
        <f t="array" aca="1" ref="Y37" ca="1">IFERROR(
    INDEX(Хронология[Начало], MATCH(1, (Хронология[Ключ]=Планирование[[#This Row],[Ключ]]) * (Хронология[Подытог за операцию]=MIN(IF(Хронология[Ключ]=Планирование[[#This Row],[Ключ]], Хронология[Подытог за операцию]))), 0)),
    Z36
)</f>
        <v>46156.854199999958</v>
      </c>
      <c r="Z37" s="4">
        <f t="array" aca="1" ref="Z37" ca="1">MAX(IFERROR(
    INDEX(Хронология[Окончание], MATCH(1, (Хронология[Ключ]=Планирование[[#This Row],[Ключ]]) * (Хронология[Подытог за операцию]=MAX(IF(Хронология[Ключ]=Планирование[[#This Row],[Ключ]], Хронология[Подытог за операцию]))), 0)),
    Y37+AC37
), Планирование[[#This Row],[Начало (факт)]]+Планирование[[#This Row],[Сутки (факт)]])</f>
        <v>46156.945866666625</v>
      </c>
      <c r="AA37" s="233">
        <f ca="1">IF(AND(Планирование[[#This Row],[Начало (факт)]]=Y38, Планирование[[#This Row],[Забой, м (факт)]]=0), 0, Планирование[[#This Row],[Сутки (факт)]]*24)</f>
        <v>2.2000000000000002</v>
      </c>
      <c r="AB37" s="233">
        <f ca="1">Планирование[[#This Row],[Часы (факт)]]-Планирование[[#This Row],[НПВ за операцию, часы]]-Планирование[[#This Row],[ПНВ, часы]]</f>
        <v>2.2000000000000002</v>
      </c>
      <c r="AC37" s="5">
        <f t="array" aca="1" ref="AC37" ca="1">IFERROR(
  IF(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окончены",
    MAX(IF(Хронология[Ключ]=Планирование[[#This Row],[Ключ]], Хронология[Подытог за операцию])),
    IF(
      Планирование[[#This Row],[Событие]]="Мех. бурение",
      (MAX(Хронология[Окончание]) - Планирование[[#This Row],[Начало (факт)]]) +
      (Планирование[[#This Row],[Забой, м (план)]] - Планирование[[#This Row],[Забой, м (факт)]]) /
      ((Планирование[[#This Row],[Забой, м (план)]] - V36)/Планирование[[#This Row],[Сутки (план)]]),
      IF(
        AND(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продолжаются",
          Планирование[[#This Row],[Начало (факт)]]&gt;0
        ),
        (TODAY()-Планирование[[#This Row],[Начало (факт)]]),
        IF(
          AND(Планирование[[#This Row],[Начало (факт)]]=0,
            Планирование[[#This Row],[Начало (план)]] &gt; MAX(Хронология[Начало])),
          Планирование[[#This Row],[Сутки (план)]],
          IF(
            AND((TODAY()-Планирование[[#This Row],[Начало (план)]])&gt;1,
              ISERR(MATCH(Планирование[[#This Row],[Ключ]], Хронология[Ключ], 0))),
            0,
            Планирование[[#This Row],[Сутки (план)]]
          )
        )
      )
    )
  ),
  Планирование[[#This Row],[Сутки (план)]]
)</f>
        <v>9.1666666666666674E-2</v>
      </c>
      <c r="AD37" s="5">
        <f ca="1">Планирование[[#This Row],[Сутки (факт)]]</f>
        <v>9.1666666666666674E-2</v>
      </c>
      <c r="AE37" s="566">
        <f t="array" ref="AE37">MAX(IF(Хронология[Ключ]=Планирование[[#This Row],[Ключ]], Хронология[Забой, м]))</f>
        <v>0</v>
      </c>
      <c r="AF37" s="233">
        <f ca="1">IFERROR(
    SUMIFS(
        Хронология[Часы],
        Хронология[Результат], "НПВ: нет в ГГД",
        Хронология[Начало], "&gt;=" &amp; Планирование[[#This Row],[Начало (факт)]],
        Хронология[Окончание], "&lt;=" &amp; Планирование[[#This Row],[Конец (факт, прогноз)]]
    ),
    0
)</f>
        <v>0</v>
      </c>
      <c r="AG37" s="233">
        <f ca="1">IFERROR(
    SUMIFS(
        Хронология[Часы],
        Хронология[Результат], "НПВ: нет в ГГД",
        Хронология[Начало], "&gt;=" &amp; Планирование[[#This Row],[Конец (факт, прогноз)]],
        Хронология[Окончание], "&lt;=" &amp; Y38
    ),
    0
)</f>
        <v>0</v>
      </c>
      <c r="AH37" s="550">
        <f ca="1">ROUND(IF(Планирование[[#This Row],[Часы (факт)]]-Планирование[[#This Row],[НПВ за операцию, часы]]-Планирование[[#This Row],[Часы (план)]] &lt;0, 0, Планирование[[#This Row],[Часы (факт)]]-Планирование[[#This Row],[НПВ за операцию, часы]]-Планирование[[#This Row],[Часы (план)]]), 2)</f>
        <v>0</v>
      </c>
      <c r="AI37" s="567" t="s">
        <v>1060</v>
      </c>
      <c r="AJ37" s="568">
        <f ca="1">Планирование[[#This Row],[Конец (план)]]-Планирование[[#This Row],[Конец (факт, прогноз)]]</f>
        <v>-5.5278999999572989</v>
      </c>
    </row>
    <row r="38" spans="1:39" ht="30" customHeight="1">
      <c r="A38" s="509" t="s">
        <v>503</v>
      </c>
      <c r="B38" s="577">
        <v>431</v>
      </c>
      <c r="C38" s="543"/>
      <c r="D38" s="543" t="s">
        <v>51</v>
      </c>
      <c r="E38" s="543" t="s">
        <v>58</v>
      </c>
      <c r="F38" s="543"/>
      <c r="G38" s="543" t="s">
        <v>69</v>
      </c>
      <c r="H38" s="543" t="s">
        <v>108</v>
      </c>
      <c r="I38" s="543" t="s">
        <v>86</v>
      </c>
      <c r="J38" s="543" t="s">
        <v>118</v>
      </c>
      <c r="K38" s="543"/>
      <c r="L38" s="9" t="str">
        <f>IF(Планирование[[#This Row],[Контекст простоя]]="Штатно", Планирование[[#This Row],[Скважина]] &amp; " " &amp; "ОК–" &amp;Планирование[[#This Row],[ОК]] &amp; " "  &amp; Планирование[[#This Row],[Этап]] &amp; " " &amp; Планирование[[#This Row],[Вид работ]] &amp; " " &amp; Планирование[[#This Row],[Объект работ]] &amp; " " &amp; Планирование[[#This Row],[Рейс]], Планирование[[#This Row],[Скважина]] &amp; " " &amp; "ОК–" &amp;Планирование[[#This Row],[ОК]] &amp; " " &amp; Планирование[[#This Row],[Этап]] &amp; " " &amp; Планирование[[#This Row],[Контекст простоя]] &amp; " " &amp; Планирование[[#This Row],[Событие]] &amp; " " &amp; Планирование[[#This Row],[Вид работ]] &amp; " " &amp; Планирование[[#This Row],[Объект работ]] &amp; " " &amp; Планирование[[#This Row],[Рейс]])</f>
        <v xml:space="preserve">431 ОК– КРС Демонтаж Фонтанная арматура </v>
      </c>
      <c r="M38" s="551">
        <f>IF(Планирование[[#This Row],[Скважина]]&lt;&gt;B37, Планирование[[#This Row],[Начало (факт)]], N37)</f>
        <v>46151.417966666668</v>
      </c>
      <c r="N38" s="4">
        <f>Планирование[[#This Row],[Начало (цель)]]+Планирование[[#This Row],[Сутки (цель)]]</f>
        <v>46151.513466666671</v>
      </c>
      <c r="O38" s="233">
        <v>2.2919999999999998</v>
      </c>
      <c r="Q38" s="5">
        <f>Планирование[[#This Row],[Часы (цель)]]/24</f>
        <v>9.5499999999999988E-2</v>
      </c>
      <c r="R38" s="5">
        <f>R37+Планирование[[#This Row],[Сутки (цель)]]</f>
        <v>5.1234666666666673</v>
      </c>
      <c r="S38" s="551">
        <f>Планирование[[#This Row],[Начало (цель)]]</f>
        <v>46151.417966666668</v>
      </c>
      <c r="T38" s="4">
        <f>Планирование[[#This Row],[Начало (план)]]+Планирование[[#This Row],[Сутки (план)]]</f>
        <v>46151.513466666671</v>
      </c>
      <c r="U38" s="233">
        <f>Планирование[[#This Row],[Часы (цель)]]</f>
        <v>2.2919999999999998</v>
      </c>
      <c r="V38">
        <f>Планирование[[#This Row],[Забой, м (цель)]]</f>
        <v>0</v>
      </c>
      <c r="W38" s="5">
        <f>Планирование[[#This Row],[Часы (план)]]/24</f>
        <v>9.5499999999999988E-2</v>
      </c>
      <c r="X38" s="550">
        <f>Планирование[[#This Row],[Сутки (план)]]+X37</f>
        <v>5.3888833333333341</v>
      </c>
      <c r="Y38" s="551">
        <f t="array" aca="1" ref="Y38" ca="1">IFERROR(
    INDEX(Хронология[Начало], MATCH(1, (Хронология[Ключ]=Планирование[[#This Row],[Ключ]]) * (Хронология[Подытог за операцию]=MIN(IF(Хронология[Ключ]=Планирование[[#This Row],[Ключ]], Хронология[Подытог за операцию]))), 0)),
    Z37
)</f>
        <v>46156.945866666625</v>
      </c>
      <c r="Z38" s="4">
        <f t="array" aca="1" ref="Z38" ca="1">MAX(IFERROR(
    INDEX(Хронология[Окончание], MATCH(1, (Хронология[Ключ]=Планирование[[#This Row],[Ключ]]) * (Хронология[Подытог за операцию]=MAX(IF(Хронология[Ключ]=Планирование[[#This Row],[Ключ]], Хронология[Подытог за операцию]))), 0)),
    Y38+AC38
), Планирование[[#This Row],[Начало (факт)]]+Планирование[[#This Row],[Сутки (факт)]])</f>
        <v>46157.041366666628</v>
      </c>
      <c r="AA38" s="233">
        <f ca="1">IF(AND(Планирование[[#This Row],[Начало (факт)]]=Y39, Планирование[[#This Row],[Забой, м (факт)]]=0), 0, Планирование[[#This Row],[Сутки (факт)]]*24)</f>
        <v>2.2919999999999998</v>
      </c>
      <c r="AB38" s="233">
        <f ca="1">Планирование[[#This Row],[Часы (факт)]]-Планирование[[#This Row],[НПВ за операцию, часы]]-Планирование[[#This Row],[ПНВ, часы]]</f>
        <v>2.2919999999999998</v>
      </c>
      <c r="AC38" s="5">
        <f t="array" aca="1" ref="AC38" ca="1">IFERROR(
  IF(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окончены",
    MAX(IF(Хронология[Ключ]=Планирование[[#This Row],[Ключ]], Хронология[Подытог за операцию])),
    IF(
      Планирование[[#This Row],[Событие]]="Мех. бурение",
      (MAX(Хронология[Окончание]) - Планирование[[#This Row],[Начало (факт)]]) +
      (Планирование[[#This Row],[Забой, м (план)]] - Планирование[[#This Row],[Забой, м (факт)]]) /
      ((Планирование[[#This Row],[Забой, м (план)]] - V37)/Планирование[[#This Row],[Сутки (план)]]),
      IF(
        AND(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продолжаются",
          Планирование[[#This Row],[Начало (факт)]]&gt;0
        ),
        (TODAY()-Планирование[[#This Row],[Начало (факт)]]),
        IF(
          AND(Планирование[[#This Row],[Начало (факт)]]=0,
            Планирование[[#This Row],[Начало (план)]] &gt; MAX(Хронология[Начало])),
          Планирование[[#This Row],[Сутки (план)]],
          IF(
            AND((TODAY()-Планирование[[#This Row],[Начало (план)]])&gt;1,
              ISERR(MATCH(Планирование[[#This Row],[Ключ]], Хронология[Ключ], 0))),
            0,
            Планирование[[#This Row],[Сутки (план)]]
          )
        )
      )
    )
  ),
  Планирование[[#This Row],[Сутки (план)]]
)</f>
        <v>9.5499999999999988E-2</v>
      </c>
      <c r="AD38" s="5">
        <f ca="1">Планирование[[#This Row],[Сутки (факт)]]</f>
        <v>9.5499999999999988E-2</v>
      </c>
      <c r="AE38" s="566">
        <f t="array" ref="AE38">MAX(IF(Хронология[Ключ]=Планирование[[#This Row],[Ключ]], Хронология[Забой, м]))</f>
        <v>0</v>
      </c>
      <c r="AF38" s="233">
        <f ca="1">IFERROR(
    SUMIFS(
        Хронология[Часы],
        Хронология[Результат], "НПВ: нет в ГГД",
        Хронология[Начало], "&gt;=" &amp; Планирование[[#This Row],[Начало (факт)]],
        Хронология[Окончание], "&lt;=" &amp; Планирование[[#This Row],[Конец (факт, прогноз)]]
    ),
    0
)</f>
        <v>0</v>
      </c>
      <c r="AG38" s="233">
        <f ca="1">IFERROR(
    SUMIFS(
        Хронология[Часы],
        Хронология[Результат], "НПВ: нет в ГГД",
        Хронология[Начало], "&gt;=" &amp; Планирование[[#This Row],[Конец (факт, прогноз)]],
        Хронология[Окончание], "&lt;=" &amp; Y39
    ),
    0
)</f>
        <v>0</v>
      </c>
      <c r="AH38" s="550">
        <f ca="1">ROUND(IF(Планирование[[#This Row],[Часы (факт)]]-Планирование[[#This Row],[НПВ за операцию, часы]]-Планирование[[#This Row],[Часы (план)]] &lt;0, 0, Планирование[[#This Row],[Часы (факт)]]-Планирование[[#This Row],[НПВ за операцию, часы]]-Планирование[[#This Row],[Часы (план)]]), 2)</f>
        <v>0</v>
      </c>
      <c r="AI38" s="567" t="s">
        <v>1060</v>
      </c>
      <c r="AJ38" s="568">
        <f ca="1">Планирование[[#This Row],[Конец (план)]]-Планирование[[#This Row],[Конец (факт, прогноз)]]</f>
        <v>-5.5278999999572989</v>
      </c>
    </row>
    <row r="39" spans="1:39" ht="30" customHeight="1">
      <c r="A39" s="508" t="s">
        <v>1085</v>
      </c>
      <c r="B39" s="577">
        <v>431</v>
      </c>
      <c r="C39" s="543"/>
      <c r="D39" s="543" t="s">
        <v>51</v>
      </c>
      <c r="E39" s="543" t="s">
        <v>58</v>
      </c>
      <c r="F39" s="543"/>
      <c r="G39" s="543" t="s">
        <v>69</v>
      </c>
      <c r="H39" s="543" t="s">
        <v>70</v>
      </c>
      <c r="I39" s="543" t="s">
        <v>86</v>
      </c>
      <c r="J39" s="543" t="s">
        <v>161</v>
      </c>
      <c r="K39" s="543"/>
      <c r="L39" s="9" t="str">
        <f>IF(Планирование[[#This Row],[Контекст простоя]]="Штатно", Планирование[[#This Row],[Скважина]] &amp; " " &amp; "ОК–" &amp;Планирование[[#This Row],[ОК]] &amp; " "  &amp; Планирование[[#This Row],[Этап]] &amp; " " &amp; Планирование[[#This Row],[Вид работ]] &amp; " " &amp; Планирование[[#This Row],[Объект работ]] &amp; " " &amp; Планирование[[#This Row],[Рейс]], Планирование[[#This Row],[Скважина]] &amp; " " &amp; "ОК–" &amp;Планирование[[#This Row],[ОК]] &amp; " " &amp; Планирование[[#This Row],[Этап]] &amp; " " &amp; Планирование[[#This Row],[Контекст простоя]] &amp; " " &amp; Планирование[[#This Row],[Событие]] &amp; " " &amp; Планирование[[#This Row],[Вид работ]] &amp; " " &amp; Планирование[[#This Row],[Объект работ]] &amp; " " &amp; Планирование[[#This Row],[Рейс]])</f>
        <v xml:space="preserve">431 ОК– КРС Монтаж ПВО </v>
      </c>
      <c r="M39" s="551">
        <f>IF(Планирование[[#This Row],[Скважина]]&lt;&gt;B38, Планирование[[#This Row],[Начало (факт)]], N38)</f>
        <v>46151.513466666671</v>
      </c>
      <c r="N39" s="4">
        <f>Планирование[[#This Row],[Начало (цель)]]+Планирование[[#This Row],[Сутки (цель)]]</f>
        <v>46151.569733333337</v>
      </c>
      <c r="O39" s="233">
        <v>1.3504</v>
      </c>
      <c r="Q39" s="5">
        <f>Планирование[[#This Row],[Часы (цель)]]/24</f>
        <v>5.6266666666666666E-2</v>
      </c>
      <c r="R39" s="5">
        <f>R38+Планирование[[#This Row],[Сутки (цель)]]</f>
        <v>5.179733333333334</v>
      </c>
      <c r="S39" s="551">
        <f>Планирование[[#This Row],[Начало (цель)]]</f>
        <v>46151.513466666671</v>
      </c>
      <c r="T39" s="4">
        <f>Планирование[[#This Row],[Начало (план)]]+Планирование[[#This Row],[Сутки (план)]]</f>
        <v>46151.569733333337</v>
      </c>
      <c r="U39" s="233">
        <f>Планирование[[#This Row],[Часы (цель)]]</f>
        <v>1.3504</v>
      </c>
      <c r="V39">
        <f>Планирование[[#This Row],[Забой, м (цель)]]</f>
        <v>0</v>
      </c>
      <c r="W39" s="5">
        <f>Планирование[[#This Row],[Часы (план)]]/24</f>
        <v>5.6266666666666666E-2</v>
      </c>
      <c r="X39" s="550">
        <f>Планирование[[#This Row],[Сутки (план)]]+X38</f>
        <v>5.4451500000000008</v>
      </c>
      <c r="Y39" s="551">
        <f t="array" aca="1" ref="Y39" ca="1">IFERROR(
    INDEX(Хронология[Начало], MATCH(1, (Хронология[Ключ]=Планирование[[#This Row],[Ключ]]) * (Хронология[Подытог за операцию]=MIN(IF(Хронология[Ключ]=Планирование[[#This Row],[Ключ]], Хронология[Подытог за операцию]))), 0)),
    Z38
)</f>
        <v>46157.041366666628</v>
      </c>
      <c r="Z39" s="4">
        <f t="array" aca="1" ref="Z39" ca="1">MAX(IFERROR(
    INDEX(Хронология[Окончание], MATCH(1, (Хронология[Ключ]=Планирование[[#This Row],[Ключ]]) * (Хронология[Подытог за операцию]=MAX(IF(Хронология[Ключ]=Планирование[[#This Row],[Ключ]], Хронология[Подытог за операцию]))), 0)),
    Y39+AC39
), Планирование[[#This Row],[Начало (факт)]]+Планирование[[#This Row],[Сутки (факт)]])</f>
        <v>46157.097633333295</v>
      </c>
      <c r="AA39" s="233">
        <f ca="1">IF(AND(Планирование[[#This Row],[Начало (факт)]]=Y40, Планирование[[#This Row],[Забой, м (факт)]]=0), 0, Планирование[[#This Row],[Сутки (факт)]]*24)</f>
        <v>1.3504</v>
      </c>
      <c r="AB39" s="233">
        <f ca="1">Планирование[[#This Row],[Часы (факт)]]-Планирование[[#This Row],[НПВ за операцию, часы]]-Планирование[[#This Row],[ПНВ, часы]]</f>
        <v>1.3504</v>
      </c>
      <c r="AC39" s="5">
        <f t="array" aca="1" ref="AC39" ca="1">IFERROR(
  IF(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окончены",
    MAX(IF(Хронология[Ключ]=Планирование[[#This Row],[Ключ]], Хронология[Подытог за операцию])),
    IF(
      Планирование[[#This Row],[Событие]]="Мех. бурение",
      (MAX(Хронология[Окончание]) - Планирование[[#This Row],[Начало (факт)]]) +
      (Планирование[[#This Row],[Забой, м (план)]] - Планирование[[#This Row],[Забой, м (факт)]]) /
      ((Планирование[[#This Row],[Забой, м (план)]] - V38)/Планирование[[#This Row],[Сутки (план)]]),
      IF(
        AND(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продолжаются",
          Планирование[[#This Row],[Начало (факт)]]&gt;0
        ),
        (TODAY()-Планирование[[#This Row],[Начало (факт)]]),
        IF(
          AND(Планирование[[#This Row],[Начало (факт)]]=0,
            Планирование[[#This Row],[Начало (план)]] &gt; MAX(Хронология[Начало])),
          Планирование[[#This Row],[Сутки (план)]],
          IF(
            AND((TODAY()-Планирование[[#This Row],[Начало (план)]])&gt;1,
              ISERR(MATCH(Планирование[[#This Row],[Ключ]], Хронология[Ключ], 0))),
            0,
            Планирование[[#This Row],[Сутки (план)]]
          )
        )
      )
    )
  ),
  Планирование[[#This Row],[Сутки (план)]]
)</f>
        <v>5.6266666666666666E-2</v>
      </c>
      <c r="AD39" s="5">
        <f ca="1">Планирование[[#This Row],[Сутки (факт)]]</f>
        <v>5.6266666666666666E-2</v>
      </c>
      <c r="AE39" s="566">
        <f t="array" ref="AE39">MAX(IF(Хронология[Ключ]=Планирование[[#This Row],[Ключ]], Хронология[Забой, м]))</f>
        <v>0</v>
      </c>
      <c r="AF39" s="233">
        <f ca="1">IFERROR(
    SUMIFS(
        Хронология[Часы],
        Хронология[Результат], "НПВ: нет в ГГД",
        Хронология[Начало], "&gt;=" &amp; Планирование[[#This Row],[Начало (факт)]],
        Хронология[Окончание], "&lt;=" &amp; Планирование[[#This Row],[Конец (факт, прогноз)]]
    ),
    0
)</f>
        <v>0</v>
      </c>
      <c r="AG39" s="233">
        <f ca="1">IFERROR(
    SUMIFS(
        Хронология[Часы],
        Хронология[Результат], "НПВ: нет в ГГД",
        Хронология[Начало], "&gt;=" &amp; Планирование[[#This Row],[Конец (факт, прогноз)]],
        Хронология[Окончание], "&lt;=" &amp; Y40
    ),
    0
)</f>
        <v>0</v>
      </c>
      <c r="AH39" s="550">
        <f ca="1">ROUND(IF(Планирование[[#This Row],[Часы (факт)]]-Планирование[[#This Row],[НПВ за операцию, часы]]-Планирование[[#This Row],[Часы (план)]] &lt;0, 0, Планирование[[#This Row],[Часы (факт)]]-Планирование[[#This Row],[НПВ за операцию, часы]]-Планирование[[#This Row],[Часы (план)]]), 2)</f>
        <v>0</v>
      </c>
      <c r="AI39" s="567" t="s">
        <v>1060</v>
      </c>
      <c r="AJ39" s="568">
        <f ca="1">Планирование[[#This Row],[Конец (план)]]-Планирование[[#This Row],[Конец (факт, прогноз)]]</f>
        <v>-5.5278999999572989</v>
      </c>
    </row>
    <row r="40" spans="1:39" ht="30" customHeight="1">
      <c r="A40" s="508" t="s">
        <v>507</v>
      </c>
      <c r="B40" s="577">
        <v>431</v>
      </c>
      <c r="C40" s="543"/>
      <c r="D40" s="543" t="s">
        <v>51</v>
      </c>
      <c r="E40" s="543" t="s">
        <v>58</v>
      </c>
      <c r="F40" s="543"/>
      <c r="G40" s="543" t="s">
        <v>90</v>
      </c>
      <c r="H40" s="543" t="s">
        <v>106</v>
      </c>
      <c r="I40" s="543" t="s">
        <v>92</v>
      </c>
      <c r="J40" s="543" t="s">
        <v>184</v>
      </c>
      <c r="K40" s="543"/>
      <c r="L40" s="9" t="str">
        <f>IF(Планирование[[#This Row],[Контекст простоя]]="Штатно", Планирование[[#This Row],[Скважина]] &amp; " " &amp; "ОК–" &amp;Планирование[[#This Row],[ОК]] &amp; " "  &amp; Планирование[[#This Row],[Этап]] &amp; " " &amp; Планирование[[#This Row],[Вид работ]] &amp; " " &amp; Планирование[[#This Row],[Объект работ]] &amp; " " &amp; Планирование[[#This Row],[Рейс]], Планирование[[#This Row],[Скважина]] &amp; " " &amp; "ОК–" &amp;Планирование[[#This Row],[ОК]] &amp; " " &amp; Планирование[[#This Row],[Этап]] &amp; " " &amp; Планирование[[#This Row],[Контекст простоя]] &amp; " " &amp; Планирование[[#This Row],[Событие]] &amp; " " &amp; Планирование[[#This Row],[Вид работ]] &amp; " " &amp; Планирование[[#This Row],[Объект работ]] &amp; " " &amp; Планирование[[#This Row],[Рейс]])</f>
        <v xml:space="preserve">431 ОК– КРС Спуск Пакер </v>
      </c>
      <c r="M40" s="551">
        <f>IF(Планирование[[#This Row],[Скважина]]&lt;&gt;B39, Планирование[[#This Row],[Начало (факт)]], N39)</f>
        <v>46151.569733333337</v>
      </c>
      <c r="N40" s="4">
        <f>Планирование[[#This Row],[Начало (цель)]]+Планирование[[#This Row],[Сутки (цель)]]</f>
        <v>46151.610333333338</v>
      </c>
      <c r="O40" s="233">
        <v>0.97440000000000004</v>
      </c>
      <c r="Q40" s="5">
        <f>Планирование[[#This Row],[Часы (цель)]]/24</f>
        <v>4.0600000000000004E-2</v>
      </c>
      <c r="R40" s="5">
        <f>R39+Планирование[[#This Row],[Сутки (цель)]]</f>
        <v>5.2203333333333344</v>
      </c>
      <c r="S40" s="551">
        <f>Планирование[[#This Row],[Начало (цель)]]</f>
        <v>46151.569733333337</v>
      </c>
      <c r="T40" s="4">
        <f>Планирование[[#This Row],[Начало (план)]]+Планирование[[#This Row],[Сутки (план)]]</f>
        <v>46151.610333333338</v>
      </c>
      <c r="U40" s="233">
        <f>Планирование[[#This Row],[Часы (цель)]]</f>
        <v>0.97440000000000004</v>
      </c>
      <c r="V40">
        <f>Планирование[[#This Row],[Забой, м (цель)]]</f>
        <v>0</v>
      </c>
      <c r="W40" s="5">
        <f>Планирование[[#This Row],[Часы (план)]]/24</f>
        <v>4.0600000000000004E-2</v>
      </c>
      <c r="X40" s="550">
        <f>Планирование[[#This Row],[Сутки (план)]]+X39</f>
        <v>5.4857500000000012</v>
      </c>
      <c r="Y40" s="551">
        <f t="array" ref="Y40">IFERROR(
    INDEX(Хронология[Начало], MATCH(1, (Хронология[Ключ]=Планирование[[#This Row],[Ключ]]) * (Хронология[Подытог за операцию]=MIN(IF(Хронология[Ключ]=Планирование[[#This Row],[Ключ]], Хронология[Подытог за операцию]))), 0)),
    Z39
)</f>
        <v>46157.291666666613</v>
      </c>
      <c r="Z40" s="4">
        <f t="array" aca="1" ref="Z40" ca="1">MAX(IFERROR(
    INDEX(Хронология[Окончание], MATCH(1, (Хронология[Ключ]=Планирование[[#This Row],[Ключ]]) * (Хронология[Подытог за операцию]=MAX(IF(Хронология[Ключ]=Планирование[[#This Row],[Ключ]], Хронология[Подытог за операцию]))), 0)),
    Y40+AC40
), Планирование[[#This Row],[Начало (факт)]]+Планирование[[#This Row],[Сутки (факт)]])</f>
        <v>46157.499999999949</v>
      </c>
      <c r="AA40" s="233">
        <f ca="1">IF(AND(Планирование[[#This Row],[Начало (факт)]]=Y41, Планирование[[#This Row],[Забой, м (факт)]]=0), 0, Планирование[[#This Row],[Сутки (факт)]]*24)</f>
        <v>5</v>
      </c>
      <c r="AB40" s="233">
        <f ca="1">Планирование[[#This Row],[Часы (факт)]]-Планирование[[#This Row],[НПВ за операцию, часы]]-Планирование[[#This Row],[ПНВ, часы]]</f>
        <v>0.96999999999999975</v>
      </c>
      <c r="AC40" s="5">
        <f t="array" aca="1" ref="AC40" ca="1">IFERROR(
  IF(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окончены",
    MAX(IF(Хронология[Ключ]=Планирование[[#This Row],[Ключ]], Хронология[Подытог за операцию])),
    IF(
      Планирование[[#This Row],[Событие]]="Мех. бурение",
      (MAX(Хронология[Окончание]) - Планирование[[#This Row],[Начало (факт)]]) +
      (Планирование[[#This Row],[Забой, м (план)]] - Планирование[[#This Row],[Забой, м (факт)]]) /
      ((Планирование[[#This Row],[Забой, м (план)]] - V39)/Планирование[[#This Row],[Сутки (план)]]),
      IF(
        AND(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продолжаются",
          Планирование[[#This Row],[Начало (факт)]]&gt;0
        ),
        (TODAY()-Планирование[[#This Row],[Начало (факт)]]),
        IF(
          AND(Планирование[[#This Row],[Начало (факт)]]=0,
            Планирование[[#This Row],[Начало (план)]] &gt; MAX(Хронология[Начало])),
          Планирование[[#This Row],[Сутки (план)]],
          IF(
            AND((TODAY()-Планирование[[#This Row],[Начало (план)]])&gt;1,
              ISERR(MATCH(Планирование[[#This Row],[Ключ]], Хронология[Ключ], 0))),
            0,
            Планирование[[#This Row],[Сутки (план)]]
          )
        )
      )
    )
  ),
  Планирование[[#This Row],[Сутки (план)]]
)</f>
        <v>0.20833333333333334</v>
      </c>
      <c r="AD40" s="5">
        <f ca="1">Планирование[[#This Row],[Сутки (факт)]]</f>
        <v>0.20833333333333334</v>
      </c>
      <c r="AE40" s="566">
        <f t="array" ref="AE40">MAX(IF(Хронология[Ключ]=Планирование[[#This Row],[Ключ]], Хронология[Забой, м]))</f>
        <v>0</v>
      </c>
      <c r="AF40" s="233">
        <f ca="1">IFERROR(
    SUMIFS(
        Хронология[Часы],
        Хронология[Результат], "НПВ: нет в ГГД",
        Хронология[Начало], "&gt;=" &amp; Планирование[[#This Row],[Начало (факт)]],
        Хронология[Окончание], "&lt;=" &amp; Планирование[[#This Row],[Конец (факт, прогноз)]]
    ),
    0
)</f>
        <v>0</v>
      </c>
      <c r="AG40" s="233">
        <f ca="1">IFERROR(
    SUMIFS(
        Хронология[Часы],
        Хронология[Результат], "НПВ: нет в ГГД",
        Хронология[Начало], "&gt;=" &amp; Планирование[[#This Row],[Конец (факт, прогноз)]],
        Хронология[Окончание], "&lt;=" &amp; Y41
    ),
    0
)</f>
        <v>0</v>
      </c>
      <c r="AH40" s="550">
        <f ca="1">ROUND(IF(Планирование[[#This Row],[Часы (факт)]]-Планирование[[#This Row],[НПВ за операцию, часы]]-Планирование[[#This Row],[Часы (план)]] &lt;0, 0, Планирование[[#This Row],[Часы (факт)]]-Планирование[[#This Row],[НПВ за операцию, часы]]-Планирование[[#This Row],[Часы (план)]]), 2)</f>
        <v>4.03</v>
      </c>
      <c r="AI40" s="567" t="s">
        <v>1060</v>
      </c>
      <c r="AJ40" s="568">
        <f ca="1">Планирование[[#This Row],[Конец (план)]]-Планирование[[#This Row],[Конец (факт, прогноз)]]</f>
        <v>-5.889666666611447</v>
      </c>
    </row>
    <row r="41" spans="1:39" ht="30" customHeight="1">
      <c r="A41" s="508" t="s">
        <v>508</v>
      </c>
      <c r="B41" s="577">
        <v>431</v>
      </c>
      <c r="C41" s="543"/>
      <c r="D41" s="543" t="s">
        <v>51</v>
      </c>
      <c r="E41" s="543" t="s">
        <v>58</v>
      </c>
      <c r="F41" s="543"/>
      <c r="G41" s="543" t="s">
        <v>111</v>
      </c>
      <c r="H41" s="543" t="s">
        <v>150</v>
      </c>
      <c r="I41" s="543" t="s">
        <v>86</v>
      </c>
      <c r="J41" s="543" t="s">
        <v>144</v>
      </c>
      <c r="K41" s="543"/>
      <c r="L41" s="9" t="str">
        <f>IF(Планирование[[#This Row],[Контекст простоя]]="Штатно", Планирование[[#This Row],[Скважина]] &amp; " " &amp; "ОК–" &amp;Планирование[[#This Row],[ОК]] &amp; " "  &amp; Планирование[[#This Row],[Этап]] &amp; " " &amp; Планирование[[#This Row],[Вид работ]] &amp; " " &amp; Планирование[[#This Row],[Объект работ]] &amp; " " &amp; Планирование[[#This Row],[Рейс]], Планирование[[#This Row],[Скважина]] &amp; " " &amp; "ОК–" &amp;Планирование[[#This Row],[ОК]] &amp; " " &amp; Планирование[[#This Row],[Этап]] &amp; " " &amp; Планирование[[#This Row],[Контекст простоя]] &amp; " " &amp; Планирование[[#This Row],[Событие]] &amp; " " &amp; Планирование[[#This Row],[Вид работ]] &amp; " " &amp; Планирование[[#This Row],[Объект работ]] &amp; " " &amp; Планирование[[#This Row],[Рейс]])</f>
        <v xml:space="preserve">431 ОК– КРС Опрессовка Запорная арматура </v>
      </c>
      <c r="M41" s="551">
        <f>IF(Планирование[[#This Row],[Скважина]]&lt;&gt;B40, Планирование[[#This Row],[Начало (факт)]], N40)</f>
        <v>46151.610333333338</v>
      </c>
      <c r="N41" s="4">
        <f>Планирование[[#This Row],[Начало (цель)]]+Планирование[[#This Row],[Сутки (цель)]]</f>
        <v>46151.645333333341</v>
      </c>
      <c r="O41" s="233">
        <v>0.84</v>
      </c>
      <c r="Q41" s="5">
        <f>Планирование[[#This Row],[Часы (цель)]]/24</f>
        <v>3.4999999999999996E-2</v>
      </c>
      <c r="R41" s="5">
        <f>R40+Планирование[[#This Row],[Сутки (цель)]]</f>
        <v>5.2553333333333345</v>
      </c>
      <c r="S41" s="551">
        <f>Планирование[[#This Row],[Начало (цель)]]</f>
        <v>46151.610333333338</v>
      </c>
      <c r="T41" s="4">
        <f>Планирование[[#This Row],[Начало (план)]]+Планирование[[#This Row],[Сутки (план)]]</f>
        <v>46151.645333333341</v>
      </c>
      <c r="U41" s="233">
        <f>Планирование[[#This Row],[Часы (цель)]]</f>
        <v>0.84</v>
      </c>
      <c r="V41">
        <f>Планирование[[#This Row],[Забой, м (цель)]]</f>
        <v>0</v>
      </c>
      <c r="W41" s="5">
        <f>Планирование[[#This Row],[Часы (план)]]/24</f>
        <v>3.4999999999999996E-2</v>
      </c>
      <c r="X41" s="550">
        <f>Планирование[[#This Row],[Сутки (план)]]+X40</f>
        <v>5.5207500000000014</v>
      </c>
      <c r="Y41" s="551">
        <f t="array" ref="Y41">IFERROR(
    INDEX(Хронология[Начало], MATCH(1, (Хронология[Ключ]=Планирование[[#This Row],[Ключ]]) * (Хронология[Подытог за операцию]=MIN(IF(Хронология[Ключ]=Планирование[[#This Row],[Ключ]], Хронология[Подытог за операцию]))), 0)),
    Z40
)</f>
        <v>46158.666666666613</v>
      </c>
      <c r="Z41" s="4">
        <f t="array" aca="1" ref="Z41" ca="1">MAX(IFERROR(
    INDEX(Хронология[Окончание], MATCH(1, (Хронология[Ключ]=Планирование[[#This Row],[Ключ]]) * (Хронология[Подытог за операцию]=MAX(IF(Хронология[Ключ]=Планирование[[#This Row],[Ключ]], Хронология[Подытог за операцию]))), 0)),
    Y41+AC41
), Планирование[[#This Row],[Начало (факт)]]+Планирование[[#This Row],[Сутки (факт)]])</f>
        <v>46158.833333333278</v>
      </c>
      <c r="AA41" s="233">
        <f ca="1">IF(AND(Планирование[[#This Row],[Начало (факт)]]=Y42, Планирование[[#This Row],[Забой, м (факт)]]=0), 0, Планирование[[#This Row],[Сутки (факт)]]*24)</f>
        <v>0.83999999999999986</v>
      </c>
      <c r="AB41" s="233">
        <f ca="1">Планирование[[#This Row],[Часы (факт)]]-Планирование[[#This Row],[НПВ за операцию, часы]]-Планирование[[#This Row],[ПНВ, часы]]</f>
        <v>0.83999999999999986</v>
      </c>
      <c r="AC41" s="5">
        <f t="array" aca="1" ref="AC41" ca="1">IFERROR(
  IF(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окончены",
    MAX(IF(Хронология[Ключ]=Планирование[[#This Row],[Ключ]], Хронология[Подытог за операцию])),
    IF(
      Планирование[[#This Row],[Событие]]="Мех. бурение",
      (MAX(Хронология[Окончание]) - Планирование[[#This Row],[Начало (факт)]]) +
      (Планирование[[#This Row],[Забой, м (план)]] - Планирование[[#This Row],[Забой, м (факт)]]) /
      ((Планирование[[#This Row],[Забой, м (план)]] - V40)/Планирование[[#This Row],[Сутки (план)]]),
      IF(
        AND(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продолжаются",
          Планирование[[#This Row],[Начало (факт)]]&gt;0
        ),
        (TODAY()-Планирование[[#This Row],[Начало (факт)]]),
        IF(
          AND(Планирование[[#This Row],[Начало (факт)]]=0,
            Планирование[[#This Row],[Начало (план)]] &gt; MAX(Хронология[Начало])),
          Планирование[[#This Row],[Сутки (план)]],
          IF(
            AND((TODAY()-Планирование[[#This Row],[Начало (план)]])&gt;1,
              ISERR(MATCH(Планирование[[#This Row],[Ключ]], Хронология[Ключ], 0))),
            0,
            Планирование[[#This Row],[Сутки (план)]]
          )
        )
      )
    )
  ),
  Планирование[[#This Row],[Сутки (план)]]
)</f>
        <v>3.4999999999999996E-2</v>
      </c>
      <c r="AD41" s="5">
        <f ca="1">Планирование[[#This Row],[Сутки (факт)]]</f>
        <v>3.4999999999999996E-2</v>
      </c>
      <c r="AE41" s="566">
        <f t="array" ref="AE41">MAX(IF(Хронология[Ключ]=Планирование[[#This Row],[Ключ]], Хронология[Забой, м]))</f>
        <v>0</v>
      </c>
      <c r="AF41" s="233">
        <f ca="1">IFERROR(
    SUMIFS(
        Хронология[Часы],
        Хронология[Результат], "НПВ: нет в ГГД",
        Хронология[Начало], "&gt;=" &amp; Планирование[[#This Row],[Начало (факт)]],
        Хронология[Окончание], "&lt;=" &amp; Планирование[[#This Row],[Конец (факт, прогноз)]]
    ),
    0
)</f>
        <v>0</v>
      </c>
      <c r="AG41" s="233">
        <f ca="1">IFERROR(
    SUMIFS(
        Хронология[Часы],
        Хронология[Результат], "НПВ: нет в ГГД",
        Хронология[Начало], "&gt;=" &amp; Планирование[[#This Row],[Конец (факт, прогноз)]],
        Хронология[Окончание], "&lt;=" &amp; Y42
    ),
    0
)</f>
        <v>0</v>
      </c>
      <c r="AH41" s="550">
        <f ca="1">ROUND(IF(Планирование[[#This Row],[Часы (факт)]]-Планирование[[#This Row],[НПВ за операцию, часы]]-Планирование[[#This Row],[Часы (план)]] &lt;0, 0, Планирование[[#This Row],[Часы (факт)]]-Планирование[[#This Row],[НПВ за операцию, часы]]-Планирование[[#This Row],[Часы (план)]]), 2)</f>
        <v>0</v>
      </c>
      <c r="AI41" s="567" t="s">
        <v>1060</v>
      </c>
      <c r="AJ41" s="568">
        <f ca="1">Планирование[[#This Row],[Конец (план)]]-Планирование[[#This Row],[Конец (факт, прогноз)]]</f>
        <v>-7.1879999999364372</v>
      </c>
    </row>
    <row r="42" spans="1:39" ht="30" customHeight="1">
      <c r="A42" s="508" t="s">
        <v>509</v>
      </c>
      <c r="B42" s="577">
        <v>431</v>
      </c>
      <c r="C42" s="543"/>
      <c r="D42" s="543" t="s">
        <v>51</v>
      </c>
      <c r="E42" s="543" t="s">
        <v>58</v>
      </c>
      <c r="F42" s="543"/>
      <c r="G42" s="543" t="s">
        <v>142</v>
      </c>
      <c r="H42" s="543" t="s">
        <v>143</v>
      </c>
      <c r="I42" s="543" t="s">
        <v>86</v>
      </c>
      <c r="J42" s="543" t="s">
        <v>144</v>
      </c>
      <c r="K42" s="543"/>
      <c r="L42" s="9" t="str">
        <f>IF(Планирование[[#This Row],[Контекст простоя]]="Штатно", Планирование[[#This Row],[Скважина]] &amp; " " &amp; "ОК–" &amp;Планирование[[#This Row],[ОК]] &amp; " "  &amp; Планирование[[#This Row],[Этап]] &amp; " " &amp; Планирование[[#This Row],[Вид работ]] &amp; " " &amp; Планирование[[#This Row],[Объект работ]] &amp; " " &amp; Планирование[[#This Row],[Рейс]], Планирование[[#This Row],[Скважина]] &amp; " " &amp; "ОК–" &amp;Планирование[[#This Row],[ОК]] &amp; " " &amp; Планирование[[#This Row],[Этап]] &amp; " " &amp; Планирование[[#This Row],[Контекст простоя]] &amp; " " &amp; Планирование[[#This Row],[Событие]] &amp; " " &amp; Планирование[[#This Row],[Вид работ]] &amp; " " &amp; Планирование[[#This Row],[Объект работ]] &amp; " " &amp; Планирование[[#This Row],[Рейс]])</f>
        <v xml:space="preserve">431 ОК– КРС Замена Запорная арматура </v>
      </c>
      <c r="M42" s="551">
        <f>IF(Планирование[[#This Row],[Скважина]]&lt;&gt;B41, Планирование[[#This Row],[Начало (факт)]], N41)</f>
        <v>46151.645333333341</v>
      </c>
      <c r="N42" s="4">
        <f>Планирование[[#This Row],[Начало (цель)]]+Планирование[[#This Row],[Сутки (цель)]]</f>
        <v>46151.745666666677</v>
      </c>
      <c r="O42" s="233">
        <v>2.4079999999999999</v>
      </c>
      <c r="Q42" s="5">
        <f>Планирование[[#This Row],[Часы (цель)]]/24</f>
        <v>0.10033333333333333</v>
      </c>
      <c r="R42" s="5">
        <f>R41+Планирование[[#This Row],[Сутки (цель)]]</f>
        <v>5.3556666666666679</v>
      </c>
      <c r="S42" s="551">
        <f>Планирование[[#This Row],[Начало (цель)]]</f>
        <v>46151.645333333341</v>
      </c>
      <c r="T42" s="4">
        <f>Планирование[[#This Row],[Начало (план)]]+Планирование[[#This Row],[Сутки (план)]]</f>
        <v>46151.745666666677</v>
      </c>
      <c r="U42" s="233">
        <f>Планирование[[#This Row],[Часы (цель)]]</f>
        <v>2.4079999999999999</v>
      </c>
      <c r="V42">
        <f>Планирование[[#This Row],[Забой, м (цель)]]</f>
        <v>0</v>
      </c>
      <c r="W42" s="5">
        <f>Планирование[[#This Row],[Часы (план)]]/24</f>
        <v>0.10033333333333333</v>
      </c>
      <c r="X42" s="550">
        <f>Планирование[[#This Row],[Сутки (план)]]+X41</f>
        <v>5.6210833333333348</v>
      </c>
      <c r="Y42" s="551">
        <f t="array" aca="1" ref="Y42" ca="1">IFERROR(
    INDEX(Хронология[Начало], MATCH(1, (Хронология[Ключ]=Планирование[[#This Row],[Ключ]]) * (Хронология[Подытог за операцию]=MIN(IF(Хронология[Ключ]=Планирование[[#This Row],[Ключ]], Хронология[Подытог за операцию]))), 0)),
    Z41
)</f>
        <v>46158.833333333278</v>
      </c>
      <c r="Z42" s="4">
        <f t="array" aca="1" ref="Z42" ca="1">MAX(IFERROR(
    INDEX(Хронология[Окончание], MATCH(1, (Хронология[Ключ]=Планирование[[#This Row],[Ключ]]) * (Хронология[Подытог за операцию]=MAX(IF(Хронология[Ключ]=Планирование[[#This Row],[Ключ]], Хронология[Подытог за операцию]))), 0)),
    Y42+AC42
), Планирование[[#This Row],[Начало (факт)]]+Планирование[[#This Row],[Сутки (факт)]])</f>
        <v>46158.933666666613</v>
      </c>
      <c r="AA42" s="233">
        <f ca="1">IF(AND(Планирование[[#This Row],[Начало (факт)]]=Y43, Планирование[[#This Row],[Забой, м (факт)]]=0), 0, Планирование[[#This Row],[Сутки (факт)]]*24)</f>
        <v>2.4079999999999999</v>
      </c>
      <c r="AB42" s="233">
        <f ca="1">Планирование[[#This Row],[Часы (факт)]]-Планирование[[#This Row],[НПВ за операцию, часы]]-Планирование[[#This Row],[ПНВ, часы]]</f>
        <v>2.4079999999999999</v>
      </c>
      <c r="AC42" s="5">
        <f t="array" aca="1" ref="AC42" ca="1">IFERROR(
  IF(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окончены",
    MAX(IF(Хронология[Ключ]=Планирование[[#This Row],[Ключ]], Хронология[Подытог за операцию])),
    IF(
      Планирование[[#This Row],[Событие]]="Мех. бурение",
      (MAX(Хронология[Окончание]) - Планирование[[#This Row],[Начало (факт)]]) +
      (Планирование[[#This Row],[Забой, м (план)]] - Планирование[[#This Row],[Забой, м (факт)]]) /
      ((Планирование[[#This Row],[Забой, м (план)]] - V41)/Планирование[[#This Row],[Сутки (план)]]),
      IF(
        AND(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продолжаются",
          Планирование[[#This Row],[Начало (факт)]]&gt;0
        ),
        (TODAY()-Планирование[[#This Row],[Начало (факт)]]),
        IF(
          AND(Планирование[[#This Row],[Начало (факт)]]=0,
            Планирование[[#This Row],[Начало (план)]] &gt; MAX(Хронология[Начало])),
          Планирование[[#This Row],[Сутки (план)]],
          IF(
            AND((TODAY()-Планирование[[#This Row],[Начало (план)]])&gt;1,
              ISERR(MATCH(Планирование[[#This Row],[Ключ]], Хронология[Ключ], 0))),
            0,
            Планирование[[#This Row],[Сутки (план)]]
          )
        )
      )
    )
  ),
  Планирование[[#This Row],[Сутки (план)]]
)</f>
        <v>0.10033333333333333</v>
      </c>
      <c r="AD42" s="5">
        <f ca="1">Планирование[[#This Row],[Сутки (факт)]]</f>
        <v>0.10033333333333333</v>
      </c>
      <c r="AE42" s="566">
        <f t="array" ref="AE42">MAX(IF(Хронология[Ключ]=Планирование[[#This Row],[Ключ]], Хронология[Забой, м]))</f>
        <v>0</v>
      </c>
      <c r="AF42" s="233">
        <f ca="1">IFERROR(
    SUMIFS(
        Хронология[Часы],
        Хронология[Результат], "НПВ: нет в ГГД",
        Хронология[Начало], "&gt;=" &amp; Планирование[[#This Row],[Начало (факт)]],
        Хронология[Окончание], "&lt;=" &amp; Планирование[[#This Row],[Конец (факт, прогноз)]]
    ),
    0
)</f>
        <v>0</v>
      </c>
      <c r="AG42" s="233">
        <f ca="1">IFERROR(
    SUMIFS(
        Хронология[Часы],
        Хронология[Результат], "НПВ: нет в ГГД",
        Хронология[Начало], "&gt;=" &amp; Планирование[[#This Row],[Конец (факт, прогноз)]],
        Хронология[Окончание], "&lt;=" &amp; Y43
    ),
    0
)</f>
        <v>0</v>
      </c>
      <c r="AH42" s="550">
        <f ca="1">ROUND(IF(Планирование[[#This Row],[Часы (факт)]]-Планирование[[#This Row],[НПВ за операцию, часы]]-Планирование[[#This Row],[Часы (план)]] &lt;0, 0, Планирование[[#This Row],[Часы (факт)]]-Планирование[[#This Row],[НПВ за операцию, часы]]-Планирование[[#This Row],[Часы (план)]]), 2)</f>
        <v>0</v>
      </c>
      <c r="AI42" s="567" t="s">
        <v>1060</v>
      </c>
      <c r="AJ42" s="568">
        <f ca="1">Планирование[[#This Row],[Конец (план)]]-Планирование[[#This Row],[Конец (факт, прогноз)]]</f>
        <v>-7.1879999999364372</v>
      </c>
    </row>
    <row r="43" spans="1:39" ht="30" customHeight="1">
      <c r="A43" s="508" t="s">
        <v>1086</v>
      </c>
      <c r="B43" s="577">
        <v>431</v>
      </c>
      <c r="C43" s="543"/>
      <c r="D43" s="543" t="s">
        <v>51</v>
      </c>
      <c r="E43" s="543" t="s">
        <v>58</v>
      </c>
      <c r="F43" s="543"/>
      <c r="G43" s="543" t="s">
        <v>111</v>
      </c>
      <c r="H43" s="543" t="s">
        <v>150</v>
      </c>
      <c r="I43" s="543" t="s">
        <v>86</v>
      </c>
      <c r="J43" s="543" t="s">
        <v>144</v>
      </c>
      <c r="K43" s="543">
        <v>2</v>
      </c>
      <c r="L43" s="9" t="str">
        <f>IF(Планирование[[#This Row],[Контекст простоя]]="Штатно", Планирование[[#This Row],[Скважина]] &amp; " " &amp; "ОК–" &amp;Планирование[[#This Row],[ОК]] &amp; " "  &amp; Планирование[[#This Row],[Этап]] &amp; " " &amp; Планирование[[#This Row],[Вид работ]] &amp; " " &amp; Планирование[[#This Row],[Объект работ]] &amp; " " &amp; Планирование[[#This Row],[Рейс]], Планирование[[#This Row],[Скважина]] &amp; " " &amp; "ОК–" &amp;Планирование[[#This Row],[ОК]] &amp; " " &amp; Планирование[[#This Row],[Этап]] &amp; " " &amp; Планирование[[#This Row],[Контекст простоя]] &amp; " " &amp; Планирование[[#This Row],[Событие]] &amp; " " &amp; Планирование[[#This Row],[Вид работ]] &amp; " " &amp; Планирование[[#This Row],[Объект работ]] &amp; " " &amp; Планирование[[#This Row],[Рейс]])</f>
        <v>431 ОК– КРС Опрессовка Запорная арматура 2</v>
      </c>
      <c r="M43" s="551">
        <f>IF(Планирование[[#This Row],[Скважина]]&lt;&gt;B42, Планирование[[#This Row],[Начало (факт)]], N42)</f>
        <v>46151.745666666677</v>
      </c>
      <c r="N43" s="4">
        <f>Планирование[[#This Row],[Начало (цель)]]+Планирование[[#This Row],[Сутки (цель)]]</f>
        <v>46151.764900000009</v>
      </c>
      <c r="O43" s="233">
        <f>0.7616-O44</f>
        <v>0.46160000000000007</v>
      </c>
      <c r="Q43" s="5">
        <f>Планирование[[#This Row],[Часы (цель)]]/24</f>
        <v>1.9233333333333335E-2</v>
      </c>
      <c r="R43" s="5">
        <f>R42+Планирование[[#This Row],[Сутки (цель)]]</f>
        <v>5.3749000000000011</v>
      </c>
      <c r="S43" s="551">
        <f>Планирование[[#This Row],[Начало (цель)]]</f>
        <v>46151.745666666677</v>
      </c>
      <c r="T43" s="4">
        <f>Планирование[[#This Row],[Начало (план)]]+Планирование[[#This Row],[Сутки (план)]]</f>
        <v>46151.764900000009</v>
      </c>
      <c r="U43" s="233">
        <f>Планирование[[#This Row],[Часы (цель)]]</f>
        <v>0.46160000000000007</v>
      </c>
      <c r="V43">
        <f>Планирование[[#This Row],[Забой, м (цель)]]</f>
        <v>0</v>
      </c>
      <c r="W43" s="5">
        <f>Планирование[[#This Row],[Часы (план)]]/24</f>
        <v>1.9233333333333335E-2</v>
      </c>
      <c r="X43" s="550">
        <f>Планирование[[#This Row],[Сутки (план)]]+X42</f>
        <v>5.640316666666668</v>
      </c>
      <c r="Y43" s="551">
        <f t="array" aca="1" ref="Y43" ca="1">IFERROR(
    INDEX(Хронология[Начало], MATCH(1, (Хронология[Ключ]=Планирование[[#This Row],[Ключ]]) * (Хронология[Подытог за операцию]=MIN(IF(Хронология[Ключ]=Планирование[[#This Row],[Ключ]], Хронология[Подытог за операцию]))), 0)),
    Z42
)</f>
        <v>46158.933666666613</v>
      </c>
      <c r="Z43" s="4">
        <f t="array" aca="1" ref="Z43" ca="1">MAX(IFERROR(
    INDEX(Хронология[Окончание], MATCH(1, (Хронология[Ключ]=Планирование[[#This Row],[Ключ]]) * (Хронология[Подытог за операцию]=MAX(IF(Хронология[Ключ]=Планирование[[#This Row],[Ключ]], Хронология[Подытог за операцию]))), 0)),
    Y43+AC43
), Планирование[[#This Row],[Начало (факт)]]+Планирование[[#This Row],[Сутки (факт)]])</f>
        <v>46158.952899999946</v>
      </c>
      <c r="AA43" s="233">
        <f ca="1">IF(AND(Планирование[[#This Row],[Начало (факт)]]=Y44, Планирование[[#This Row],[Забой, м (факт)]]=0), 0, Планирование[[#This Row],[Сутки (факт)]]*24)</f>
        <v>0.46160000000000001</v>
      </c>
      <c r="AB43" s="233">
        <f ca="1">Планирование[[#This Row],[Часы (факт)]]-Планирование[[#This Row],[НПВ за операцию, часы]]-Планирование[[#This Row],[ПНВ, часы]]</f>
        <v>0.46160000000000001</v>
      </c>
      <c r="AC43" s="5">
        <f t="array" aca="1" ref="AC43" ca="1">IFERROR(
  IF(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окончены",
    MAX(IF(Хронология[Ключ]=Планирование[[#This Row],[Ключ]], Хронология[Подытог за операцию])),
    IF(
      Планирование[[#This Row],[Событие]]="Мех. бурение",
      (MAX(Хронология[Окончание]) - Планирование[[#This Row],[Начало (факт)]]) +
      (Планирование[[#This Row],[Забой, м (план)]] - Планирование[[#This Row],[Забой, м (факт)]]) /
      ((Планирование[[#This Row],[Забой, м (план)]] - V42)/Планирование[[#This Row],[Сутки (план)]]),
      IF(
        AND(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продолжаются",
          Планирование[[#This Row],[Начало (факт)]]&gt;0
        ),
        (TODAY()-Планирование[[#This Row],[Начало (факт)]]),
        IF(
          AND(Планирование[[#This Row],[Начало (факт)]]=0,
            Планирование[[#This Row],[Начало (план)]] &gt; MAX(Хронология[Начало])),
          Планирование[[#This Row],[Сутки (план)]],
          IF(
            AND((TODAY()-Планирование[[#This Row],[Начало (план)]])&gt;1,
              ISERR(MATCH(Планирование[[#This Row],[Ключ]], Хронология[Ключ], 0))),
            0,
            Планирование[[#This Row],[Сутки (план)]]
          )
        )
      )
    )
  ),
  Планирование[[#This Row],[Сутки (план)]]
)</f>
        <v>1.9233333333333335E-2</v>
      </c>
      <c r="AD43" s="5">
        <f ca="1">Планирование[[#This Row],[Сутки (факт)]]</f>
        <v>1.9233333333333335E-2</v>
      </c>
      <c r="AE43" s="566">
        <f t="array" ref="AE43">MAX(IF(Хронология[Ключ]=Планирование[[#This Row],[Ключ]], Хронология[Забой, м]))</f>
        <v>0</v>
      </c>
      <c r="AF43" s="233">
        <f ca="1">IFERROR(
    SUMIFS(
        Хронология[Часы],
        Хронология[Результат], "НПВ: нет в ГГД",
        Хронология[Начало], "&gt;=" &amp; Планирование[[#This Row],[Начало (факт)]],
        Хронология[Окончание], "&lt;=" &amp; Планирование[[#This Row],[Конец (факт, прогноз)]]
    ),
    0
)</f>
        <v>0</v>
      </c>
      <c r="AG43" s="233">
        <f ca="1">IFERROR(
    SUMIFS(
        Хронология[Часы],
        Хронология[Результат], "НПВ: нет в ГГД",
        Хронология[Начало], "&gt;=" &amp; Планирование[[#This Row],[Конец (факт, прогноз)]],
        Хронология[Окончание], "&lt;=" &amp; Y44
    ),
    0
)</f>
        <v>0</v>
      </c>
      <c r="AH43" s="550">
        <f ca="1">ROUND(IF(Планирование[[#This Row],[Часы (факт)]]-Планирование[[#This Row],[НПВ за операцию, часы]]-Планирование[[#This Row],[Часы (план)]] &lt;0, 0, Планирование[[#This Row],[Часы (факт)]]-Планирование[[#This Row],[НПВ за операцию, часы]]-Планирование[[#This Row],[Часы (план)]]), 2)</f>
        <v>0</v>
      </c>
      <c r="AI43" s="567" t="s">
        <v>1060</v>
      </c>
      <c r="AJ43" s="568">
        <f ca="1">Планирование[[#This Row],[Конец (план)]]-Планирование[[#This Row],[Конец (факт, прогноз)]]</f>
        <v>-7.1879999999364372</v>
      </c>
    </row>
    <row r="44" spans="1:39" ht="30" customHeight="1">
      <c r="A44" s="508" t="s">
        <v>1087</v>
      </c>
      <c r="B44" s="577">
        <v>431</v>
      </c>
      <c r="C44" s="543"/>
      <c r="D44" s="543" t="s">
        <v>51</v>
      </c>
      <c r="E44" s="543" t="s">
        <v>58</v>
      </c>
      <c r="F44" s="543"/>
      <c r="G44" s="543" t="s">
        <v>95</v>
      </c>
      <c r="H44" s="543" t="s">
        <v>85</v>
      </c>
      <c r="I44" s="543" t="s">
        <v>86</v>
      </c>
      <c r="J44" s="543" t="s">
        <v>87</v>
      </c>
      <c r="K44" s="543"/>
      <c r="L44" s="9" t="str">
        <f>IF(Планирование[[#This Row],[Контекст простоя]]="Штатно", Планирование[[#This Row],[Скважина]] &amp; " " &amp; "ОК–" &amp;Планирование[[#This Row],[ОК]] &amp; " "  &amp; Планирование[[#This Row],[Этап]] &amp; " " &amp; Планирование[[#This Row],[Вид работ]] &amp; " " &amp; Планирование[[#This Row],[Объект работ]] &amp; " " &amp; Планирование[[#This Row],[Рейс]], Планирование[[#This Row],[Скважина]] &amp; " " &amp; "ОК–" &amp;Планирование[[#This Row],[ОК]] &amp; " " &amp; Планирование[[#This Row],[Этап]] &amp; " " &amp; Планирование[[#This Row],[Контекст простоя]] &amp; " " &amp; Планирование[[#This Row],[Событие]] &amp; " " &amp; Планирование[[#This Row],[Вид работ]] &amp; " " &amp; Планирование[[#This Row],[Объект работ]] &amp; " " &amp; Планирование[[#This Row],[Рейс]])</f>
        <v xml:space="preserve">431 ОК– КРС Срыв Планшайба </v>
      </c>
      <c r="M44" s="551">
        <f>IF(Планирование[[#This Row],[Скважина]]&lt;&gt;B43, Планирование[[#This Row],[Начало (факт)]], N43)</f>
        <v>46151.764900000009</v>
      </c>
      <c r="N44" s="4">
        <f>Планирование[[#This Row],[Начало (цель)]]+Планирование[[#This Row],[Сутки (цель)]]</f>
        <v>46151.777400000006</v>
      </c>
      <c r="O44" s="233">
        <v>0.3</v>
      </c>
      <c r="Q44" s="5">
        <f>Планирование[[#This Row],[Часы (цель)]]/24</f>
        <v>1.2499999999999999E-2</v>
      </c>
      <c r="R44" s="5">
        <f>R43+Планирование[[#This Row],[Сутки (цель)]]</f>
        <v>5.3874000000000013</v>
      </c>
      <c r="S44" s="551">
        <f>Планирование[[#This Row],[Начало (цель)]]</f>
        <v>46151.764900000009</v>
      </c>
      <c r="T44" s="4">
        <f>Планирование[[#This Row],[Начало (план)]]+Планирование[[#This Row],[Сутки (план)]]</f>
        <v>46151.777400000006</v>
      </c>
      <c r="U44" s="233">
        <f>Планирование[[#This Row],[Часы (цель)]]</f>
        <v>0.3</v>
      </c>
      <c r="V44">
        <f>Планирование[[#This Row],[Забой, м (цель)]]</f>
        <v>0</v>
      </c>
      <c r="W44" s="5">
        <f>Планирование[[#This Row],[Часы (план)]]/24</f>
        <v>1.2499999999999999E-2</v>
      </c>
      <c r="X44" s="550">
        <f>Планирование[[#This Row],[Сутки (план)]]+X43</f>
        <v>5.6528166666666682</v>
      </c>
      <c r="Y44" s="551">
        <f t="array" ref="Y44">IFERROR(
    INDEX(Хронология[Начало], MATCH(1, (Хронология[Ключ]=Планирование[[#This Row],[Ключ]]) * (Хронология[Подытог за операцию]=MIN(IF(Хронология[Ключ]=Планирование[[#This Row],[Ключ]], Хронология[Подытог за операцию]))), 0)),
    Z43
)</f>
        <v>46156.833333333285</v>
      </c>
      <c r="Z44" s="4">
        <f t="array" aca="1" ref="Z44" ca="1">MAX(IFERROR(
    INDEX(Хронология[Окончание], MATCH(1, (Хронология[Ключ]=Планирование[[#This Row],[Ключ]]) * (Хронология[Подытог за операцию]=MAX(IF(Хронология[Ключ]=Планирование[[#This Row],[Ключ]], Хронология[Подытог за операцию]))), 0)),
    Y44+AC44
), Планирование[[#This Row],[Начало (факт)]]+Планирование[[#This Row],[Сутки (факт)]])</f>
        <v>46157.291666666621</v>
      </c>
      <c r="AA44" s="233">
        <f ca="1">IF(AND(Планирование[[#This Row],[Начало (факт)]]=Y45, Планирование[[#This Row],[Забой, м (факт)]]=0), 0, Планирование[[#This Row],[Сутки (факт)]]*24)</f>
        <v>11</v>
      </c>
      <c r="AB44" s="233">
        <f ca="1">Планирование[[#This Row],[Часы (факт)]]-Планирование[[#This Row],[НПВ за операцию, часы]]-Планирование[[#This Row],[ПНВ, часы]]</f>
        <v>0.30000000000000071</v>
      </c>
      <c r="AC44" s="5">
        <f t="array" aca="1" ref="AC44" ca="1">IFERROR(
  IF(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окончены",
    MAX(IF(Хронология[Ключ]=Планирование[[#This Row],[Ключ]], Хронология[Подытог за операцию])),
    IF(
      Планирование[[#This Row],[Событие]]="Мех. бурение",
      (MAX(Хронология[Окончание]) - Планирование[[#This Row],[Начало (факт)]]) +
      (Планирование[[#This Row],[Забой, м (план)]] - Планирование[[#This Row],[Забой, м (факт)]]) /
      ((Планирование[[#This Row],[Забой, м (план)]] - V43)/Планирование[[#This Row],[Сутки (план)]]),
      IF(
        AND(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продолжаются",
          Планирование[[#This Row],[Начало (факт)]]&gt;0
        ),
        (TODAY()-Планирование[[#This Row],[Начало (факт)]]),
        IF(
          AND(Планирование[[#This Row],[Начало (факт)]]=0,
            Планирование[[#This Row],[Начало (план)]] &gt; MAX(Хронология[Начало])),
          Планирование[[#This Row],[Сутки (план)]],
          IF(
            AND((TODAY()-Планирование[[#This Row],[Начало (план)]])&gt;1,
              ISERR(MATCH(Планирование[[#This Row],[Ключ]], Хронология[Ключ], 0))),
            0,
            Планирование[[#This Row],[Сутки (план)]]
          )
        )
      )
    )
  ),
  Планирование[[#This Row],[Сутки (план)]]
)</f>
        <v>0.45833333333333337</v>
      </c>
      <c r="AD44" s="5">
        <f ca="1">Планирование[[#This Row],[Сутки (факт)]]</f>
        <v>0.45833333333333337</v>
      </c>
      <c r="AE44" s="566">
        <f t="array" ref="AE44">MAX(IF(Хронология[Ключ]=Планирование[[#This Row],[Ключ]], Хронология[Забой, м]))</f>
        <v>0</v>
      </c>
      <c r="AF44" s="233">
        <f ca="1">IFERROR(
    SUMIFS(
        Хронология[Часы],
        Хронология[Результат], "НПВ: нет в ГГД",
        Хронология[Начало], "&gt;=" &amp; Планирование[[#This Row],[Начало (факт)]],
        Хронология[Окончание], "&lt;=" &amp; Планирование[[#This Row],[Конец (факт, прогноз)]]
    ),
    0
)</f>
        <v>0</v>
      </c>
      <c r="AG44" s="233">
        <f ca="1">IFERROR(
    SUMIFS(
        Хронология[Часы],
        Хронология[Результат], "НПВ: нет в ГГД",
        Хронология[Начало], "&gt;=" &amp; Планирование[[#This Row],[Конец (факт, прогноз)]],
        Хронология[Окончание], "&lt;=" &amp; Y45
    ),
    0
)</f>
        <v>0</v>
      </c>
      <c r="AH44" s="550">
        <f ca="1">ROUND(IF(Планирование[[#This Row],[Часы (факт)]]-Планирование[[#This Row],[НПВ за операцию, часы]]-Планирование[[#This Row],[Часы (план)]] &lt;0, 0, Планирование[[#This Row],[Часы (факт)]]-Планирование[[#This Row],[НПВ за операцию, часы]]-Планирование[[#This Row],[Часы (план)]]), 2)</f>
        <v>10.7</v>
      </c>
      <c r="AI44" s="567" t="s">
        <v>1060</v>
      </c>
      <c r="AJ44" s="568">
        <f ca="1">Планирование[[#This Row],[Конец (план)]]-Планирование[[#This Row],[Конец (факт, прогноз)]]</f>
        <v>-5.5142666666142759</v>
      </c>
    </row>
    <row r="45" spans="1:39" s="6" customFormat="1" ht="30" customHeight="1">
      <c r="A45" s="509" t="s">
        <v>1088</v>
      </c>
      <c r="B45" s="578">
        <v>431</v>
      </c>
      <c r="C45" s="580"/>
      <c r="D45" s="580" t="s">
        <v>51</v>
      </c>
      <c r="E45" s="580" t="s">
        <v>58</v>
      </c>
      <c r="F45" s="580"/>
      <c r="G45" s="580" t="s">
        <v>169</v>
      </c>
      <c r="H45" s="580" t="s">
        <v>188</v>
      </c>
      <c r="I45" s="580" t="s">
        <v>167</v>
      </c>
      <c r="J45" s="580" t="s">
        <v>4</v>
      </c>
      <c r="K45" s="580">
        <v>2</v>
      </c>
      <c r="L45" s="581" t="str">
        <f>IF(Планирование[[#This Row],[Контекст простоя]]="Штатно", Планирование[[#This Row],[Скважина]] &amp; " " &amp; "ОК–" &amp;Планирование[[#This Row],[ОК]] &amp; " "  &amp; Планирование[[#This Row],[Этап]] &amp; " " &amp; Планирование[[#This Row],[Вид работ]] &amp; " " &amp; Планирование[[#This Row],[Объект работ]] &amp; " " &amp; Планирование[[#This Row],[Рейс]], Планирование[[#This Row],[Скважина]] &amp; " " &amp; "ОК–" &amp;Планирование[[#This Row],[ОК]] &amp; " " &amp; Планирование[[#This Row],[Этап]] &amp; " " &amp; Планирование[[#This Row],[Контекст простоя]] &amp; " " &amp; Планирование[[#This Row],[Событие]] &amp; " " &amp; Планирование[[#This Row],[Вид работ]] &amp; " " &amp; Планирование[[#This Row],[Объект работ]] &amp; " " &amp; Планирование[[#This Row],[Рейс]])</f>
        <v>431 ОК– КРС Промывка Скважина 2</v>
      </c>
      <c r="M45" s="586">
        <f>IF(Планирование[[#This Row],[Скважина]]&lt;&gt;B44, Планирование[[#This Row],[Начало (факт)]], N44)</f>
        <v>46151.777400000006</v>
      </c>
      <c r="N45" s="569">
        <f>Планирование[[#This Row],[Начало (цель)]]+Планирование[[#This Row],[Сутки (цель)]]</f>
        <v>46151.836566666672</v>
      </c>
      <c r="O45" s="570">
        <v>1.42</v>
      </c>
      <c r="Q45" s="571">
        <f>Планирование[[#This Row],[Часы (цель)]]/24</f>
        <v>5.9166666666666666E-2</v>
      </c>
      <c r="R45" s="571">
        <f>R44+Планирование[[#This Row],[Сутки (цель)]]</f>
        <v>5.4465666666666683</v>
      </c>
      <c r="S45" s="586">
        <f>Планирование[[#This Row],[Начало (цель)]]</f>
        <v>46151.777400000006</v>
      </c>
      <c r="T45" s="569">
        <f>Планирование[[#This Row],[Начало (план)]]+Планирование[[#This Row],[Сутки (план)]]</f>
        <v>46151.836566666672</v>
      </c>
      <c r="U45" s="570">
        <f>Планирование[[#This Row],[Часы (цель)]]</f>
        <v>1.42</v>
      </c>
      <c r="V45" s="6">
        <f>Планирование[[#This Row],[Забой, м (цель)]]</f>
        <v>0</v>
      </c>
      <c r="W45" s="571">
        <f>Планирование[[#This Row],[Часы (план)]]/24</f>
        <v>5.9166666666666666E-2</v>
      </c>
      <c r="X45" s="572">
        <f>Планирование[[#This Row],[Сутки (план)]]+X44</f>
        <v>5.7119833333333352</v>
      </c>
      <c r="Y45" s="551">
        <f t="array" aca="1" ref="Y45" ca="1">IFERROR(
    INDEX(Хронология[Начало], MATCH(1, (Хронология[Ключ]=Планирование[[#This Row],[Ключ]]) * (Хронология[Подытог за операцию]=MIN(IF(Хронология[Ключ]=Планирование[[#This Row],[Ключ]], Хронология[Подытог за операцию]))), 0)),
    Z44
)</f>
        <v>46157.291666666621</v>
      </c>
      <c r="Z45" s="4">
        <f t="array" aca="1" ref="Z45" ca="1">MAX(IFERROR(
    INDEX(Хронология[Окончание], MATCH(1, (Хронология[Ключ]=Планирование[[#This Row],[Ключ]]) * (Хронология[Подытог за операцию]=MAX(IF(Хронология[Ключ]=Планирование[[#This Row],[Ключ]], Хронология[Подытог за операцию]))), 0)),
    Y45+AC45
), Планирование[[#This Row],[Начало (факт)]]+Планирование[[#This Row],[Сутки (факт)]])</f>
        <v>46157.350833333287</v>
      </c>
      <c r="AA45" s="233">
        <f ca="1">IF(AND(Планирование[[#This Row],[Начало (факт)]]=Y46, Планирование[[#This Row],[Забой, м (факт)]]=0), 0, Планирование[[#This Row],[Сутки (факт)]]*24)</f>
        <v>1.42</v>
      </c>
      <c r="AB45" s="233">
        <f ca="1">Планирование[[#This Row],[Часы (факт)]]-Планирование[[#This Row],[НПВ за операцию, часы]]-Планирование[[#This Row],[ПНВ, часы]]</f>
        <v>1.42</v>
      </c>
      <c r="AC45" s="5">
        <f t="array" aca="1" ref="AC45" ca="1">IFERROR(
  IF(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окончены",
    MAX(IF(Хронология[Ключ]=Планирование[[#This Row],[Ключ]], Хронология[Подытог за операцию])),
    IF(
      Планирование[[#This Row],[Событие]]="Мех. бурение",
      (MAX(Хронология[Окончание]) - Планирование[[#This Row],[Начало (факт)]]) +
      (Планирование[[#This Row],[Забой, м (план)]] - Планирование[[#This Row],[Забой, м (факт)]]) /
      ((Планирование[[#This Row],[Забой, м (план)]] - V44)/Планирование[[#This Row],[Сутки (план)]]),
      IF(
        AND(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продолжаются",
          Планирование[[#This Row],[Начало (факт)]]&gt;0
        ),
        (TODAY()-Планирование[[#This Row],[Начало (факт)]]),
        IF(
          AND(Планирование[[#This Row],[Начало (факт)]]=0,
            Планирование[[#This Row],[Начало (план)]] &gt; MAX(Хронология[Начало])),
          Планирование[[#This Row],[Сутки (план)]],
          IF(
            AND((TODAY()-Планирование[[#This Row],[Начало (план)]])&gt;1,
              ISERR(MATCH(Планирование[[#This Row],[Ключ]], Хронология[Ключ], 0))),
            0,
            Планирование[[#This Row],[Сутки (план)]]
          )
        )
      )
    )
  ),
  Планирование[[#This Row],[Сутки (план)]]
)</f>
        <v>5.9166666666666666E-2</v>
      </c>
      <c r="AD45" s="5">
        <f ca="1">Планирование[[#This Row],[Сутки (факт)]]</f>
        <v>5.9166666666666666E-2</v>
      </c>
      <c r="AE45" s="566">
        <f t="array" ref="AE45">MAX(IF(Хронология[Ключ]=Планирование[[#This Row],[Ключ]], Хронология[Забой, м]))</f>
        <v>0</v>
      </c>
      <c r="AF45" s="233">
        <f ca="1">IFERROR(
    SUMIFS(
        Хронология[Часы],
        Хронология[Результат], "НПВ: нет в ГГД",
        Хронология[Начало], "&gt;=" &amp; Планирование[[#This Row],[Начало (факт)]],
        Хронология[Окончание], "&lt;=" &amp; Планирование[[#This Row],[Конец (факт, прогноз)]]
    ),
    0
)</f>
        <v>0</v>
      </c>
      <c r="AG45" s="233">
        <f ca="1">IFERROR(
    SUMIFS(
        Хронология[Часы],
        Хронология[Результат], "НПВ: нет в ГГД",
        Хронология[Начало], "&gt;=" &amp; Планирование[[#This Row],[Конец (факт, прогноз)]],
        Хронология[Окончание], "&lt;=" &amp; Y46
    ),
    0
)</f>
        <v>0</v>
      </c>
      <c r="AH45" s="550">
        <f ca="1">ROUND(IF(Планирование[[#This Row],[Часы (факт)]]-Планирование[[#This Row],[НПВ за операцию, часы]]-Планирование[[#This Row],[Часы (план)]] &lt;0, 0, Планирование[[#This Row],[Часы (факт)]]-Планирование[[#This Row],[НПВ за операцию, часы]]-Планирование[[#This Row],[Часы (план)]]), 2)</f>
        <v>0</v>
      </c>
      <c r="AI45" s="567" t="s">
        <v>1060</v>
      </c>
      <c r="AJ45" s="568">
        <f ca="1">Планирование[[#This Row],[Конец (план)]]-Планирование[[#This Row],[Конец (факт, прогноз)]]</f>
        <v>-5.5142666666142759</v>
      </c>
      <c r="AM45" s="587"/>
    </row>
    <row r="46" spans="1:39" ht="30" customHeight="1">
      <c r="A46" s="508" t="s">
        <v>1089</v>
      </c>
      <c r="B46" s="577">
        <v>431</v>
      </c>
      <c r="C46" s="543"/>
      <c r="D46" s="543" t="s">
        <v>51</v>
      </c>
      <c r="E46" s="543" t="s">
        <v>58</v>
      </c>
      <c r="F46" s="543"/>
      <c r="G46" s="543" t="s">
        <v>169</v>
      </c>
      <c r="H46" s="543" t="s">
        <v>175</v>
      </c>
      <c r="I46" s="543" t="s">
        <v>167</v>
      </c>
      <c r="J46" s="543" t="s">
        <v>4</v>
      </c>
      <c r="K46" s="543"/>
      <c r="L46" s="9" t="str">
        <f>IF(Планирование[[#This Row],[Контекст простоя]]="Штатно", Планирование[[#This Row],[Скважина]] &amp; " " &amp; "ОК–" &amp;Планирование[[#This Row],[ОК]] &amp; " "  &amp; Планирование[[#This Row],[Этап]] &amp; " " &amp; Планирование[[#This Row],[Вид работ]] &amp; " " &amp; Планирование[[#This Row],[Объект работ]] &amp; " " &amp; Планирование[[#This Row],[Рейс]], Планирование[[#This Row],[Скважина]] &amp; " " &amp; "ОК–" &amp;Планирование[[#This Row],[ОК]] &amp; " " &amp; Планирование[[#This Row],[Этап]] &amp; " " &amp; Планирование[[#This Row],[Контекст простоя]] &amp; " " &amp; Планирование[[#This Row],[Событие]] &amp; " " &amp; Планирование[[#This Row],[Вид работ]] &amp; " " &amp; Планирование[[#This Row],[Объект работ]] &amp; " " &amp; Планирование[[#This Row],[Рейс]])</f>
        <v xml:space="preserve">431 ОК– КРС Обратная промывка Скважина </v>
      </c>
      <c r="M46" s="551">
        <f>IF(Планирование[[#This Row],[Скважина]]&lt;&gt;B45, Планирование[[#This Row],[Начало (факт)]], N45)</f>
        <v>46151.836566666672</v>
      </c>
      <c r="N46" s="4">
        <f>Планирование[[#This Row],[Начало (цель)]]+Планирование[[#This Row],[Сутки (цель)]]</f>
        <v>46151.957816666669</v>
      </c>
      <c r="O46" s="233">
        <v>2.91</v>
      </c>
      <c r="Q46" s="5">
        <f>Планирование[[#This Row],[Часы (цель)]]/24</f>
        <v>0.12125000000000001</v>
      </c>
      <c r="R46" s="5">
        <f>R45+Планирование[[#This Row],[Сутки (цель)]]</f>
        <v>5.5678166666666682</v>
      </c>
      <c r="S46" s="551">
        <f>Планирование[[#This Row],[Начало (цель)]]</f>
        <v>46151.836566666672</v>
      </c>
      <c r="T46" s="4">
        <f>Планирование[[#This Row],[Начало (план)]]+Планирование[[#This Row],[Сутки (план)]]</f>
        <v>46151.957816666669</v>
      </c>
      <c r="U46" s="233">
        <f>Планирование[[#This Row],[Часы (цель)]]</f>
        <v>2.91</v>
      </c>
      <c r="V46">
        <f>Планирование[[#This Row],[Забой, м (цель)]]</f>
        <v>0</v>
      </c>
      <c r="W46" s="5">
        <f>Планирование[[#This Row],[Часы (план)]]/24</f>
        <v>0.12125000000000001</v>
      </c>
      <c r="X46" s="550">
        <f>Планирование[[#This Row],[Сутки (план)]]+X45</f>
        <v>5.833233333333335</v>
      </c>
      <c r="Y46" s="551">
        <f t="array" aca="1" ref="Y46" ca="1">IFERROR(
    INDEX(Хронология[Начало], MATCH(1, (Хронология[Ключ]=Планирование[[#This Row],[Ключ]]) * (Хронология[Подытог за операцию]=MIN(IF(Хронология[Ключ]=Планирование[[#This Row],[Ключ]], Хронология[Подытог за операцию]))), 0)),
    Z45
)</f>
        <v>46157.350833333287</v>
      </c>
      <c r="Z46" s="4">
        <f t="array" aca="1" ref="Z46" ca="1">MAX(IFERROR(
    INDEX(Хронология[Окончание], MATCH(1, (Хронология[Ключ]=Планирование[[#This Row],[Ключ]]) * (Хронология[Подытог за операцию]=MAX(IF(Хронология[Ключ]=Планирование[[#This Row],[Ключ]], Хронология[Подытог за операцию]))), 0)),
    Y46+AC46
), Планирование[[#This Row],[Начало (факт)]]+Планирование[[#This Row],[Сутки (факт)]])</f>
        <v>46157.472083333283</v>
      </c>
      <c r="AA46" s="233">
        <f ca="1">IF(AND(Планирование[[#This Row],[Начало (факт)]]=Y47, Планирование[[#This Row],[Забой, м (факт)]]=0), 0, Планирование[[#This Row],[Сутки (факт)]]*24)</f>
        <v>2.91</v>
      </c>
      <c r="AB46" s="233">
        <f ca="1">Планирование[[#This Row],[Часы (факт)]]-Планирование[[#This Row],[НПВ за операцию, часы]]-Планирование[[#This Row],[ПНВ, часы]]</f>
        <v>2.91</v>
      </c>
      <c r="AC46" s="5">
        <f t="array" aca="1" ref="AC46" ca="1">IFERROR(
  IF(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окончены",
    MAX(IF(Хронология[Ключ]=Планирование[[#This Row],[Ключ]], Хронология[Подытог за операцию])),
    IF(
      Планирование[[#This Row],[Событие]]="Мех. бурение",
      (MAX(Хронология[Окончание]) - Планирование[[#This Row],[Начало (факт)]]) +
      (Планирование[[#This Row],[Забой, м (план)]] - Планирование[[#This Row],[Забой, м (факт)]]) /
      ((Планирование[[#This Row],[Забой, м (план)]] - V45)/Планирование[[#This Row],[Сутки (план)]]),
      IF(
        AND(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продолжаются",
          Планирование[[#This Row],[Начало (факт)]]&gt;0
        ),
        (TODAY()-Планирование[[#This Row],[Начало (факт)]]),
        IF(
          AND(Планирование[[#This Row],[Начало (факт)]]=0,
            Планирование[[#This Row],[Начало (план)]] &gt; MAX(Хронология[Начало])),
          Планирование[[#This Row],[Сутки (план)]],
          IF(
            AND((TODAY()-Планирование[[#This Row],[Начало (план)]])&gt;1,
              ISERR(MATCH(Планирование[[#This Row],[Ключ]], Хронология[Ключ], 0))),
            0,
            Планирование[[#This Row],[Сутки (план)]]
          )
        )
      )
    )
  ),
  Планирование[[#This Row],[Сутки (план)]]
)</f>
        <v>0.12125000000000001</v>
      </c>
      <c r="AD46" s="5">
        <f ca="1">Планирование[[#This Row],[Сутки (факт)]]</f>
        <v>0.12125000000000001</v>
      </c>
      <c r="AE46" s="566">
        <f t="array" ref="AE46">MAX(IF(Хронология[Ключ]=Планирование[[#This Row],[Ключ]], Хронология[Забой, м]))</f>
        <v>0</v>
      </c>
      <c r="AF46" s="233">
        <f ca="1">IFERROR(
    SUMIFS(
        Хронология[Часы],
        Хронология[Результат], "НПВ: нет в ГГД",
        Хронология[Начало], "&gt;=" &amp; Планирование[[#This Row],[Начало (факт)]],
        Хронология[Окончание], "&lt;=" &amp; Планирование[[#This Row],[Конец (факт, прогноз)]]
    ),
    0
)</f>
        <v>0</v>
      </c>
      <c r="AG46" s="233">
        <f ca="1">IFERROR(
    SUMIFS(
        Хронология[Часы],
        Хронология[Результат], "НПВ: нет в ГГД",
        Хронология[Начало], "&gt;=" &amp; Планирование[[#This Row],[Конец (факт, прогноз)]],
        Хронология[Окончание], "&lt;=" &amp; Y47
    ),
    0
)</f>
        <v>0</v>
      </c>
      <c r="AH46" s="550">
        <f ca="1">ROUND(IF(Планирование[[#This Row],[Часы (факт)]]-Планирование[[#This Row],[НПВ за операцию, часы]]-Планирование[[#This Row],[Часы (план)]] &lt;0, 0, Планирование[[#This Row],[Часы (факт)]]-Планирование[[#This Row],[НПВ за операцию, часы]]-Планирование[[#This Row],[Часы (план)]]), 2)</f>
        <v>0</v>
      </c>
      <c r="AI46" s="567" t="s">
        <v>1060</v>
      </c>
      <c r="AJ46" s="568">
        <f ca="1">Планирование[[#This Row],[Конец (план)]]-Планирование[[#This Row],[Конец (факт, прогноз)]]</f>
        <v>-5.5142666666142759</v>
      </c>
    </row>
    <row r="47" spans="1:39" ht="30" customHeight="1">
      <c r="A47" s="508" t="s">
        <v>1090</v>
      </c>
      <c r="B47" s="577">
        <v>431</v>
      </c>
      <c r="C47" s="543"/>
      <c r="D47" s="543" t="s">
        <v>51</v>
      </c>
      <c r="E47" s="543" t="s">
        <v>58</v>
      </c>
      <c r="F47" s="543"/>
      <c r="G47" s="543" t="s">
        <v>90</v>
      </c>
      <c r="H47" s="543" t="s">
        <v>91</v>
      </c>
      <c r="I47" s="543" t="s">
        <v>92</v>
      </c>
      <c r="J47" s="543" t="s">
        <v>93</v>
      </c>
      <c r="K47" s="543">
        <v>1</v>
      </c>
      <c r="L47" s="9" t="str">
        <f>IF(Планирование[[#This Row],[Контекст простоя]]="Штатно", Планирование[[#This Row],[Скважина]] &amp; " " &amp; "ОК–" &amp;Планирование[[#This Row],[ОК]] &amp; " "  &amp; Планирование[[#This Row],[Этап]] &amp; " " &amp; Планирование[[#This Row],[Вид работ]] &amp; " " &amp; Планирование[[#This Row],[Объект работ]] &amp; " " &amp; Планирование[[#This Row],[Рейс]], Планирование[[#This Row],[Скважина]] &amp; " " &amp; "ОК–" &amp;Планирование[[#This Row],[ОК]] &amp; " " &amp; Планирование[[#This Row],[Этап]] &amp; " " &amp; Планирование[[#This Row],[Контекст простоя]] &amp; " " &amp; Планирование[[#This Row],[Событие]] &amp; " " &amp; Планирование[[#This Row],[Вид работ]] &amp; " " &amp; Планирование[[#This Row],[Объект работ]] &amp; " " &amp; Планирование[[#This Row],[Рейс]])</f>
        <v>431 ОК– КРС Подъем УЭЦН 1</v>
      </c>
      <c r="M47" s="551">
        <f>IF(Планирование[[#This Row],[Скважина]]&lt;&gt;B46, Планирование[[#This Row],[Начало (факт)]], N46)</f>
        <v>46151.957816666669</v>
      </c>
      <c r="N47" s="4">
        <f>Планирование[[#This Row],[Начало (цель)]]+Планирование[[#This Row],[Сутки (цель)]]</f>
        <v>46152.625316666672</v>
      </c>
      <c r="O47" s="233">
        <v>16.02</v>
      </c>
      <c r="Q47" s="5">
        <f>Планирование[[#This Row],[Часы (цель)]]/24</f>
        <v>0.66749999999999998</v>
      </c>
      <c r="R47" s="5">
        <f>R46+Планирование[[#This Row],[Сутки (цель)]]</f>
        <v>6.2353166666666677</v>
      </c>
      <c r="S47" s="551">
        <f>Планирование[[#This Row],[Начало (цель)]]</f>
        <v>46151.957816666669</v>
      </c>
      <c r="T47" s="4">
        <f>Планирование[[#This Row],[Начало (план)]]+Планирование[[#This Row],[Сутки (план)]]</f>
        <v>46152.625316666672</v>
      </c>
      <c r="U47" s="233">
        <f>Планирование[[#This Row],[Часы (цель)]]</f>
        <v>16.02</v>
      </c>
      <c r="V47">
        <f>Планирование[[#This Row],[Забой, м (цель)]]</f>
        <v>0</v>
      </c>
      <c r="W47" s="5">
        <f>Планирование[[#This Row],[Часы (план)]]/24</f>
        <v>0.66749999999999998</v>
      </c>
      <c r="X47" s="550">
        <f>Планирование[[#This Row],[Сутки (план)]]+X46</f>
        <v>6.5007333333333346</v>
      </c>
      <c r="Y47" s="551">
        <f t="array" ref="Y47">IFERROR(
    INDEX(Хронология[Начало], MATCH(1, (Хронология[Ключ]=Планирование[[#This Row],[Ключ]]) * (Хронология[Подытог за операцию]=MIN(IF(Хронология[Ключ]=Планирование[[#This Row],[Ключ]], Хронология[Подытог за операцию]))), 0)),
    Z46
)</f>
        <v>46160.499999999942</v>
      </c>
      <c r="Z47" s="4">
        <f t="array" aca="1" ref="Z47" ca="1">MAX(IFERROR(
    INDEX(Хронология[Окончание], MATCH(1, (Хронология[Ключ]=Планирование[[#This Row],[Ключ]]) * (Хронология[Подытог за операцию]=MAX(IF(Хронология[Ключ]=Планирование[[#This Row],[Ключ]], Хронология[Подытог за операцию]))), 0)),
    Y47+AC47
), Планирование[[#This Row],[Начало (факт)]]+Планирование[[#This Row],[Сутки (факт)]])</f>
        <v>46163.416666666613</v>
      </c>
      <c r="AA47" s="233">
        <f ca="1">IF(AND(Планирование[[#This Row],[Начало (факт)]]=Y48, Планирование[[#This Row],[Забой, м (факт)]]=0), 0, Планирование[[#This Row],[Сутки (факт)]]*24)</f>
        <v>36.999999999999993</v>
      </c>
      <c r="AB47" s="233">
        <f ca="1">Планирование[[#This Row],[Часы (факт)]]-Планирование[[#This Row],[НПВ за операцию, часы]]-Планирование[[#This Row],[ПНВ, часы]]</f>
        <v>16.019999999999992</v>
      </c>
      <c r="AC47" s="5">
        <f t="array" aca="1" ref="AC47" ca="1">IFERROR(
  IF(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окончены",
    MAX(IF(Хронология[Ключ]=Планирование[[#This Row],[Ключ]], Хронология[Подытог за операцию])),
    IF(
      Планирование[[#This Row],[Событие]]="Мех. бурение",
      (MAX(Хронология[Окончание]) - Планирование[[#This Row],[Начало (факт)]]) +
      (Планирование[[#This Row],[Забой, м (план)]] - Планирование[[#This Row],[Забой, м (факт)]]) /
      ((Планирование[[#This Row],[Забой, м (план)]] - V46)/Планирование[[#This Row],[Сутки (план)]]),
      IF(
        AND(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продолжаются",
          Планирование[[#This Row],[Начало (факт)]]&gt;0
        ),
        (TODAY()-Планирование[[#This Row],[Начало (факт)]]),
        IF(
          AND(Планирование[[#This Row],[Начало (факт)]]=0,
            Планирование[[#This Row],[Начало (план)]] &gt; MAX(Хронология[Начало])),
          Планирование[[#This Row],[Сутки (план)]],
          IF(
            AND((TODAY()-Планирование[[#This Row],[Начало (план)]])&gt;1,
              ISERR(MATCH(Планирование[[#This Row],[Ключ]], Хронология[Ключ], 0))),
            0,
            Планирование[[#This Row],[Сутки (план)]]
          )
        )
      )
    )
  ),
  Планирование[[#This Row],[Сутки (план)]]
)</f>
        <v>1.5416666666666663</v>
      </c>
      <c r="AD47" s="5">
        <f ca="1">Планирование[[#This Row],[Сутки (факт)]]</f>
        <v>1.5416666666666663</v>
      </c>
      <c r="AE47" s="566">
        <f t="array" ref="AE47">MAX(IF(Хронология[Ключ]=Планирование[[#This Row],[Ключ]], Хронология[Забой, м]))</f>
        <v>0</v>
      </c>
      <c r="AF47" s="233">
        <f ca="1">IFERROR(
    SUMIFS(
        Хронология[Часы],
        Хронология[Результат], "НПВ: нет в ГГД",
        Хронология[Начало], "&gt;=" &amp; Планирование[[#This Row],[Начало (факт)]],
        Хронология[Окончание], "&lt;=" &amp; Планирование[[#This Row],[Конец (факт, прогноз)]]
    ),
    0
)</f>
        <v>0</v>
      </c>
      <c r="AG47" s="233">
        <f ca="1">IFERROR(
    SUMIFS(
        Хронология[Часы],
        Хронология[Результат], "НПВ: нет в ГГД",
        Хронология[Начало], "&gt;=" &amp; Планирование[[#This Row],[Конец (факт, прогноз)]],
        Хронология[Окончание], "&lt;=" &amp; Y48
    ),
    0
)</f>
        <v>0</v>
      </c>
      <c r="AH47" s="550">
        <f ca="1">ROUND(IF(Планирование[[#This Row],[Часы (факт)]]-Планирование[[#This Row],[НПВ за операцию, часы]]-Планирование[[#This Row],[Часы (план)]] &lt;0, 0, Планирование[[#This Row],[Часы (факт)]]-Планирование[[#This Row],[НПВ за операцию, часы]]-Планирование[[#This Row],[Часы (план)]]), 2)</f>
        <v>20.98</v>
      </c>
      <c r="AI47" s="567" t="s">
        <v>1060</v>
      </c>
      <c r="AJ47" s="568">
        <f ca="1">Планирование[[#This Row],[Конец (план)]]-Планирование[[#This Row],[Конец (факт, прогноз)]]</f>
        <v>-10.791349999941303</v>
      </c>
    </row>
    <row r="48" spans="1:39" ht="30" customHeight="1">
      <c r="A48" s="508" t="s">
        <v>1091</v>
      </c>
      <c r="B48" s="577">
        <v>431</v>
      </c>
      <c r="C48" s="543"/>
      <c r="D48" s="543" t="s">
        <v>51</v>
      </c>
      <c r="E48" s="543" t="s">
        <v>58</v>
      </c>
      <c r="F48" s="543"/>
      <c r="G48" s="543" t="s">
        <v>95</v>
      </c>
      <c r="H48" s="543" t="s">
        <v>96</v>
      </c>
      <c r="I48" s="543" t="s">
        <v>92</v>
      </c>
      <c r="J48" s="543" t="s">
        <v>93</v>
      </c>
      <c r="K48" s="543"/>
      <c r="L48" s="9" t="str">
        <f>IF(Планирование[[#This Row],[Контекст простоя]]="Штатно", Планирование[[#This Row],[Скважина]] &amp; " " &amp; "ОК–" &amp;Планирование[[#This Row],[ОК]] &amp; " "  &amp; Планирование[[#This Row],[Этап]] &amp; " " &amp; Планирование[[#This Row],[Вид работ]] &amp; " " &amp; Планирование[[#This Row],[Объект работ]] &amp; " " &amp; Планирование[[#This Row],[Рейс]], Планирование[[#This Row],[Скважина]] &amp; " " &amp; "ОК–" &amp;Планирование[[#This Row],[ОК]] &amp; " " &amp; Планирование[[#This Row],[Этап]] &amp; " " &amp; Планирование[[#This Row],[Контекст простоя]] &amp; " " &amp; Планирование[[#This Row],[Событие]] &amp; " " &amp; Планирование[[#This Row],[Вид работ]] &amp; " " &amp; Планирование[[#This Row],[Объект работ]] &amp; " " &amp; Планирование[[#This Row],[Рейс]])</f>
        <v xml:space="preserve">431 ОК– КРС Разборка УЭЦН </v>
      </c>
      <c r="M48" s="551">
        <f>IF(Планирование[[#This Row],[Скважина]]&lt;&gt;B47, Планирование[[#This Row],[Начало (факт)]], N47)</f>
        <v>46152.625316666672</v>
      </c>
      <c r="N48" s="4">
        <f>Планирование[[#This Row],[Начало (цель)]]+Планирование[[#This Row],[Сутки (цель)]]</f>
        <v>46152.835900000005</v>
      </c>
      <c r="O48" s="233">
        <v>5.0540000000000003</v>
      </c>
      <c r="Q48" s="5">
        <f>Планирование[[#This Row],[Часы (цель)]]/24</f>
        <v>0.21058333333333334</v>
      </c>
      <c r="R48" s="5">
        <f>R47+Планирование[[#This Row],[Сутки (цель)]]</f>
        <v>6.4459000000000009</v>
      </c>
      <c r="S48" s="551">
        <f>Планирование[[#This Row],[Начало (цель)]]</f>
        <v>46152.625316666672</v>
      </c>
      <c r="T48" s="4">
        <f>Планирование[[#This Row],[Начало (план)]]+Планирование[[#This Row],[Сутки (план)]]</f>
        <v>46152.835900000005</v>
      </c>
      <c r="U48" s="233">
        <f>Планирование[[#This Row],[Часы (цель)]]</f>
        <v>5.0540000000000003</v>
      </c>
      <c r="V48">
        <f>Планирование[[#This Row],[Забой, м (цель)]]</f>
        <v>0</v>
      </c>
      <c r="W48" s="5">
        <f>Планирование[[#This Row],[Часы (план)]]/24</f>
        <v>0.21058333333333334</v>
      </c>
      <c r="X48" s="550">
        <f>Планирование[[#This Row],[Сутки (план)]]+X47</f>
        <v>6.7113166666666677</v>
      </c>
      <c r="Y48" s="551">
        <f t="array" aca="1" ref="Y48" ca="1">IFERROR(
    INDEX(Хронология[Начало], MATCH(1, (Хронология[Ключ]=Планирование[[#This Row],[Ключ]]) * (Хронология[Подытог за операцию]=MIN(IF(Хронология[Ключ]=Планирование[[#This Row],[Ключ]], Хронология[Подытог за операцию]))), 0)),
    Z47
)</f>
        <v>46163.416666666613</v>
      </c>
      <c r="Z48" s="4">
        <f t="array" aca="1" ref="Z48" ca="1">MAX(IFERROR(
    INDEX(Хронология[Окончание], MATCH(1, (Хронология[Ключ]=Планирование[[#This Row],[Ключ]]) * (Хронология[Подытог за операцию]=MAX(IF(Хронология[Ключ]=Планирование[[#This Row],[Ключ]], Хронология[Подытог за операцию]))), 0)),
    Y48+AC48
), Планирование[[#This Row],[Начало (факт)]]+Планирование[[#This Row],[Сутки (факт)]])</f>
        <v>46163.627249999947</v>
      </c>
      <c r="AA48" s="233">
        <f ca="1">IF(AND(Планирование[[#This Row],[Начало (факт)]]=Y49, Планирование[[#This Row],[Забой, м (факт)]]=0), 0, Планирование[[#This Row],[Сутки (факт)]]*24)</f>
        <v>0</v>
      </c>
      <c r="AB48" s="233">
        <f ca="1">Планирование[[#This Row],[Часы (факт)]]-Планирование[[#This Row],[НПВ за операцию, часы]]-Планирование[[#This Row],[ПНВ, часы]]</f>
        <v>0</v>
      </c>
      <c r="AC48" s="5">
        <f t="array" aca="1" ref="AC48" ca="1">IFERROR(
  IF(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окончены",
    MAX(IF(Хронология[Ключ]=Планирование[[#This Row],[Ключ]], Хронология[Подытог за операцию])),
    IF(
      Планирование[[#This Row],[Событие]]="Мех. бурение",
      (MAX(Хронология[Окончание]) - Планирование[[#This Row],[Начало (факт)]]) +
      (Планирование[[#This Row],[Забой, м (план)]] - Планирование[[#This Row],[Забой, м (факт)]]) /
      ((Планирование[[#This Row],[Забой, м (план)]] - V47)/Планирование[[#This Row],[Сутки (план)]]),
      IF(
        AND(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продолжаются",
          Планирование[[#This Row],[Начало (факт)]]&gt;0
        ),
        (TODAY()-Планирование[[#This Row],[Начало (факт)]]),
        IF(
          AND(Планирование[[#This Row],[Начало (факт)]]=0,
            Планирование[[#This Row],[Начало (план)]] &gt; MAX(Хронология[Начало])),
          Планирование[[#This Row],[Сутки (план)]],
          IF(
            AND((TODAY()-Планирование[[#This Row],[Начало (план)]])&gt;1,
              ISERR(MATCH(Планирование[[#This Row],[Ключ]], Хронология[Ключ], 0))),
            0,
            Планирование[[#This Row],[Сутки (план)]]
          )
        )
      )
    )
  ),
  Планирование[[#This Row],[Сутки (план)]]
)</f>
        <v>0.21058333333333334</v>
      </c>
      <c r="AD48" s="5">
        <f ca="1">Планирование[[#This Row],[Сутки (факт)]]</f>
        <v>0.21058333333333334</v>
      </c>
      <c r="AE48" s="566">
        <f t="array" ref="AE48">MAX(IF(Хронология[Ключ]=Планирование[[#This Row],[Ключ]], Хронология[Забой, м]))</f>
        <v>0</v>
      </c>
      <c r="AF48" s="233">
        <f ca="1">IFERROR(
    SUMIFS(
        Хронология[Часы],
        Хронология[Результат], "НПВ: нет в ГГД",
        Хронология[Начало], "&gt;=" &amp; Планирование[[#This Row],[Начало (факт)]],
        Хронология[Окончание], "&lt;=" &amp; Планирование[[#This Row],[Конец (факт, прогноз)]]
    ),
    0
)</f>
        <v>0</v>
      </c>
      <c r="AG48" s="233">
        <f ca="1">IFERROR(
    SUMIFS(
        Хронология[Часы],
        Хронология[Результат], "НПВ: нет в ГГД",
        Хронология[Начало], "&gt;=" &amp; Планирование[[#This Row],[Конец (факт, прогноз)]],
        Хронология[Окончание], "&lt;=" &amp; Y49
    ),
    0
)</f>
        <v>0</v>
      </c>
      <c r="AH48" s="550">
        <f ca="1">ROUND(IF(Планирование[[#This Row],[Часы (факт)]]-Планирование[[#This Row],[НПВ за операцию, часы]]-Планирование[[#This Row],[Часы (план)]] &lt;0, 0, Планирование[[#This Row],[Часы (факт)]]-Планирование[[#This Row],[НПВ за операцию, часы]]-Планирование[[#This Row],[Часы (план)]]), 2)</f>
        <v>0</v>
      </c>
      <c r="AI48" s="567" t="s">
        <v>1060</v>
      </c>
      <c r="AJ48" s="568">
        <f ca="1">Планирование[[#This Row],[Конец (план)]]-Планирование[[#This Row],[Конец (факт, прогноз)]]</f>
        <v>-10.791349999941303</v>
      </c>
    </row>
    <row r="49" spans="1:36" ht="30" customHeight="1">
      <c r="A49" s="508" t="s">
        <v>1092</v>
      </c>
      <c r="B49" s="577">
        <v>431</v>
      </c>
      <c r="C49" s="543"/>
      <c r="D49" s="585" t="s">
        <v>51</v>
      </c>
      <c r="E49" s="543" t="s">
        <v>58</v>
      </c>
      <c r="F49" s="543"/>
      <c r="G49" s="543" t="s">
        <v>78</v>
      </c>
      <c r="H49" s="543" t="s">
        <v>102</v>
      </c>
      <c r="I49" s="543" t="s">
        <v>92</v>
      </c>
      <c r="J49" s="543" t="s">
        <v>93</v>
      </c>
      <c r="K49" s="543"/>
      <c r="L49" s="9" t="str">
        <f>IF(Планирование[[#This Row],[Контекст простоя]]="Штатно", Планирование[[#This Row],[Скважина]] &amp; " " &amp; "ОК–" &amp;Планирование[[#This Row],[ОК]] &amp; " "  &amp; Планирование[[#This Row],[Этап]] &amp; " " &amp; Планирование[[#This Row],[Вид работ]] &amp; " " &amp; Планирование[[#This Row],[Объект работ]] &amp; " " &amp; Планирование[[#This Row],[Рейс]], Планирование[[#This Row],[Скважина]] &amp; " " &amp; "ОК–" &amp;Планирование[[#This Row],[ОК]] &amp; " " &amp; Планирование[[#This Row],[Этап]] &amp; " " &amp; Планирование[[#This Row],[Контекст простоя]] &amp; " " &amp; Планирование[[#This Row],[Событие]] &amp; " " &amp; Планирование[[#This Row],[Вид работ]] &amp; " " &amp; Планирование[[#This Row],[Объект работ]] &amp; " " &amp; Планирование[[#This Row],[Рейс]])</f>
        <v xml:space="preserve">431 ОК– КРС Подготовка УЭЦН </v>
      </c>
      <c r="M49" s="551">
        <f>IF(Планирование[[#This Row],[Скважина]]&lt;&gt;B48, Планирование[[#This Row],[Начало (факт)]], N48)</f>
        <v>46152.835900000005</v>
      </c>
      <c r="N49" s="4">
        <f>Планирование[[#This Row],[Начало (цель)]]+Планирование[[#This Row],[Сутки (цель)]]</f>
        <v>46152.877483333337</v>
      </c>
      <c r="O49" s="233">
        <v>0.998</v>
      </c>
      <c r="P49" s="233"/>
      <c r="Q49" s="5">
        <f>Планирование[[#This Row],[Часы (цель)]]/24</f>
        <v>4.1583333333333333E-2</v>
      </c>
      <c r="R49" s="5">
        <f>R48+Планирование[[#This Row],[Сутки (цель)]]</f>
        <v>6.4874833333333344</v>
      </c>
      <c r="S49" s="551">
        <f>Планирование[[#This Row],[Начало (цель)]]</f>
        <v>46152.835900000005</v>
      </c>
      <c r="T49" s="4">
        <f>Планирование[[#This Row],[Начало (план)]]+Планирование[[#This Row],[Сутки (план)]]</f>
        <v>46152.877483333337</v>
      </c>
      <c r="U49" s="233">
        <f>Планирование[[#This Row],[Часы (цель)]]</f>
        <v>0.998</v>
      </c>
      <c r="V49" s="233">
        <f>Планирование[[#This Row],[Забой, м (цель)]]</f>
        <v>0</v>
      </c>
      <c r="W49" s="5">
        <f>Планирование[[#This Row],[Часы (план)]]/24</f>
        <v>4.1583333333333333E-2</v>
      </c>
      <c r="X49" s="5"/>
      <c r="Y49" s="551">
        <f t="array" ref="Y49">IFERROR(
    INDEX(Хронология[Начало], MATCH(1, (Хронология[Ключ]=Планирование[[#This Row],[Ключ]]) * (Хронология[Подытог за операцию]=MIN(IF(Хронология[Ключ]=Планирование[[#This Row],[Ключ]], Хронология[Подытог за операцию]))), 0)),
    Z48
)</f>
        <v>46163.416666666613</v>
      </c>
      <c r="Z49" s="4">
        <f t="array" aca="1" ref="Z49" ca="1">MAX(IFERROR(
    INDEX(Хронология[Окончание], MATCH(1, (Хронология[Ключ]=Планирование[[#This Row],[Ключ]]) * (Хронология[Подытог за операцию]=MAX(IF(Хронология[Ключ]=Планирование[[#This Row],[Ключ]], Хронология[Подытог за операцию]))), 0)),
    Y49+AC49
), Планирование[[#This Row],[Начало (факт)]]+Планирование[[#This Row],[Сутки (факт)]])</f>
        <v>46163.583333333278</v>
      </c>
      <c r="AA49" s="233">
        <f ca="1">IF(AND(Планирование[[#This Row],[Начало (факт)]]=Y50, Планирование[[#This Row],[Забой, м (факт)]]=0), 0, Планирование[[#This Row],[Сутки (факт)]]*24)</f>
        <v>4</v>
      </c>
      <c r="AB49" s="233">
        <f ca="1">Планирование[[#This Row],[Часы (факт)]]-Планирование[[#This Row],[НПВ за операцию, часы]]-Планирование[[#This Row],[ПНВ, часы]]</f>
        <v>1</v>
      </c>
      <c r="AC49" s="5">
        <f t="array" aca="1" ref="AC49" ca="1">IFERROR(
  IF(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окончены",
    MAX(IF(Хронология[Ключ]=Планирование[[#This Row],[Ключ]], Хронология[Подытог за операцию])),
    IF(
      Планирование[[#This Row],[Событие]]="Мех. бурение",
      (MAX(Хронология[Окончание]) - Планирование[[#This Row],[Начало (факт)]]) +
      (Планирование[[#This Row],[Забой, м (план)]] - Планирование[[#This Row],[Забой, м (факт)]]) /
      ((Планирование[[#This Row],[Забой, м (план)]] - V48)/Планирование[[#This Row],[Сутки (план)]]),
      IF(
        AND(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продолжаются",
          Планирование[[#This Row],[Начало (факт)]]&gt;0
        ),
        (TODAY()-Планирование[[#This Row],[Начало (факт)]]),
        IF(
          AND(Планирование[[#This Row],[Начало (факт)]]=0,
            Планирование[[#This Row],[Начало (план)]] &gt; MAX(Хронология[Начало])),
          Планирование[[#This Row],[Сутки (план)]],
          IF(
            AND((TODAY()-Планирование[[#This Row],[Начало (план)]])&gt;1,
              ISERR(MATCH(Планирование[[#This Row],[Ключ]], Хронология[Ключ], 0))),
            0,
            Планирование[[#This Row],[Сутки (план)]]
          )
        )
      )
    )
  ),
  Планирование[[#This Row],[Сутки (план)]]
)</f>
        <v>0.16666666666666666</v>
      </c>
      <c r="AD49" s="5">
        <f ca="1">Планирование[[#This Row],[Сутки (факт)]]</f>
        <v>0.16666666666666666</v>
      </c>
      <c r="AE49" s="566">
        <f t="array" ref="AE49">MAX(IF(Хронология[Ключ]=Планирование[[#This Row],[Ключ]], Хронология[Забой, м]))</f>
        <v>0</v>
      </c>
      <c r="AF49" s="233">
        <f ca="1">IFERROR(
    SUMIFS(
        Хронология[Часы],
        Хронология[Результат], "НПВ: нет в ГГД",
        Хронология[Начало], "&gt;=" &amp; Планирование[[#This Row],[Начало (факт)]],
        Хронология[Окончание], "&lt;=" &amp; Планирование[[#This Row],[Конец (факт, прогноз)]]
    ),
    0
)</f>
        <v>0</v>
      </c>
      <c r="AG49" s="233">
        <f ca="1">IFERROR(
    SUMIFS(
        Хронология[Часы],
        Хронология[Результат], "НПВ: нет в ГГД",
        Хронология[Начало], "&gt;=" &amp; Планирование[[#This Row],[Конец (факт, прогноз)]],
        Хронология[Окончание], "&lt;=" &amp; Y50
    ),
    0
)</f>
        <v>0</v>
      </c>
      <c r="AH49" s="550">
        <f ca="1">ROUND(IF(Планирование[[#This Row],[Часы (факт)]]-Планирование[[#This Row],[НПВ за операцию, часы]]-Планирование[[#This Row],[Часы (план)]] &lt;0, 0, Планирование[[#This Row],[Часы (факт)]]-Планирование[[#This Row],[НПВ за операцию, часы]]-Планирование[[#This Row],[Часы (план)]]), 2)</f>
        <v>3</v>
      </c>
      <c r="AI49" s="567" t="s">
        <v>1060</v>
      </c>
      <c r="AJ49" s="568">
        <f ca="1">Планирование[[#This Row],[Конец (план)]]-Планирование[[#This Row],[Конец (факт, прогноз)]]</f>
        <v>-10.705849999940256</v>
      </c>
    </row>
    <row r="50" spans="1:36" ht="30" customHeight="1">
      <c r="A50" s="508" t="s">
        <v>1093</v>
      </c>
      <c r="B50" s="577">
        <v>431</v>
      </c>
      <c r="C50" s="543"/>
      <c r="D50" s="585" t="s">
        <v>51</v>
      </c>
      <c r="E50" s="543" t="s">
        <v>58</v>
      </c>
      <c r="F50" s="543"/>
      <c r="G50" s="543" t="s">
        <v>95</v>
      </c>
      <c r="H50" s="543" t="s">
        <v>104</v>
      </c>
      <c r="I50" s="543" t="s">
        <v>92</v>
      </c>
      <c r="J50" s="543" t="s">
        <v>93</v>
      </c>
      <c r="K50" s="543"/>
      <c r="L50" s="9" t="str">
        <f>IF(Планирование[[#This Row],[Контекст простоя]]="Штатно", Планирование[[#This Row],[Скважина]] &amp; " " &amp; "ОК–" &amp;Планирование[[#This Row],[ОК]] &amp; " "  &amp; Планирование[[#This Row],[Этап]] &amp; " " &amp; Планирование[[#This Row],[Вид работ]] &amp; " " &amp; Планирование[[#This Row],[Объект работ]] &amp; " " &amp; Планирование[[#This Row],[Рейс]], Планирование[[#This Row],[Скважина]] &amp; " " &amp; "ОК–" &amp;Планирование[[#This Row],[ОК]] &amp; " " &amp; Планирование[[#This Row],[Этап]] &amp; " " &amp; Планирование[[#This Row],[Контекст простоя]] &amp; " " &amp; Планирование[[#This Row],[Событие]] &amp; " " &amp; Планирование[[#This Row],[Вид работ]] &amp; " " &amp; Планирование[[#This Row],[Объект работ]] &amp; " " &amp; Планирование[[#This Row],[Рейс]])</f>
        <v xml:space="preserve">431 ОК– КРС Сборка УЭЦН </v>
      </c>
      <c r="M50" s="551">
        <f>IF(Планирование[[#This Row],[Скважина]]&lt;&gt;B49, Планирование[[#This Row],[Начало (факт)]], N49)</f>
        <v>46152.877483333337</v>
      </c>
      <c r="N50" s="4">
        <f>Планирование[[#This Row],[Начало (цель)]]+Планирование[[#This Row],[Сутки (цель)]]</f>
        <v>46153.244483333336</v>
      </c>
      <c r="O50" s="233">
        <v>8.8079999999999998</v>
      </c>
      <c r="P50" s="233"/>
      <c r="Q50" s="5">
        <f>Планирование[[#This Row],[Часы (цель)]]/24</f>
        <v>0.36699999999999999</v>
      </c>
      <c r="R50" s="5">
        <f>R49+Планирование[[#This Row],[Сутки (цель)]]</f>
        <v>6.8544833333333344</v>
      </c>
      <c r="S50" s="551">
        <f>Планирование[[#This Row],[Начало (цель)]]</f>
        <v>46152.877483333337</v>
      </c>
      <c r="T50" s="4">
        <f>Планирование[[#This Row],[Начало (план)]]+Планирование[[#This Row],[Сутки (план)]]</f>
        <v>46153.244483333336</v>
      </c>
      <c r="U50" s="233">
        <f>Планирование[[#This Row],[Часы (цель)]]</f>
        <v>8.8079999999999998</v>
      </c>
      <c r="V50" s="233">
        <f>Планирование[[#This Row],[Забой, м (цель)]]</f>
        <v>0</v>
      </c>
      <c r="W50" s="5">
        <f>Планирование[[#This Row],[Часы (план)]]/24</f>
        <v>0.36699999999999999</v>
      </c>
      <c r="X50" s="5"/>
      <c r="Y50" s="551">
        <f t="array" ref="Y50">IFERROR(
    INDEX(Хронология[Начало], MATCH(1, (Хронология[Ключ]=Планирование[[#This Row],[Ключ]]) * (Хронология[Подытог за операцию]=MIN(IF(Хронология[Ключ]=Планирование[[#This Row],[Ключ]], Хронология[Подытог за операцию]))), 0)),
    Z49
)</f>
        <v>46163.583333333278</v>
      </c>
      <c r="Z50" s="4">
        <f t="array" aca="1" ref="Z50" ca="1">MAX(IFERROR(
    INDEX(Хронология[Окончание], MATCH(1, (Хронология[Ключ]=Планирование[[#This Row],[Ключ]]) * (Хронология[Подытог за операцию]=MAX(IF(Хронология[Ключ]=Планирование[[#This Row],[Ключ]], Хронология[Подытог за операцию]))), 0)),
    Y50+AC50
), Планирование[[#This Row],[Начало (факт)]]+Планирование[[#This Row],[Сутки (факт)]])</f>
        <v>46163.950333333276</v>
      </c>
      <c r="AA50" s="233">
        <f ca="1">IF(AND(Планирование[[#This Row],[Начало (факт)]]=Y51, Планирование[[#This Row],[Забой, м (факт)]]=0), 0, Планирование[[#This Row],[Сутки (факт)]]*24)</f>
        <v>8.8079999999999998</v>
      </c>
      <c r="AB50" s="233">
        <f ca="1">Планирование[[#This Row],[Часы (факт)]]-Планирование[[#This Row],[НПВ за операцию, часы]]-Планирование[[#This Row],[ПНВ, часы]]</f>
        <v>8.8079999999999998</v>
      </c>
      <c r="AC50" s="5">
        <f t="array" aca="1" ref="AC50" ca="1">IFERROR(
  IF(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окончены",
    MAX(IF(Хронология[Ключ]=Планирование[[#This Row],[Ключ]], Хронология[Подытог за операцию])),
    IF(
      Планирование[[#This Row],[Событие]]="Мех. бурение",
      (MAX(Хронология[Окончание]) - Планирование[[#This Row],[Начало (факт)]]) +
      (Планирование[[#This Row],[Забой, м (план)]] - Планирование[[#This Row],[Забой, м (факт)]]) /
      ((Планирование[[#This Row],[Забой, м (план)]] - V49)/Планирование[[#This Row],[Сутки (план)]]),
      IF(
        AND(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продолжаются",
          Планирование[[#This Row],[Начало (факт)]]&gt;0
        ),
        (TODAY()-Планирование[[#This Row],[Начало (факт)]]),
        IF(
          AND(Планирование[[#This Row],[Начало (факт)]]=0,
            Планирование[[#This Row],[Начало (план)]] &gt; MAX(Хронология[Начало])),
          Планирование[[#This Row],[Сутки (план)]],
          IF(
            AND((TODAY()-Планирование[[#This Row],[Начало (план)]])&gt;1,
              ISERR(MATCH(Планирование[[#This Row],[Ключ]], Хронология[Ключ], 0))),
            0,
            Планирование[[#This Row],[Сутки (план)]]
          )
        )
      )
    )
  ),
  Планирование[[#This Row],[Сутки (план)]]
)</f>
        <v>0.36699999999999999</v>
      </c>
      <c r="AD50" s="5">
        <f ca="1">Планирование[[#This Row],[Сутки (факт)]]</f>
        <v>0.36699999999999999</v>
      </c>
      <c r="AE50" s="566">
        <f t="array" ref="AE50">MAX(IF(Хронология[Ключ]=Планирование[[#This Row],[Ключ]], Хронология[Забой, м]))</f>
        <v>0</v>
      </c>
      <c r="AF50" s="233">
        <f ca="1">IFERROR(
    SUMIFS(
        Хронология[Часы],
        Хронология[Результат], "НПВ: нет в ГГД",
        Хронология[Начало], "&gt;=" &amp; Планирование[[#This Row],[Начало (факт)]],
        Хронология[Окончание], "&lt;=" &amp; Планирование[[#This Row],[Конец (факт, прогноз)]]
    ),
    0
)</f>
        <v>0</v>
      </c>
      <c r="AG50" s="233">
        <f ca="1">IFERROR(
    SUMIFS(
        Хронология[Часы],
        Хронология[Результат], "НПВ: нет в ГГД",
        Хронология[Начало], "&gt;=" &amp; Планирование[[#This Row],[Конец (факт, прогноз)]],
        Хронология[Окончание], "&lt;=" &amp; Y51
    ),
    0
)</f>
        <v>0</v>
      </c>
      <c r="AH50" s="550">
        <f ca="1">ROUND(IF(Планирование[[#This Row],[Часы (факт)]]-Планирование[[#This Row],[НПВ за операцию, часы]]-Планирование[[#This Row],[Часы (план)]] &lt;0, 0, Планирование[[#This Row],[Часы (факт)]]-Планирование[[#This Row],[НПВ за операцию, часы]]-Планирование[[#This Row],[Часы (план)]]), 2)</f>
        <v>0</v>
      </c>
      <c r="AI50" s="567" t="s">
        <v>1060</v>
      </c>
      <c r="AJ50" s="568">
        <f ca="1">Планирование[[#This Row],[Конец (план)]]-Планирование[[#This Row],[Конец (факт, прогноз)]]</f>
        <v>-10.705849999940256</v>
      </c>
    </row>
    <row r="51" spans="1:36" ht="30" customHeight="1">
      <c r="A51" s="508" t="s">
        <v>1094</v>
      </c>
      <c r="B51" s="577">
        <v>431</v>
      </c>
      <c r="C51" s="543"/>
      <c r="D51" s="585" t="s">
        <v>51</v>
      </c>
      <c r="E51" s="543" t="s">
        <v>58</v>
      </c>
      <c r="F51" s="543"/>
      <c r="G51" s="543" t="s">
        <v>90</v>
      </c>
      <c r="H51" s="543" t="s">
        <v>106</v>
      </c>
      <c r="I51" s="543" t="s">
        <v>92</v>
      </c>
      <c r="J51" s="543" t="s">
        <v>93</v>
      </c>
      <c r="K51" s="543">
        <v>1</v>
      </c>
      <c r="L51" s="9" t="str">
        <f>IF(Планирование[[#This Row],[Контекст простоя]]="Штатно", Планирование[[#This Row],[Скважина]] &amp; " " &amp; "ОК–" &amp;Планирование[[#This Row],[ОК]] &amp; " "  &amp; Планирование[[#This Row],[Этап]] &amp; " " &amp; Планирование[[#This Row],[Вид работ]] &amp; " " &amp; Планирование[[#This Row],[Объект работ]] &amp; " " &amp; Планирование[[#This Row],[Рейс]], Планирование[[#This Row],[Скважина]] &amp; " " &amp; "ОК–" &amp;Планирование[[#This Row],[ОК]] &amp; " " &amp; Планирование[[#This Row],[Этап]] &amp; " " &amp; Планирование[[#This Row],[Контекст простоя]] &amp; " " &amp; Планирование[[#This Row],[Событие]] &amp; " " &amp; Планирование[[#This Row],[Вид работ]] &amp; " " &amp; Планирование[[#This Row],[Объект работ]] &amp; " " &amp; Планирование[[#This Row],[Рейс]])</f>
        <v>431 ОК– КРС Спуск УЭЦН 1</v>
      </c>
      <c r="M51" s="551">
        <f>IF(Планирование[[#This Row],[Скважина]]&lt;&gt;B50, Планирование[[#This Row],[Начало (факт)]], N50)</f>
        <v>46153.244483333336</v>
      </c>
      <c r="N51" s="4">
        <f>Планирование[[#This Row],[Начало (цель)]]+Планирование[[#This Row],[Сутки (цель)]]</f>
        <v>46154.144216666667</v>
      </c>
      <c r="O51" s="233">
        <v>21.593599999999999</v>
      </c>
      <c r="P51" s="233"/>
      <c r="Q51" s="5">
        <f>Планирование[[#This Row],[Часы (цель)]]/24</f>
        <v>0.89973333333333327</v>
      </c>
      <c r="R51" s="5">
        <f>R50+Планирование[[#This Row],[Сутки (цель)]]</f>
        <v>7.7542166666666681</v>
      </c>
      <c r="S51" s="551">
        <f>Планирование[[#This Row],[Начало (цель)]]</f>
        <v>46153.244483333336</v>
      </c>
      <c r="T51" s="4">
        <f>Планирование[[#This Row],[Начало (план)]]+Планирование[[#This Row],[Сутки (план)]]</f>
        <v>46154.144216666667</v>
      </c>
      <c r="U51" s="233">
        <f>Планирование[[#This Row],[Часы (цель)]]</f>
        <v>21.593599999999999</v>
      </c>
      <c r="V51" s="233">
        <f>Планирование[[#This Row],[Забой, м (цель)]]</f>
        <v>0</v>
      </c>
      <c r="W51" s="5">
        <f>Планирование[[#This Row],[Часы (план)]]/24</f>
        <v>0.89973333333333327</v>
      </c>
      <c r="X51" s="5"/>
      <c r="Y51" s="551">
        <f t="array" ref="Y51">IFERROR(
    INDEX(Хронология[Начало], MATCH(1, (Хронология[Ключ]=Планирование[[#This Row],[Ключ]]) * (Хронология[Подытог за операцию]=MIN(IF(Хронология[Ключ]=Планирование[[#This Row],[Ключ]], Хронология[Подытог за операцию]))), 0)),
    Z50
)</f>
        <v>46163.749999999942</v>
      </c>
      <c r="Z51" s="4">
        <f t="array" aca="1" ref="Z51" ca="1">MAX(IFERROR(
    INDEX(Хронология[Окончание], MATCH(1, (Хронология[Ключ]=Планирование[[#This Row],[Ключ]]) * (Хронология[Подытог за операцию]=MAX(IF(Хронология[Ключ]=Планирование[[#This Row],[Ключ]], Хронология[Подытог за операцию]))), 0)),
    Y51+AC51
), Планирование[[#This Row],[Начало (факт)]]+Планирование[[#This Row],[Сутки (факт)]])</f>
        <v>46164.749999999942</v>
      </c>
      <c r="AA51" s="233">
        <f ca="1">IF(AND(Планирование[[#This Row],[Начало (факт)]]=Y52, Планирование[[#This Row],[Забой, м (факт)]]=0), 0, Планирование[[#This Row],[Сутки (факт)]]*24)</f>
        <v>21.593599999999999</v>
      </c>
      <c r="AB51" s="233">
        <f ca="1">Планирование[[#This Row],[Часы (факт)]]-Планирование[[#This Row],[НПВ за операцию, часы]]-Планирование[[#This Row],[ПНВ, часы]]</f>
        <v>21.593599999999999</v>
      </c>
      <c r="AC51" s="5">
        <f t="array" aca="1" ref="AC51" ca="1">IFERROR(
  IF(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окончены",
    MAX(IF(Хронология[Ключ]=Планирование[[#This Row],[Ключ]], Хронология[Подытог за операцию])),
    IF(
      Планирование[[#This Row],[Событие]]="Мех. бурение",
      (MAX(Хронология[Окончание]) - Планирование[[#This Row],[Начало (факт)]]) +
      (Планирование[[#This Row],[Забой, м (план)]] - Планирование[[#This Row],[Забой, м (факт)]]) /
      ((Планирование[[#This Row],[Забой, м (план)]] - V50)/Планирование[[#This Row],[Сутки (план)]]),
      IF(
        AND(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продолжаются",
          Планирование[[#This Row],[Начало (факт)]]&gt;0
        ),
        (TODAY()-Планирование[[#This Row],[Начало (факт)]]),
        IF(
          AND(Планирование[[#This Row],[Начало (факт)]]=0,
            Планирование[[#This Row],[Начало (план)]] &gt; MAX(Хронология[Начало])),
          Планирование[[#This Row],[Сутки (план)]],
          IF(
            AND((TODAY()-Планирование[[#This Row],[Начало (план)]])&gt;1,
              ISERR(MATCH(Планирование[[#This Row],[Ключ]], Хронология[Ключ], 0))),
            0,
            Планирование[[#This Row],[Сутки (план)]]
          )
        )
      )
    )
  ),
  Планирование[[#This Row],[Сутки (план)]]
)</f>
        <v>0.89973333333333327</v>
      </c>
      <c r="AD51" s="5">
        <f ca="1">Планирование[[#This Row],[Сутки (факт)]]</f>
        <v>0.89973333333333327</v>
      </c>
      <c r="AE51" s="566">
        <f t="array" ref="AE51">MAX(IF(Хронология[Ключ]=Планирование[[#This Row],[Ключ]], Хронология[Забой, м]))</f>
        <v>0</v>
      </c>
      <c r="AF51" s="233">
        <f ca="1">IFERROR(
    SUMIFS(
        Хронология[Часы],
        Хронология[Результат], "НПВ: нет в ГГД",
        Хронология[Начало], "&gt;=" &amp; Планирование[[#This Row],[Начало (факт)]],
        Хронология[Окончание], "&lt;=" &amp; Планирование[[#This Row],[Конец (факт, прогноз)]]
    ),
    0
)</f>
        <v>0</v>
      </c>
      <c r="AG51" s="233">
        <f ca="1">IFERROR(
    SUMIFS(
        Хронология[Часы],
        Хронология[Результат], "НПВ: нет в ГГД",
        Хронология[Начало], "&gt;=" &amp; Планирование[[#This Row],[Конец (факт, прогноз)]],
        Хронология[Окончание], "&lt;=" &amp; Y52
    ),
    0
)</f>
        <v>0</v>
      </c>
      <c r="AH51" s="550">
        <f ca="1">ROUND(IF(Планирование[[#This Row],[Часы (факт)]]-Планирование[[#This Row],[НПВ за операцию, часы]]-Планирование[[#This Row],[Часы (план)]] &lt;0, 0, Планирование[[#This Row],[Часы (факт)]]-Планирование[[#This Row],[НПВ за операцию, часы]]-Планирование[[#This Row],[Часы (план)]]), 2)</f>
        <v>0</v>
      </c>
      <c r="AI51" s="567" t="s">
        <v>1060</v>
      </c>
      <c r="AJ51" s="568">
        <f ca="1">Планирование[[#This Row],[Конец (план)]]-Планирование[[#This Row],[Конец (факт, прогноз)]]</f>
        <v>-10.605783333274303</v>
      </c>
    </row>
    <row r="52" spans="1:36" ht="30" customHeight="1">
      <c r="A52" s="508" t="s">
        <v>1095</v>
      </c>
      <c r="B52" s="577">
        <v>431</v>
      </c>
      <c r="C52" s="543"/>
      <c r="D52" s="585" t="s">
        <v>51</v>
      </c>
      <c r="E52" s="543" t="s">
        <v>58</v>
      </c>
      <c r="F52" s="543"/>
      <c r="G52" s="543" t="s">
        <v>111</v>
      </c>
      <c r="H52" s="543" t="s">
        <v>112</v>
      </c>
      <c r="I52" s="543" t="s">
        <v>113</v>
      </c>
      <c r="J52" s="543" t="s">
        <v>114</v>
      </c>
      <c r="K52" s="543"/>
      <c r="L52" s="9" t="str">
        <f>IF(Планирование[[#This Row],[Контекст простоя]]="Штатно", Планирование[[#This Row],[Скважина]] &amp; " " &amp; "ОК–" &amp;Планирование[[#This Row],[ОК]] &amp; " "  &amp; Планирование[[#This Row],[Этап]] &amp; " " &amp; Планирование[[#This Row],[Вид работ]] &amp; " " &amp; Планирование[[#This Row],[Объект работ]] &amp; " " &amp; Планирование[[#This Row],[Рейс]], Планирование[[#This Row],[Скважина]] &amp; " " &amp; "ОК–" &amp;Планирование[[#This Row],[ОК]] &amp; " " &amp; Планирование[[#This Row],[Этап]] &amp; " " &amp; Планирование[[#This Row],[Контекст простоя]] &amp; " " &amp; Планирование[[#This Row],[Событие]] &amp; " " &amp; Планирование[[#This Row],[Вид работ]] &amp; " " &amp; Планирование[[#This Row],[Объект работ]] &amp; " " &amp; Планирование[[#This Row],[Рейс]])</f>
        <v xml:space="preserve">431 ОК– КРС Замер Электрооборудование </v>
      </c>
      <c r="M52" s="551">
        <f>IF(Планирование[[#This Row],[Скважина]]&lt;&gt;B51, Планирование[[#This Row],[Начало (факт)]], N51)</f>
        <v>46154.144216666667</v>
      </c>
      <c r="N52" s="4">
        <f>Планирование[[#This Row],[Начало (цель)]]+Планирование[[#This Row],[Сутки (цель)]]</f>
        <v>46154.169216666669</v>
      </c>
      <c r="O52" s="233">
        <v>0.6</v>
      </c>
      <c r="P52" s="233"/>
      <c r="Q52" s="5">
        <f>Планирование[[#This Row],[Часы (цель)]]/24</f>
        <v>2.4999999999999998E-2</v>
      </c>
      <c r="R52" s="5">
        <f>R51+Планирование[[#This Row],[Сутки (цель)]]</f>
        <v>7.7792166666666684</v>
      </c>
      <c r="S52" s="551">
        <f>Планирование[[#This Row],[Начало (цель)]]</f>
        <v>46154.144216666667</v>
      </c>
      <c r="T52" s="4">
        <f>Планирование[[#This Row],[Начало (план)]]+Планирование[[#This Row],[Сутки (план)]]</f>
        <v>46154.169216666669</v>
      </c>
      <c r="U52" s="233">
        <f>Планирование[[#This Row],[Часы (цель)]]</f>
        <v>0.6</v>
      </c>
      <c r="V52" s="233">
        <f>Планирование[[#This Row],[Забой, м (цель)]]</f>
        <v>0</v>
      </c>
      <c r="W52" s="5">
        <f>Планирование[[#This Row],[Часы (план)]]/24</f>
        <v>2.4999999999999998E-2</v>
      </c>
      <c r="X52" s="5"/>
      <c r="Y52" s="551">
        <f t="array" aca="1" ref="Y52" ca="1">IFERROR(
    INDEX(Хронология[Начало], MATCH(1, (Хронология[Ключ]=Планирование[[#This Row],[Ключ]]) * (Хронология[Подытог за операцию]=MIN(IF(Хронология[Ключ]=Планирование[[#This Row],[Ключ]], Хронология[Подытог за операцию]))), 0)),
    Z51
)</f>
        <v>46164.749999999942</v>
      </c>
      <c r="Z52" s="4">
        <f t="array" aca="1" ref="Z52" ca="1">MAX(IFERROR(
    INDEX(Хронология[Окончание], MATCH(1, (Хронология[Ключ]=Планирование[[#This Row],[Ключ]]) * (Хронология[Подытог за операцию]=MAX(IF(Хронология[Ключ]=Планирование[[#This Row],[Ключ]], Хронология[Подытог за операцию]))), 0)),
    Y52+AC52
), Планирование[[#This Row],[Начало (факт)]]+Планирование[[#This Row],[Сутки (факт)]])</f>
        <v>46164.774999999943</v>
      </c>
      <c r="AA52" s="233">
        <f ca="1">IF(AND(Планирование[[#This Row],[Начало (факт)]]=Y53, Планирование[[#This Row],[Забой, м (факт)]]=0), 0, Планирование[[#This Row],[Сутки (факт)]]*24)</f>
        <v>0.6</v>
      </c>
      <c r="AB52" s="233">
        <f ca="1">Планирование[[#This Row],[Часы (факт)]]-Планирование[[#This Row],[НПВ за операцию, часы]]-Планирование[[#This Row],[ПНВ, часы]]</f>
        <v>0.6</v>
      </c>
      <c r="AC52" s="5">
        <f t="array" aca="1" ref="AC52" ca="1">IFERROR(
  IF(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окончены",
    MAX(IF(Хронология[Ключ]=Планирование[[#This Row],[Ключ]], Хронология[Подытог за операцию])),
    IF(
      Планирование[[#This Row],[Событие]]="Мех. бурение",
      (MAX(Хронология[Окончание]) - Планирование[[#This Row],[Начало (факт)]]) +
      (Планирование[[#This Row],[Забой, м (план)]] - Планирование[[#This Row],[Забой, м (факт)]]) /
      ((Планирование[[#This Row],[Забой, м (план)]] - V51)/Планирование[[#This Row],[Сутки (план)]]),
      IF(
        AND(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продолжаются",
          Планирование[[#This Row],[Начало (факт)]]&gt;0
        ),
        (TODAY()-Планирование[[#This Row],[Начало (факт)]]),
        IF(
          AND(Планирование[[#This Row],[Начало (факт)]]=0,
            Планирование[[#This Row],[Начало (план)]] &gt; MAX(Хронология[Начало])),
          Планирование[[#This Row],[Сутки (план)]],
          IF(
            AND((TODAY()-Планирование[[#This Row],[Начало (план)]])&gt;1,
              ISERR(MATCH(Планирование[[#This Row],[Ключ]], Хронология[Ключ], 0))),
            0,
            Планирование[[#This Row],[Сутки (план)]]
          )
        )
      )
    )
  ),
  Планирование[[#This Row],[Сутки (план)]]
)</f>
        <v>2.4999999999999998E-2</v>
      </c>
      <c r="AD52" s="5">
        <f ca="1">Планирование[[#This Row],[Сутки (факт)]]</f>
        <v>2.4999999999999998E-2</v>
      </c>
      <c r="AE52" s="566">
        <f t="array" ref="AE52">MAX(IF(Хронология[Ключ]=Планирование[[#This Row],[Ключ]], Хронология[Забой, м]))</f>
        <v>0</v>
      </c>
      <c r="AF52" s="233">
        <f ca="1">IFERROR(
    SUMIFS(
        Хронология[Часы],
        Хронология[Результат], "НПВ: нет в ГГД",
        Хронология[Начало], "&gt;=" &amp; Планирование[[#This Row],[Начало (факт)]],
        Хронология[Окончание], "&lt;=" &amp; Планирование[[#This Row],[Конец (факт, прогноз)]]
    ),
    0
)</f>
        <v>0</v>
      </c>
      <c r="AG52" s="233">
        <f ca="1">IFERROR(
    SUMIFS(
        Хронология[Часы],
        Хронология[Результат], "НПВ: нет в ГГД",
        Хронология[Начало], "&gt;=" &amp; Планирование[[#This Row],[Конец (факт, прогноз)]],
        Хронология[Окончание], "&lt;=" &amp; Y53
    ),
    0
)</f>
        <v>0</v>
      </c>
      <c r="AH52" s="550">
        <f ca="1">ROUND(IF(Планирование[[#This Row],[Часы (факт)]]-Планирование[[#This Row],[НПВ за операцию, часы]]-Планирование[[#This Row],[Часы (план)]] &lt;0, 0, Планирование[[#This Row],[Часы (факт)]]-Планирование[[#This Row],[НПВ за операцию, часы]]-Планирование[[#This Row],[Часы (план)]]), 2)</f>
        <v>0</v>
      </c>
      <c r="AI52" s="567" t="s">
        <v>1060</v>
      </c>
      <c r="AJ52" s="568">
        <f ca="1">Планирование[[#This Row],[Конец (план)]]-Планирование[[#This Row],[Конец (факт, прогноз)]]</f>
        <v>-10.605783333274303</v>
      </c>
    </row>
    <row r="53" spans="1:36" ht="30" customHeight="1">
      <c r="A53" s="508" t="s">
        <v>1096</v>
      </c>
      <c r="B53" s="577">
        <v>431</v>
      </c>
      <c r="C53" s="543"/>
      <c r="D53" s="585" t="s">
        <v>116</v>
      </c>
      <c r="E53" s="543" t="s">
        <v>58</v>
      </c>
      <c r="F53" s="543"/>
      <c r="G53" s="543" t="s">
        <v>69</v>
      </c>
      <c r="H53" s="543" t="s">
        <v>117</v>
      </c>
      <c r="I53" s="543" t="s">
        <v>86</v>
      </c>
      <c r="J53" s="543" t="s">
        <v>118</v>
      </c>
      <c r="K53" s="543"/>
      <c r="L53" s="9" t="str">
        <f>IF(Планирование[[#This Row],[Контекст простоя]]="Штатно", Планирование[[#This Row],[Скважина]] &amp; " " &amp; "ОК–" &amp;Планирование[[#This Row],[ОК]] &amp; " "  &amp; Планирование[[#This Row],[Этап]] &amp; " " &amp; Планирование[[#This Row],[Вид работ]] &amp; " " &amp; Планирование[[#This Row],[Объект работ]] &amp; " " &amp; Планирование[[#This Row],[Рейс]], Планирование[[#This Row],[Скважина]] &amp; " " &amp; "ОК–" &amp;Планирование[[#This Row],[ОК]] &amp; " " &amp; Планирование[[#This Row],[Этап]] &amp; " " &amp; Планирование[[#This Row],[Контекст простоя]] &amp; " " &amp; Планирование[[#This Row],[Событие]] &amp; " " &amp; Планирование[[#This Row],[Вид работ]] &amp; " " &amp; Планирование[[#This Row],[Объект работ]] &amp; " " &amp; Планирование[[#This Row],[Рейс]])</f>
        <v xml:space="preserve">431 ОК– Заканчивание Перемонтаж Фонтанная арматура </v>
      </c>
      <c r="M53" s="551">
        <f>IF(Планирование[[#This Row],[Скважина]]&lt;&gt;B52, Планирование[[#This Row],[Начало (факт)]], N52)</f>
        <v>46154.169216666669</v>
      </c>
      <c r="N53" s="4">
        <f>Планирование[[#This Row],[Начало (цель)]]+Планирование[[#This Row],[Сутки (цель)]]</f>
        <v>46154.346116666668</v>
      </c>
      <c r="O53" s="233">
        <v>4.2455999999999996</v>
      </c>
      <c r="P53" s="233"/>
      <c r="Q53" s="5">
        <f>Планирование[[#This Row],[Часы (цель)]]/24</f>
        <v>0.17689999999999997</v>
      </c>
      <c r="R53" s="5">
        <f>R52+Планирование[[#This Row],[Сутки (цель)]]</f>
        <v>7.9561166666666683</v>
      </c>
      <c r="S53" s="551">
        <f>Планирование[[#This Row],[Начало (цель)]]</f>
        <v>46154.169216666669</v>
      </c>
      <c r="T53" s="4">
        <f>Планирование[[#This Row],[Начало (план)]]+Планирование[[#This Row],[Сутки (план)]]</f>
        <v>46154.346116666668</v>
      </c>
      <c r="U53" s="233">
        <f>Планирование[[#This Row],[Часы (цель)]]</f>
        <v>4.2455999999999996</v>
      </c>
      <c r="V53" s="233">
        <f>Планирование[[#This Row],[Забой, м (цель)]]</f>
        <v>0</v>
      </c>
      <c r="W53" s="5">
        <f>Планирование[[#This Row],[Часы (план)]]/24</f>
        <v>0.17689999999999997</v>
      </c>
      <c r="X53" s="5"/>
      <c r="Y53" s="551">
        <f t="array" aca="1" ref="Y53" ca="1">IFERROR(
    INDEX(Хронология[Начало], MATCH(1, (Хронология[Ключ]=Планирование[[#This Row],[Ключ]]) * (Хронология[Подытог за операцию]=MIN(IF(Хронология[Ключ]=Планирование[[#This Row],[Ключ]], Хронология[Подытог за операцию]))), 0)),
    Z52
)</f>
        <v>46164.774999999943</v>
      </c>
      <c r="Z53" s="4">
        <f t="array" aca="1" ref="Z53" ca="1">MAX(IFERROR(
    INDEX(Хронология[Окончание], MATCH(1, (Хронология[Ключ]=Планирование[[#This Row],[Ключ]]) * (Хронология[Подытог за операцию]=MAX(IF(Хронология[Ключ]=Планирование[[#This Row],[Ключ]], Хронология[Подытог за операцию]))), 0)),
    Y53+AC53
), Планирование[[#This Row],[Начало (факт)]]+Планирование[[#This Row],[Сутки (факт)]])</f>
        <v>46164.951899999942</v>
      </c>
      <c r="AA53" s="233">
        <f ca="1">IF(AND(Планирование[[#This Row],[Начало (факт)]]=Y54, Планирование[[#This Row],[Забой, м (факт)]]=0), 0, Планирование[[#This Row],[Сутки (факт)]]*24)</f>
        <v>4.2455999999999996</v>
      </c>
      <c r="AB53" s="233">
        <f ca="1">Планирование[[#This Row],[Часы (факт)]]-Планирование[[#This Row],[НПВ за операцию, часы]]-Планирование[[#This Row],[ПНВ, часы]]</f>
        <v>4.2455999999999996</v>
      </c>
      <c r="AC53" s="5">
        <f t="array" aca="1" ref="AC53" ca="1">IFERROR(
  IF(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окончены",
    MAX(IF(Хронология[Ключ]=Планирование[[#This Row],[Ключ]], Хронология[Подытог за операцию])),
    IF(
      Планирование[[#This Row],[Событие]]="Мех. бурение",
      (MAX(Хронология[Окончание]) - Планирование[[#This Row],[Начало (факт)]]) +
      (Планирование[[#This Row],[Забой, м (план)]] - Планирование[[#This Row],[Забой, м (факт)]]) /
      ((Планирование[[#This Row],[Забой, м (план)]] - V52)/Планирование[[#This Row],[Сутки (план)]]),
      IF(
        AND(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продолжаются",
          Планирование[[#This Row],[Начало (факт)]]&gt;0
        ),
        (TODAY()-Планирование[[#This Row],[Начало (факт)]]),
        IF(
          AND(Планирование[[#This Row],[Начало (факт)]]=0,
            Планирование[[#This Row],[Начало (план)]] &gt; MAX(Хронология[Начало])),
          Планирование[[#This Row],[Сутки (план)]],
          IF(
            AND((TODAY()-Планирование[[#This Row],[Начало (план)]])&gt;1,
              ISERR(MATCH(Планирование[[#This Row],[Ключ]], Хронология[Ключ], 0))),
            0,
            Планирование[[#This Row],[Сутки (план)]]
          )
        )
      )
    )
  ),
  Планирование[[#This Row],[Сутки (план)]]
)</f>
        <v>0.17689999999999997</v>
      </c>
      <c r="AD53" s="5">
        <f ca="1">Планирование[[#This Row],[Сутки (факт)]]</f>
        <v>0.17689999999999997</v>
      </c>
      <c r="AE53" s="566">
        <f t="array" ref="AE53">MAX(IF(Хронология[Ключ]=Планирование[[#This Row],[Ключ]], Хронология[Забой, м]))</f>
        <v>0</v>
      </c>
      <c r="AF53" s="233">
        <f ca="1">IFERROR(
    SUMIFS(
        Хронология[Часы],
        Хронология[Результат], "НПВ: нет в ГГД",
        Хронология[Начало], "&gt;=" &amp; Планирование[[#This Row],[Начало (факт)]],
        Хронология[Окончание], "&lt;=" &amp; Планирование[[#This Row],[Конец (факт, прогноз)]]
    ),
    0
)</f>
        <v>0</v>
      </c>
      <c r="AG53" s="233">
        <f ca="1">IFERROR(
    SUMIFS(
        Хронология[Часы],
        Хронология[Результат], "НПВ: нет в ГГД",
        Хронология[Начало], "&gt;=" &amp; Планирование[[#This Row],[Конец (факт, прогноз)]],
        Хронология[Окончание], "&lt;=" &amp; Y54
    ),
    0
)</f>
        <v>0</v>
      </c>
      <c r="AH53" s="550">
        <f ca="1">ROUND(IF(Планирование[[#This Row],[Часы (факт)]]-Планирование[[#This Row],[НПВ за операцию, часы]]-Планирование[[#This Row],[Часы (план)]] &lt;0, 0, Планирование[[#This Row],[Часы (факт)]]-Планирование[[#This Row],[НПВ за операцию, часы]]-Планирование[[#This Row],[Часы (план)]]), 2)</f>
        <v>0</v>
      </c>
      <c r="AI53" s="567" t="s">
        <v>1060</v>
      </c>
      <c r="AJ53" s="568">
        <f ca="1">Планирование[[#This Row],[Конец (план)]]-Планирование[[#This Row],[Конец (факт, прогноз)]]</f>
        <v>-10.605783333274303</v>
      </c>
    </row>
    <row r="54" spans="1:36" ht="30" customHeight="1">
      <c r="A54" s="508" t="s">
        <v>520</v>
      </c>
      <c r="B54" s="577">
        <v>431</v>
      </c>
      <c r="C54" s="543"/>
      <c r="D54" s="585" t="s">
        <v>116</v>
      </c>
      <c r="E54" s="543" t="s">
        <v>58</v>
      </c>
      <c r="F54" s="543"/>
      <c r="G54" s="543" t="s">
        <v>111</v>
      </c>
      <c r="H54" s="543" t="s">
        <v>150</v>
      </c>
      <c r="I54" s="543" t="s">
        <v>86</v>
      </c>
      <c r="J54" s="543" t="s">
        <v>118</v>
      </c>
      <c r="K54" s="543"/>
      <c r="L54" s="9" t="str">
        <f>IF(Планирование[[#This Row],[Контекст простоя]]="Штатно", Планирование[[#This Row],[Скважина]] &amp; " " &amp; "ОК–" &amp;Планирование[[#This Row],[ОК]] &amp; " "  &amp; Планирование[[#This Row],[Этап]] &amp; " " &amp; Планирование[[#This Row],[Вид работ]] &amp; " " &amp; Планирование[[#This Row],[Объект работ]] &amp; " " &amp; Планирование[[#This Row],[Рейс]], Планирование[[#This Row],[Скважина]] &amp; " " &amp; "ОК–" &amp;Планирование[[#This Row],[ОК]] &amp; " " &amp; Планирование[[#This Row],[Этап]] &amp; " " &amp; Планирование[[#This Row],[Контекст простоя]] &amp; " " &amp; Планирование[[#This Row],[Событие]] &amp; " " &amp; Планирование[[#This Row],[Вид работ]] &amp; " " &amp; Планирование[[#This Row],[Объект работ]] &amp; " " &amp; Планирование[[#This Row],[Рейс]])</f>
        <v xml:space="preserve">431 ОК– Заканчивание Опрессовка Фонтанная арматура </v>
      </c>
      <c r="M54" s="551">
        <f>IF(Планирование[[#This Row],[Скважина]]&lt;&gt;B53, Планирование[[#This Row],[Начало (факт)]], N53)</f>
        <v>46154.346116666668</v>
      </c>
      <c r="N54" s="4">
        <f>Планирование[[#This Row],[Начало (цель)]]+Планирование[[#This Row],[Сутки (цель)]]</f>
        <v>46154.383450000001</v>
      </c>
      <c r="O54" s="233">
        <v>0.89600000000000002</v>
      </c>
      <c r="P54" s="233"/>
      <c r="Q54" s="5">
        <f>Планирование[[#This Row],[Часы (цель)]]/24</f>
        <v>3.7333333333333336E-2</v>
      </c>
      <c r="R54" s="5">
        <f>R53+Планирование[[#This Row],[Сутки (цель)]]</f>
        <v>7.9934500000000019</v>
      </c>
      <c r="S54" s="551">
        <f>Планирование[[#This Row],[Начало (цель)]]</f>
        <v>46154.346116666668</v>
      </c>
      <c r="T54" s="4">
        <f>Планирование[[#This Row],[Начало (план)]]+Планирование[[#This Row],[Сутки (план)]]</f>
        <v>46154.383450000001</v>
      </c>
      <c r="U54" s="233">
        <f>Планирование[[#This Row],[Часы (цель)]]</f>
        <v>0.89600000000000002</v>
      </c>
      <c r="V54" s="233">
        <f>Планирование[[#This Row],[Забой, м (цель)]]</f>
        <v>0</v>
      </c>
      <c r="W54" s="5">
        <f>Планирование[[#This Row],[Часы (план)]]/24</f>
        <v>3.7333333333333336E-2</v>
      </c>
      <c r="X54" s="5"/>
      <c r="Y54" s="551">
        <f t="array" aca="1" ref="Y54" ca="1">IFERROR(
    INDEX(Хронология[Начало], MATCH(1, (Хронология[Ключ]=Планирование[[#This Row],[Ключ]]) * (Хронология[Подытог за операцию]=MIN(IF(Хронология[Ключ]=Планирование[[#This Row],[Ключ]], Хронология[Подытог за операцию]))), 0)),
    Z53
)</f>
        <v>46164.951899999942</v>
      </c>
      <c r="Z54" s="4">
        <f t="array" aca="1" ref="Z54" ca="1">MAX(IFERROR(
    INDEX(Хронология[Окончание], MATCH(1, (Хронология[Ключ]=Планирование[[#This Row],[Ключ]]) * (Хронология[Подытог за операцию]=MAX(IF(Хронология[Ключ]=Планирование[[#This Row],[Ключ]], Хронология[Подытог за операцию]))), 0)),
    Y54+AC54
), Планирование[[#This Row],[Начало (факт)]]+Планирование[[#This Row],[Сутки (факт)]])</f>
        <v>46164.989233333275</v>
      </c>
      <c r="AA54" s="233">
        <f ca="1">IF(AND(Планирование[[#This Row],[Начало (факт)]]=Y55, Планирование[[#This Row],[Забой, м (факт)]]=0), 0, Планирование[[#This Row],[Сутки (факт)]]*24)</f>
        <v>0.89600000000000013</v>
      </c>
      <c r="AB54" s="233">
        <f ca="1">Планирование[[#This Row],[Часы (факт)]]-Планирование[[#This Row],[НПВ за операцию, часы]]-Планирование[[#This Row],[ПНВ, часы]]</f>
        <v>0.89600000000000013</v>
      </c>
      <c r="AC54" s="5">
        <f t="array" aca="1" ref="AC54" ca="1">IFERROR(
  IF(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окончены",
    MAX(IF(Хронология[Ключ]=Планирование[[#This Row],[Ключ]], Хронология[Подытог за операцию])),
    IF(
      Планирование[[#This Row],[Событие]]="Мех. бурение",
      (MAX(Хронология[Окончание]) - Планирование[[#This Row],[Начало (факт)]]) +
      (Планирование[[#This Row],[Забой, м (план)]] - Планирование[[#This Row],[Забой, м (факт)]]) /
      ((Планирование[[#This Row],[Забой, м (план)]] - V53)/Планирование[[#This Row],[Сутки (план)]]),
      IF(
        AND(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продолжаются",
          Планирование[[#This Row],[Начало (факт)]]&gt;0
        ),
        (TODAY()-Планирование[[#This Row],[Начало (факт)]]),
        IF(
          AND(Планирование[[#This Row],[Начало (факт)]]=0,
            Планирование[[#This Row],[Начало (план)]] &gt; MAX(Хронология[Начало])),
          Планирование[[#This Row],[Сутки (план)]],
          IF(
            AND((TODAY()-Планирование[[#This Row],[Начало (план)]])&gt;1,
              ISERR(MATCH(Планирование[[#This Row],[Ключ]], Хронология[Ключ], 0))),
            0,
            Планирование[[#This Row],[Сутки (план)]]
          )
        )
      )
    )
  ),
  Планирование[[#This Row],[Сутки (план)]]
)</f>
        <v>3.7333333333333336E-2</v>
      </c>
      <c r="AD54" s="5">
        <f ca="1">Планирование[[#This Row],[Сутки (факт)]]</f>
        <v>3.7333333333333336E-2</v>
      </c>
      <c r="AE54" s="566">
        <f t="array" ref="AE54">MAX(IF(Хронология[Ключ]=Планирование[[#This Row],[Ключ]], Хронология[Забой, м]))</f>
        <v>0</v>
      </c>
      <c r="AF54" s="233">
        <f ca="1">IFERROR(
    SUMIFS(
        Хронология[Часы],
        Хронология[Результат], "НПВ: нет в ГГД",
        Хронология[Начало], "&gt;=" &amp; Планирование[[#This Row],[Начало (факт)]],
        Хронология[Окончание], "&lt;=" &amp; Планирование[[#This Row],[Конец (факт, прогноз)]]
    ),
    0
)</f>
        <v>0</v>
      </c>
      <c r="AG54" s="233">
        <f ca="1">IFERROR(
    SUMIFS(
        Хронология[Часы],
        Хронология[Результат], "НПВ: нет в ГГД",
        Хронология[Начало], "&gt;=" &amp; Планирование[[#This Row],[Конец (факт, прогноз)]],
        Хронология[Окончание], "&lt;=" &amp; Y55
    ),
    0
)</f>
        <v>0</v>
      </c>
      <c r="AH54" s="550">
        <f ca="1">ROUND(IF(Планирование[[#This Row],[Часы (факт)]]-Планирование[[#This Row],[НПВ за операцию, часы]]-Планирование[[#This Row],[Часы (план)]] &lt;0, 0, Планирование[[#This Row],[Часы (факт)]]-Планирование[[#This Row],[НПВ за операцию, часы]]-Планирование[[#This Row],[Часы (план)]]), 2)</f>
        <v>0</v>
      </c>
      <c r="AI54" s="567" t="s">
        <v>1060</v>
      </c>
      <c r="AJ54" s="568">
        <f ca="1">Планирование[[#This Row],[Конец (план)]]-Планирование[[#This Row],[Конец (факт, прогноз)]]</f>
        <v>-10.605783333274303</v>
      </c>
    </row>
    <row r="55" spans="1:36" ht="30" customHeight="1">
      <c r="A55" s="508" t="s">
        <v>521</v>
      </c>
      <c r="B55" s="577">
        <v>431</v>
      </c>
      <c r="C55" s="543"/>
      <c r="D55" s="585" t="s">
        <v>116</v>
      </c>
      <c r="E55" s="543" t="s">
        <v>58</v>
      </c>
      <c r="F55" s="543"/>
      <c r="G55" s="543" t="s">
        <v>120</v>
      </c>
      <c r="H55" s="543" t="s">
        <v>121</v>
      </c>
      <c r="I55" s="543" t="s">
        <v>92</v>
      </c>
      <c r="J55" s="543" t="s">
        <v>93</v>
      </c>
      <c r="K55" s="543"/>
      <c r="L55" s="9" t="str">
        <f>IF(Планирование[[#This Row],[Контекст простоя]]="Штатно", Планирование[[#This Row],[Скважина]] &amp; " " &amp; "ОК–" &amp;Планирование[[#This Row],[ОК]] &amp; " "  &amp; Планирование[[#This Row],[Этап]] &amp; " " &amp; Планирование[[#This Row],[Вид работ]] &amp; " " &amp; Планирование[[#This Row],[Объект работ]] &amp; " " &amp; Планирование[[#This Row],[Рейс]], Планирование[[#This Row],[Скважина]] &amp; " " &amp; "ОК–" &amp;Планирование[[#This Row],[ОК]] &amp; " " &amp; Планирование[[#This Row],[Этап]] &amp; " " &amp; Планирование[[#This Row],[Контекст простоя]] &amp; " " &amp; Планирование[[#This Row],[Событие]] &amp; " " &amp; Планирование[[#This Row],[Вид работ]] &amp; " " &amp; Планирование[[#This Row],[Объект работ]] &amp; " " &amp; Планирование[[#This Row],[Рейс]])</f>
        <v xml:space="preserve">431 ОК– Заканчивание Запуск в работу УЭЦН </v>
      </c>
      <c r="M55" s="551">
        <f>IF(Планирование[[#This Row],[Скважина]]&lt;&gt;B54, Планирование[[#This Row],[Начало (факт)]], N54)</f>
        <v>46154.383450000001</v>
      </c>
      <c r="N55" s="4">
        <f>Планирование[[#This Row],[Начало (цель)]]+Планирование[[#This Row],[Сутки (цель)]]</f>
        <v>46154.43011666667</v>
      </c>
      <c r="O55" s="233">
        <v>1.1200000000000001</v>
      </c>
      <c r="P55" s="233"/>
      <c r="Q55" s="5">
        <f>Планирование[[#This Row],[Часы (цель)]]/24</f>
        <v>4.6666666666666669E-2</v>
      </c>
      <c r="R55" s="5">
        <f>R54+Планирование[[#This Row],[Сутки (цель)]]</f>
        <v>8.0401166666666679</v>
      </c>
      <c r="S55" s="551">
        <f>Планирование[[#This Row],[Начало (цель)]]</f>
        <v>46154.383450000001</v>
      </c>
      <c r="T55" s="4">
        <f>Планирование[[#This Row],[Начало (план)]]+Планирование[[#This Row],[Сутки (план)]]</f>
        <v>46154.43011666667</v>
      </c>
      <c r="U55" s="233">
        <f>Планирование[[#This Row],[Часы (цель)]]</f>
        <v>1.1200000000000001</v>
      </c>
      <c r="V55" s="233">
        <f>Планирование[[#This Row],[Забой, м (цель)]]</f>
        <v>0</v>
      </c>
      <c r="W55" s="5">
        <f>Планирование[[#This Row],[Часы (план)]]/24</f>
        <v>4.6666666666666669E-2</v>
      </c>
      <c r="X55" s="5"/>
      <c r="Y55" s="551">
        <f t="array" aca="1" ref="Y55" ca="1">IFERROR(
    INDEX(Хронология[Начало], MATCH(1, (Хронология[Ключ]=Планирование[[#This Row],[Ключ]]) * (Хронология[Подытог за операцию]=MIN(IF(Хронология[Ключ]=Планирование[[#This Row],[Ключ]], Хронология[Подытог за операцию]))), 0)),
    Z54
)</f>
        <v>46164.989233333275</v>
      </c>
      <c r="Z55" s="4">
        <f t="array" aca="1" ref="Z55" ca="1">MAX(IFERROR(
    INDEX(Хронология[Окончание], MATCH(1, (Хронология[Ключ]=Планирование[[#This Row],[Ключ]]) * (Хронология[Подытог за операцию]=MAX(IF(Хронология[Ключ]=Планирование[[#This Row],[Ключ]], Хронология[Подытог за операцию]))), 0)),
    Y55+AC55
), Планирование[[#This Row],[Начало (факт)]]+Планирование[[#This Row],[Сутки (факт)]])</f>
        <v>46165.035899999944</v>
      </c>
      <c r="AA55" s="233">
        <f ca="1">IF(AND(Планирование[[#This Row],[Начало (факт)]]=Y56, Планирование[[#This Row],[Забой, м (факт)]]=0), 0, Планирование[[#This Row],[Сутки (факт)]]*24)</f>
        <v>1.1200000000000001</v>
      </c>
      <c r="AB55" s="233">
        <f ca="1">Планирование[[#This Row],[Часы (факт)]]-Планирование[[#This Row],[НПВ за операцию, часы]]-Планирование[[#This Row],[ПНВ, часы]]</f>
        <v>1.1200000000000001</v>
      </c>
      <c r="AC55" s="5">
        <f t="array" aca="1" ref="AC55" ca="1">IFERROR(
  IF(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окончены",
    MAX(IF(Хронология[Ключ]=Планирование[[#This Row],[Ключ]], Хронология[Подытог за операцию])),
    IF(
      Планирование[[#This Row],[Событие]]="Мех. бурение",
      (MAX(Хронология[Окончание]) - Планирование[[#This Row],[Начало (факт)]]) +
      (Планирование[[#This Row],[Забой, м (план)]] - Планирование[[#This Row],[Забой, м (факт)]]) /
      ((Планирование[[#This Row],[Забой, м (план)]] - V54)/Планирование[[#This Row],[Сутки (план)]]),
      IF(
        AND(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продолжаются",
          Планирование[[#This Row],[Начало (факт)]]&gt;0
        ),
        (TODAY()-Планирование[[#This Row],[Начало (факт)]]),
        IF(
          AND(Планирование[[#This Row],[Начало (факт)]]=0,
            Планирование[[#This Row],[Начало (план)]] &gt; MAX(Хронология[Начало])),
          Планирование[[#This Row],[Сутки (план)]],
          IF(
            AND((TODAY()-Планирование[[#This Row],[Начало (план)]])&gt;1,
              ISERR(MATCH(Планирование[[#This Row],[Ключ]], Хронология[Ключ], 0))),
            0,
            Планирование[[#This Row],[Сутки (план)]]
          )
        )
      )
    )
  ),
  Планирование[[#This Row],[Сутки (план)]]
)</f>
        <v>4.6666666666666669E-2</v>
      </c>
      <c r="AD55" s="5">
        <f ca="1">Планирование[[#This Row],[Сутки (факт)]]</f>
        <v>4.6666666666666669E-2</v>
      </c>
      <c r="AE55" s="566">
        <f t="array" ref="AE55">MAX(IF(Хронология[Ключ]=Планирование[[#This Row],[Ключ]], Хронология[Забой, м]))</f>
        <v>0</v>
      </c>
      <c r="AF55" s="233">
        <f ca="1">IFERROR(
    SUMIFS(
        Хронология[Часы],
        Хронология[Результат], "НПВ: нет в ГГД",
        Хронология[Начало], "&gt;=" &amp; Планирование[[#This Row],[Начало (факт)]],
        Хронология[Окончание], "&lt;=" &amp; Планирование[[#This Row],[Конец (факт, прогноз)]]
    ),
    0
)</f>
        <v>0</v>
      </c>
      <c r="AG55" s="233">
        <f ca="1">IFERROR(
    SUMIFS(
        Хронология[Часы],
        Хронология[Результат], "НПВ: нет в ГГД",
        Хронология[Начало], "&gt;=" &amp; Планирование[[#This Row],[Конец (факт, прогноз)]],
        Хронология[Окончание], "&lt;=" &amp; Y56
    ),
    0
)</f>
        <v>0</v>
      </c>
      <c r="AH55" s="550">
        <f ca="1">ROUND(IF(Планирование[[#This Row],[Часы (факт)]]-Планирование[[#This Row],[НПВ за операцию, часы]]-Планирование[[#This Row],[Часы (план)]] &lt;0, 0, Планирование[[#This Row],[Часы (факт)]]-Планирование[[#This Row],[НПВ за операцию, часы]]-Планирование[[#This Row],[Часы (план)]]), 2)</f>
        <v>0</v>
      </c>
      <c r="AI55" s="567" t="s">
        <v>1060</v>
      </c>
      <c r="AJ55" s="568">
        <f ca="1">Планирование[[#This Row],[Конец (план)]]-Планирование[[#This Row],[Конец (факт, прогноз)]]</f>
        <v>-10.605783333274303</v>
      </c>
    </row>
    <row r="56" spans="1:36" ht="30" customHeight="1">
      <c r="A56" s="508" t="s">
        <v>1097</v>
      </c>
      <c r="B56" s="577">
        <v>431</v>
      </c>
      <c r="C56" s="543"/>
      <c r="D56" s="585" t="s">
        <v>57</v>
      </c>
      <c r="E56" s="543" t="s">
        <v>58</v>
      </c>
      <c r="F56" s="543"/>
      <c r="G56" s="543" t="s">
        <v>69</v>
      </c>
      <c r="H56" s="543" t="s">
        <v>108</v>
      </c>
      <c r="I56" s="543" t="s">
        <v>61</v>
      </c>
      <c r="J56" s="543" t="s">
        <v>62</v>
      </c>
      <c r="K56" s="543"/>
      <c r="L56" s="9" t="str">
        <f>IF(Планирование[[#This Row],[Контекст простоя]]="Штатно", Планирование[[#This Row],[Скважина]] &amp; " " &amp; "ОК–" &amp;Планирование[[#This Row],[ОК]] &amp; " "  &amp; Планирование[[#This Row],[Этап]] &amp; " " &amp; Планирование[[#This Row],[Вид работ]] &amp; " " &amp; Планирование[[#This Row],[Объект работ]] &amp; " " &amp; Планирование[[#This Row],[Рейс]], Планирование[[#This Row],[Скважина]] &amp; " " &amp; "ОК–" &amp;Планирование[[#This Row],[ОК]] &amp; " " &amp; Планирование[[#This Row],[Этап]] &amp; " " &amp; Планирование[[#This Row],[Контекст простоя]] &amp; " " &amp; Планирование[[#This Row],[Событие]] &amp; " " &amp; Планирование[[#This Row],[Вид работ]] &amp; " " &amp; Планирование[[#This Row],[Объект работ]] &amp; " " &amp; Планирование[[#This Row],[Рейс]])</f>
        <v xml:space="preserve">431 ОК– ДПМ Демонтаж УПА </v>
      </c>
      <c r="M56" s="551">
        <f>IF(Планирование[[#This Row],[Скважина]]&lt;&gt;B55, Планирование[[#This Row],[Начало (факт)]], N55)</f>
        <v>46154.43011666667</v>
      </c>
      <c r="N56" s="4">
        <f>Планирование[[#This Row],[Начало (цель)]]+Планирование[[#This Row],[Сутки (цель)]]</f>
        <v>46154.649916666669</v>
      </c>
      <c r="O56" s="233">
        <v>5.2751999999999999</v>
      </c>
      <c r="P56" s="233"/>
      <c r="Q56" s="5">
        <f>Планирование[[#This Row],[Часы (цель)]]/24</f>
        <v>0.2198</v>
      </c>
      <c r="R56" s="5">
        <f>R55+Планирование[[#This Row],[Сутки (цель)]]</f>
        <v>8.2599166666666672</v>
      </c>
      <c r="S56" s="551">
        <f>Планирование[[#This Row],[Начало (цель)]]</f>
        <v>46154.43011666667</v>
      </c>
      <c r="T56" s="4">
        <f>Планирование[[#This Row],[Начало (план)]]+Планирование[[#This Row],[Сутки (план)]]</f>
        <v>46154.649916666669</v>
      </c>
      <c r="U56" s="233">
        <f>Планирование[[#This Row],[Часы (цель)]]</f>
        <v>5.2751999999999999</v>
      </c>
      <c r="V56" s="233">
        <f>Планирование[[#This Row],[Забой, м (цель)]]</f>
        <v>0</v>
      </c>
      <c r="W56" s="5">
        <f>Планирование[[#This Row],[Часы (план)]]/24</f>
        <v>0.2198</v>
      </c>
      <c r="X56" s="5"/>
      <c r="Y56" s="551">
        <f t="array" ref="Y56">IFERROR(
    INDEX(Хронология[Начало], MATCH(1, (Хронология[Ключ]=Планирование[[#This Row],[Ключ]]) * (Хронология[Подытог за операцию]=MIN(IF(Хронология[Ключ]=Планирование[[#This Row],[Ключ]], Хронология[Подытог за операцию]))), 0)),
    Z55
)</f>
        <v>46164.749999999942</v>
      </c>
      <c r="Z56" s="4">
        <f t="array" aca="1" ref="Z56" ca="1">MAX(IFERROR(
    INDEX(Хронология[Окончание], MATCH(1, (Хронология[Ключ]=Планирование[[#This Row],[Ключ]]) * (Хронология[Подытог за операцию]=MAX(IF(Хронология[Ключ]=Планирование[[#This Row],[Ключ]], Хронология[Подытог за операцию]))), 0)),
    Y56+AC56
), Планирование[[#This Row],[Начало (факт)]]+Планирование[[#This Row],[Сутки (факт)]])</f>
        <v>46164.999999999942</v>
      </c>
      <c r="AA56" s="233">
        <f ca="1">IF(AND(Планирование[[#This Row],[Начало (факт)]]=Y57, Планирование[[#This Row],[Забой, м (факт)]]=0), 0, Планирование[[#This Row],[Сутки (факт)]]*24)</f>
        <v>5.2751999999999999</v>
      </c>
      <c r="AB56" s="233">
        <f ca="1">Планирование[[#This Row],[Часы (факт)]]-Планирование[[#This Row],[НПВ за операцию, часы]]-Планирование[[#This Row],[ПНВ, часы]]</f>
        <v>5.2751999999999999</v>
      </c>
      <c r="AC56" s="5">
        <f t="array" aca="1" ref="AC56" ca="1">IFERROR(
  IF(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окончены",
    MAX(IF(Хронология[Ключ]=Планирование[[#This Row],[Ключ]], Хронология[Подытог за операцию])),
    IF(
      Планирование[[#This Row],[Событие]]="Мех. бурение",
      (MAX(Хронология[Окончание]) - Планирование[[#This Row],[Начало (факт)]]) +
      (Планирование[[#This Row],[Забой, м (план)]] - Планирование[[#This Row],[Забой, м (факт)]]) /
      ((Планирование[[#This Row],[Забой, м (план)]] - V55)/Планирование[[#This Row],[Сутки (план)]]),
      IF(
        AND(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продолжаются",
          Планирование[[#This Row],[Начало (факт)]]&gt;0
        ),
        (TODAY()-Планирование[[#This Row],[Начало (факт)]]),
        IF(
          AND(Планирование[[#This Row],[Начало (факт)]]=0,
            Планирование[[#This Row],[Начало (план)]] &gt; MAX(Хронология[Начало])),
          Планирование[[#This Row],[Сутки (план)]],
          IF(
            AND((TODAY()-Планирование[[#This Row],[Начало (план)]])&gt;1,
              ISERR(MATCH(Планирование[[#This Row],[Ключ]], Хронология[Ключ], 0))),
            0,
            Планирование[[#This Row],[Сутки (план)]]
          )
        )
      )
    )
  ),
  Планирование[[#This Row],[Сутки (план)]]
)</f>
        <v>0.2198</v>
      </c>
      <c r="AD56" s="5">
        <f ca="1">Планирование[[#This Row],[Сутки (факт)]]</f>
        <v>0.2198</v>
      </c>
      <c r="AE56" s="566">
        <f t="array" ref="AE56">MAX(IF(Хронология[Ключ]=Планирование[[#This Row],[Ключ]], Хронология[Забой, м]))</f>
        <v>0</v>
      </c>
      <c r="AF56" s="233">
        <f ca="1">IFERROR(
    SUMIFS(
        Хронология[Часы],
        Хронология[Результат], "НПВ: нет в ГГД",
        Хронология[Начало], "&gt;=" &amp; Планирование[[#This Row],[Начало (факт)]],
        Хронология[Окончание], "&lt;=" &amp; Планирование[[#This Row],[Конец (факт, прогноз)]]
    ),
    0
)</f>
        <v>0</v>
      </c>
      <c r="AG56" s="233">
        <f ca="1">IFERROR(
    SUMIFS(
        Хронология[Часы],
        Хронология[Результат], "НПВ: нет в ГГД",
        Хронология[Начало], "&gt;=" &amp; Планирование[[#This Row],[Конец (факт, прогноз)]],
        Хронология[Окончание], "&lt;=" &amp; Y57
    ),
    0
)</f>
        <v>0</v>
      </c>
      <c r="AH56" s="550">
        <f ca="1">ROUND(IF(Планирование[[#This Row],[Часы (факт)]]-Планирование[[#This Row],[НПВ за операцию, часы]]-Планирование[[#This Row],[Часы (план)]] &lt;0, 0, Планирование[[#This Row],[Часы (факт)]]-Планирование[[#This Row],[НПВ за операцию, часы]]-Планирование[[#This Row],[Часы (план)]]), 2)</f>
        <v>0</v>
      </c>
      <c r="AI56" s="567" t="s">
        <v>1060</v>
      </c>
      <c r="AJ56" s="568">
        <f ca="1">Планирование[[#This Row],[Конец (план)]]-Планирование[[#This Row],[Конец (факт, прогноз)]]</f>
        <v>-10.350083333272778</v>
      </c>
    </row>
    <row r="57" spans="1:36" ht="30" customHeight="1">
      <c r="A57" s="508" t="s">
        <v>1098</v>
      </c>
      <c r="B57" s="577">
        <v>431</v>
      </c>
      <c r="C57" s="543"/>
      <c r="D57" s="585" t="s">
        <v>57</v>
      </c>
      <c r="E57" s="543" t="s">
        <v>58</v>
      </c>
      <c r="F57" s="543"/>
      <c r="G57" s="543" t="s">
        <v>69</v>
      </c>
      <c r="H57" s="543" t="s">
        <v>108</v>
      </c>
      <c r="I57" s="543" t="s">
        <v>61</v>
      </c>
      <c r="J57" s="543" t="s">
        <v>71</v>
      </c>
      <c r="K57" s="543"/>
      <c r="L57" s="9" t="str">
        <f>IF(Планирование[[#This Row],[Контекст простоя]]="Штатно", Планирование[[#This Row],[Скважина]] &amp; " " &amp; "ОК–" &amp;Планирование[[#This Row],[ОК]] &amp; " "  &amp; Планирование[[#This Row],[Этап]] &amp; " " &amp; Планирование[[#This Row],[Вид работ]] &amp; " " &amp; Планирование[[#This Row],[Объект работ]] &amp; " " &amp; Планирование[[#This Row],[Рейс]], Планирование[[#This Row],[Скважина]] &amp; " " &amp; "ОК–" &amp;Планирование[[#This Row],[ОК]] &amp; " " &amp; Планирование[[#This Row],[Этап]] &amp; " " &amp; Планирование[[#This Row],[Контекст простоя]] &amp; " " &amp; Планирование[[#This Row],[Событие]] &amp; " " &amp; Планирование[[#This Row],[Вид работ]] &amp; " " &amp; Планирование[[#This Row],[Объект работ]] &amp; " " &amp; Планирование[[#This Row],[Рейс]])</f>
        <v xml:space="preserve">431 ОК– ДПМ Демонтаж БО </v>
      </c>
      <c r="M57" s="551">
        <f>IF(Планирование[[#This Row],[Скважина]]&lt;&gt;B56, Планирование[[#This Row],[Начало (факт)]], N56)</f>
        <v>46154.649916666669</v>
      </c>
      <c r="N57" s="4">
        <f>Планирование[[#This Row],[Начало (цель)]]+Планирование[[#This Row],[Сутки (цель)]]</f>
        <v>46154.783600000002</v>
      </c>
      <c r="O57" s="233">
        <v>3.2084000000000001</v>
      </c>
      <c r="P57" s="233"/>
      <c r="Q57" s="5">
        <f>Планирование[[#This Row],[Часы (цель)]]/24</f>
        <v>0.13368333333333335</v>
      </c>
      <c r="R57" s="5">
        <f>R56+Планирование[[#This Row],[Сутки (цель)]]</f>
        <v>8.3936000000000011</v>
      </c>
      <c r="S57" s="551">
        <f>Планирование[[#This Row],[Начало (цель)]]</f>
        <v>46154.649916666669</v>
      </c>
      <c r="T57" s="4">
        <f>Планирование[[#This Row],[Начало (план)]]+Планирование[[#This Row],[Сутки (план)]]</f>
        <v>46154.783600000002</v>
      </c>
      <c r="U57" s="233">
        <f>Планирование[[#This Row],[Часы (цель)]]</f>
        <v>3.2084000000000001</v>
      </c>
      <c r="V57" s="233">
        <f>Планирование[[#This Row],[Забой, м (цель)]]</f>
        <v>0</v>
      </c>
      <c r="W57" s="5">
        <f>Планирование[[#This Row],[Часы (план)]]/24</f>
        <v>0.13368333333333335</v>
      </c>
      <c r="X57" s="5"/>
      <c r="Y57" s="551">
        <f t="array" aca="1" ref="Y57" ca="1">IFERROR(
    INDEX(Хронология[Начало], MATCH(1, (Хронология[Ключ]=Планирование[[#This Row],[Ключ]]) * (Хронология[Подытог за операцию]=MIN(IF(Хронология[Ключ]=Планирование[[#This Row],[Ключ]], Хронология[Подытог за операцию]))), 0)),
    Z56
)</f>
        <v>46164.999999999942</v>
      </c>
      <c r="Z57" s="4">
        <f t="array" aca="1" ref="Z57" ca="1">MAX(IFERROR(
    INDEX(Хронология[Окончание], MATCH(1, (Хронология[Ключ]=Планирование[[#This Row],[Ключ]]) * (Хронология[Подытог за операцию]=MAX(IF(Хронология[Ключ]=Планирование[[#This Row],[Ключ]], Хронология[Подытог за операцию]))), 0)),
    Y57+AC57
), Планирование[[#This Row],[Начало (факт)]]+Планирование[[#This Row],[Сутки (факт)]])</f>
        <v>46165.133683333275</v>
      </c>
      <c r="AA57" s="233">
        <f ca="1">IF(AND(Планирование[[#This Row],[Начало (факт)]]=Y58, Планирование[[#This Row],[Забой, м (факт)]]=0), 0, Планирование[[#This Row],[Сутки (факт)]]*24)</f>
        <v>3.2084000000000001</v>
      </c>
      <c r="AB57" s="233">
        <f ca="1">Планирование[[#This Row],[Часы (факт)]]-Планирование[[#This Row],[НПВ за операцию, часы]]-Планирование[[#This Row],[ПНВ, часы]]</f>
        <v>3.2084000000000001</v>
      </c>
      <c r="AC57" s="5">
        <f t="array" aca="1" ref="AC57" ca="1">IFERROR(
  IF(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окончены",
    MAX(IF(Хронология[Ключ]=Планирование[[#This Row],[Ключ]], Хронология[Подытог за операцию])),
    IF(
      Планирование[[#This Row],[Событие]]="Мех. бурение",
      (MAX(Хронология[Окончание]) - Планирование[[#This Row],[Начало (факт)]]) +
      (Планирование[[#This Row],[Забой, м (план)]] - Планирование[[#This Row],[Забой, м (факт)]]) /
      ((Планирование[[#This Row],[Забой, м (план)]] - V56)/Планирование[[#This Row],[Сутки (план)]]),
      IF(
        AND(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продолжаются",
          Планирование[[#This Row],[Начало (факт)]]&gt;0
        ),
        (TODAY()-Планирование[[#This Row],[Начало (факт)]]),
        IF(
          AND(Планирование[[#This Row],[Начало (факт)]]=0,
            Планирование[[#This Row],[Начало (план)]] &gt; MAX(Хронология[Начало])),
          Планирование[[#This Row],[Сутки (план)]],
          IF(
            AND((TODAY()-Планирование[[#This Row],[Начало (план)]])&gt;1,
              ISERR(MATCH(Планирование[[#This Row],[Ключ]], Хронология[Ключ], 0))),
            0,
            Планирование[[#This Row],[Сутки (план)]]
          )
        )
      )
    )
  ),
  Планирование[[#This Row],[Сутки (план)]]
)</f>
        <v>0.13368333333333335</v>
      </c>
      <c r="AD57" s="5">
        <f ca="1">Планирование[[#This Row],[Сутки (факт)]]</f>
        <v>0.13368333333333335</v>
      </c>
      <c r="AE57" s="566">
        <f t="array" ref="AE57">MAX(IF(Хронология[Ключ]=Планирование[[#This Row],[Ключ]], Хронология[Забой, м]))</f>
        <v>0</v>
      </c>
      <c r="AF57" s="233">
        <f ca="1">IFERROR(
    SUMIFS(
        Хронология[Часы],
        Хронология[Результат], "НПВ: нет в ГГД",
        Хронология[Начало], "&gt;=" &amp; Планирование[[#This Row],[Начало (факт)]],
        Хронология[Окончание], "&lt;=" &amp; Планирование[[#This Row],[Конец (факт, прогноз)]]
    ),
    0
)</f>
        <v>0</v>
      </c>
      <c r="AG57" s="233">
        <f ca="1">IFERROR(
    SUMIFS(
        Хронология[Часы],
        Хронология[Результат], "НПВ: нет в ГГД",
        Хронология[Начало], "&gt;=" &amp; Планирование[[#This Row],[Конец (факт, прогноз)]],
        Хронология[Окончание], "&lt;=" &amp; Y58
    ),
    0
)</f>
        <v>0</v>
      </c>
      <c r="AH57" s="550">
        <f ca="1">ROUND(IF(Планирование[[#This Row],[Часы (факт)]]-Планирование[[#This Row],[НПВ за операцию, часы]]-Планирование[[#This Row],[Часы (план)]] &lt;0, 0, Планирование[[#This Row],[Часы (факт)]]-Планирование[[#This Row],[НПВ за операцию, часы]]-Планирование[[#This Row],[Часы (план)]]), 2)</f>
        <v>0</v>
      </c>
      <c r="AI57" s="567" t="s">
        <v>1060</v>
      </c>
      <c r="AJ57" s="568">
        <f ca="1">Планирование[[#This Row],[Конец (план)]]-Планирование[[#This Row],[Конец (факт, прогноз)]]</f>
        <v>-10.350083333272778</v>
      </c>
    </row>
    <row r="58" spans="1:36" ht="30" customHeight="1">
      <c r="A58" s="508" t="s">
        <v>495</v>
      </c>
      <c r="B58" s="577">
        <v>851</v>
      </c>
      <c r="C58" s="543"/>
      <c r="D58" s="585" t="s">
        <v>57</v>
      </c>
      <c r="E58" s="543" t="s">
        <v>58</v>
      </c>
      <c r="F58" s="543"/>
      <c r="G58" s="543" t="s">
        <v>59</v>
      </c>
      <c r="H58" s="543" t="s">
        <v>60</v>
      </c>
      <c r="I58" s="543" t="s">
        <v>61</v>
      </c>
      <c r="J58" s="543" t="s">
        <v>62</v>
      </c>
      <c r="K58" s="543"/>
      <c r="L58" s="9" t="str">
        <f>IF(Планирование[[#This Row],[Контекст простоя]]="Штатно", Планирование[[#This Row],[Скважина]] &amp; " " &amp; "ОК–" &amp;Планирование[[#This Row],[ОК]] &amp; " "  &amp; Планирование[[#This Row],[Этап]] &amp; " " &amp; Планирование[[#This Row],[Вид работ]] &amp; " " &amp; Планирование[[#This Row],[Объект работ]] &amp; " " &amp; Планирование[[#This Row],[Рейс]], Планирование[[#This Row],[Скважина]] &amp; " " &amp; "ОК–" &amp;Планирование[[#This Row],[ОК]] &amp; " " &amp; Планирование[[#This Row],[Этап]] &amp; " " &amp; Планирование[[#This Row],[Контекст простоя]] &amp; " " &amp; Планирование[[#This Row],[Событие]] &amp; " " &amp; Планирование[[#This Row],[Вид работ]] &amp; " " &amp; Планирование[[#This Row],[Объект работ]] &amp; " " &amp; Планирование[[#This Row],[Рейс]])</f>
        <v xml:space="preserve">851 ОК– ДПМ Передвижка УПА </v>
      </c>
      <c r="M58" s="551">
        <f>IF(Планирование[[#This Row],[Скважина]]&lt;&gt;B57, Планирование[[#This Row],[Начало (факт)]], N57)</f>
        <v>46166.187499999942</v>
      </c>
      <c r="N58" s="4">
        <f>Планирование[[#This Row],[Начало (цель)]]+Планирование[[#This Row],[Сутки (цель)]]</f>
        <v>46166.223749999939</v>
      </c>
      <c r="O58" s="233">
        <v>0.87</v>
      </c>
      <c r="P58" s="233"/>
      <c r="Q58" s="5">
        <f>Планирование[[#This Row],[Часы (цель)]]/24</f>
        <v>3.6249999999999998E-2</v>
      </c>
      <c r="R58" s="5">
        <f>R57+Планирование[[#This Row],[Сутки (цель)]]</f>
        <v>8.4298500000000018</v>
      </c>
      <c r="S58" s="551">
        <f>Планирование[[#This Row],[Начало (цель)]]</f>
        <v>46166.187499999942</v>
      </c>
      <c r="T58" s="4">
        <f>Планирование[[#This Row],[Начало (план)]]+Планирование[[#This Row],[Сутки (план)]]</f>
        <v>46166.223749999939</v>
      </c>
      <c r="U58" s="233">
        <f>Планирование[[#This Row],[Часы (цель)]]</f>
        <v>0.87</v>
      </c>
      <c r="V58" s="233">
        <f>Планирование[[#This Row],[Забой, м (цель)]]</f>
        <v>0</v>
      </c>
      <c r="W58" s="5">
        <f>Планирование[[#This Row],[Часы (план)]]/24</f>
        <v>3.6249999999999998E-2</v>
      </c>
      <c r="X58" s="5"/>
      <c r="Y58" s="551">
        <f t="array" ref="Y58">IFERROR(
    INDEX(Хронология[Начало], MATCH(1, (Хронология[Ключ]=Планирование[[#This Row],[Ключ]]) * (Хронология[Подытог за операцию]=MIN(IF(Хронология[Ключ]=Планирование[[#This Row],[Ключ]], Хронология[Подытог за операцию]))), 0)),
    Z57
)</f>
        <v>46166.187499999942</v>
      </c>
      <c r="Z58" s="4">
        <f t="array" aca="1" ref="Z58" ca="1">MAX(IFERROR(
    INDEX(Хронология[Окончание], MATCH(1, (Хронология[Ключ]=Планирование[[#This Row],[Ключ]]) * (Хронология[Подытог за операцию]=MAX(IF(Хронология[Ключ]=Планирование[[#This Row],[Ключ]], Хронология[Подытог за операцию]))), 0)),
    Y58+AC58
), Планирование[[#This Row],[Начало (факт)]]+Планирование[[#This Row],[Сутки (факт)]])</f>
        <v>46166.333333333278</v>
      </c>
      <c r="AA58" s="233">
        <f ca="1">IF(AND(Планирование[[#This Row],[Начало (факт)]]=Y59, Планирование[[#This Row],[Забой, м (факт)]]=0), 0, Планирование[[#This Row],[Сутки (факт)]]*24)</f>
        <v>0.86999999999999988</v>
      </c>
      <c r="AB58" s="233">
        <f ca="1">Планирование[[#This Row],[Часы (факт)]]-Планирование[[#This Row],[НПВ за операцию, часы]]-Планирование[[#This Row],[ПНВ, часы]]</f>
        <v>0.86999999999999988</v>
      </c>
      <c r="AC58" s="5">
        <f t="array" aca="1" ref="AC58" ca="1">IFERROR(
  IF(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окончены",
    MAX(IF(Хронология[Ключ]=Планирование[[#This Row],[Ключ]], Хронология[Подытог за операцию])),
    IF(
      Планирование[[#This Row],[Событие]]="Мех. бурение",
      (MAX(Хронология[Окончание]) - Планирование[[#This Row],[Начало (факт)]]) +
      (Планирование[[#This Row],[Забой, м (план)]] - Планирование[[#This Row],[Забой, м (факт)]]) /
      ((Планирование[[#This Row],[Забой, м (план)]] - V57)/Планирование[[#This Row],[Сутки (план)]]),
      IF(
        AND(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продолжаются",
          Планирование[[#This Row],[Начало (факт)]]&gt;0
        ),
        (TODAY()-Планирование[[#This Row],[Начало (факт)]]),
        IF(
          AND(Планирование[[#This Row],[Начало (факт)]]=0,
            Планирование[[#This Row],[Начало (план)]] &gt; MAX(Хронология[Начало])),
          Планирование[[#This Row],[Сутки (план)]],
          IF(
            AND((TODAY()-Планирование[[#This Row],[Начало (план)]])&gt;1,
              ISERR(MATCH(Планирование[[#This Row],[Ключ]], Хронология[Ключ], 0))),
            0,
            Планирование[[#This Row],[Сутки (план)]]
          )
        )
      )
    )
  ),
  Планирование[[#This Row],[Сутки (план)]]
)</f>
        <v>3.6249999999999998E-2</v>
      </c>
      <c r="AD58" s="5">
        <f ca="1">Планирование[[#This Row],[Сутки (факт)]]</f>
        <v>3.6249999999999998E-2</v>
      </c>
      <c r="AE58" s="566">
        <f t="array" ref="AE58">MAX(IF(Хронология[Ключ]=Планирование[[#This Row],[Ключ]], Хронология[Забой, м]))</f>
        <v>0</v>
      </c>
      <c r="AF58" s="233">
        <f ca="1">IFERROR(
    SUMIFS(
        Хронология[Часы],
        Хронология[Результат], "НПВ: нет в ГГД",
        Хронология[Начало], "&gt;=" &amp; Планирование[[#This Row],[Начало (факт)]],
        Хронология[Окончание], "&lt;=" &amp; Планирование[[#This Row],[Конец (факт, прогноз)]]
    ),
    0
)</f>
        <v>0</v>
      </c>
      <c r="AG58" s="233">
        <f ca="1">IFERROR(
    SUMIFS(
        Хронология[Часы],
        Хронология[Результат], "НПВ: нет в ГГД",
        Хронология[Начало], "&gt;=" &amp; Планирование[[#This Row],[Конец (факт, прогноз)]],
        Хронология[Окончание], "&lt;=" &amp; Y59
    ),
    0
)</f>
        <v>0</v>
      </c>
      <c r="AH58" s="550">
        <f ca="1">ROUND(IF(Планирование[[#This Row],[Часы (факт)]]-Планирование[[#This Row],[НПВ за операцию, часы]]-Планирование[[#This Row],[Часы (план)]] &lt;0, 0, Планирование[[#This Row],[Часы (факт)]]-Планирование[[#This Row],[НПВ за операцию, часы]]-Планирование[[#This Row],[Часы (план)]]), 2)</f>
        <v>0</v>
      </c>
      <c r="AI58" s="567" t="s">
        <v>1060</v>
      </c>
      <c r="AJ58" s="568">
        <f ca="1">Планирование[[#This Row],[Конец (план)]]-Планирование[[#This Row],[Конец (факт, прогноз)]]</f>
        <v>-0.109583333338378</v>
      </c>
    </row>
    <row r="59" spans="1:36" ht="30" customHeight="1">
      <c r="A59" s="508" t="s">
        <v>496</v>
      </c>
      <c r="B59" s="577">
        <v>851</v>
      </c>
      <c r="C59" s="543"/>
      <c r="D59" s="585" t="s">
        <v>57</v>
      </c>
      <c r="E59" s="543" t="s">
        <v>58</v>
      </c>
      <c r="F59" s="543"/>
      <c r="G59" s="543" t="s">
        <v>69</v>
      </c>
      <c r="H59" s="543" t="s">
        <v>70</v>
      </c>
      <c r="I59" s="543" t="s">
        <v>61</v>
      </c>
      <c r="J59" s="543" t="s">
        <v>71</v>
      </c>
      <c r="K59" s="543"/>
      <c r="L59" s="9" t="str">
        <f>IF(Планирование[[#This Row],[Контекст простоя]]="Штатно", Планирование[[#This Row],[Скважина]] &amp; " " &amp; "ОК–" &amp;Планирование[[#This Row],[ОК]] &amp; " "  &amp; Планирование[[#This Row],[Этап]] &amp; " " &amp; Планирование[[#This Row],[Вид работ]] &amp; " " &amp; Планирование[[#This Row],[Объект работ]] &amp; " " &amp; Планирование[[#This Row],[Рейс]], Планирование[[#This Row],[Скважина]] &amp; " " &amp; "ОК–" &amp;Планирование[[#This Row],[ОК]] &amp; " " &amp; Планирование[[#This Row],[Этап]] &amp; " " &amp; Планирование[[#This Row],[Контекст простоя]] &amp; " " &amp; Планирование[[#This Row],[Событие]] &amp; " " &amp; Планирование[[#This Row],[Вид работ]] &amp; " " &amp; Планирование[[#This Row],[Объект работ]] &amp; " " &amp; Планирование[[#This Row],[Рейс]])</f>
        <v xml:space="preserve">851 ОК– ДПМ Монтаж БО </v>
      </c>
      <c r="M59" s="551">
        <f>IF(Планирование[[#This Row],[Скважина]]&lt;&gt;B58, Планирование[[#This Row],[Начало (факт)]], N58)</f>
        <v>46166.223749999939</v>
      </c>
      <c r="N59" s="4">
        <f>Планирование[[#This Row],[Начало (цель)]]+Планирование[[#This Row],[Сутки (цель)]]</f>
        <v>46166.345416666605</v>
      </c>
      <c r="O59" s="233">
        <v>2.92</v>
      </c>
      <c r="P59" s="233"/>
      <c r="Q59" s="5">
        <f>Планирование[[#This Row],[Часы (цель)]]/24</f>
        <v>0.12166666666666666</v>
      </c>
      <c r="R59" s="5">
        <f>R58+Планирование[[#This Row],[Сутки (цель)]]</f>
        <v>8.551516666666668</v>
      </c>
      <c r="S59" s="551">
        <f>Планирование[[#This Row],[Начало (цель)]]</f>
        <v>46166.223749999939</v>
      </c>
      <c r="T59" s="4">
        <f>Планирование[[#This Row],[Начало (план)]]+Планирование[[#This Row],[Сутки (план)]]</f>
        <v>46166.345416666605</v>
      </c>
      <c r="U59" s="233">
        <f>Планирование[[#This Row],[Часы (цель)]]</f>
        <v>2.92</v>
      </c>
      <c r="V59" s="233">
        <f>Планирование[[#This Row],[Забой, м (цель)]]</f>
        <v>0</v>
      </c>
      <c r="W59" s="5">
        <f>Планирование[[#This Row],[Часы (план)]]/24</f>
        <v>0.12166666666666666</v>
      </c>
      <c r="X59" s="5"/>
      <c r="Y59" s="551">
        <f t="array" aca="1" ref="Y59" ca="1">IFERROR(
    INDEX(Хронология[Начало], MATCH(1, (Хронология[Ключ]=Планирование[[#This Row],[Ключ]]) * (Хронология[Подытог за операцию]=MIN(IF(Хронология[Ключ]=Планирование[[#This Row],[Ключ]], Хронология[Подытог за операцию]))), 0)),
    Z58
)</f>
        <v>46166.333333333278</v>
      </c>
      <c r="Z59" s="4">
        <f t="array" aca="1" ref="Z59" ca="1">MAX(IFERROR(
    INDEX(Хронология[Окончание], MATCH(1, (Хронология[Ключ]=Планирование[[#This Row],[Ключ]]) * (Хронология[Подытог за операцию]=MAX(IF(Хронология[Ключ]=Планирование[[#This Row],[Ключ]], Хронология[Подытог за операцию]))), 0)),
    Y59+AC59
), Планирование[[#This Row],[Начало (факт)]]+Планирование[[#This Row],[Сутки (факт)]])</f>
        <v>46166.454999999944</v>
      </c>
      <c r="AA59" s="233">
        <f ca="1">IF(AND(Планирование[[#This Row],[Начало (факт)]]=Y60, Планирование[[#This Row],[Забой, м (факт)]]=0), 0, Планирование[[#This Row],[Сутки (факт)]]*24)</f>
        <v>0</v>
      </c>
      <c r="AB59" s="233">
        <f ca="1">Планирование[[#This Row],[Часы (факт)]]-Планирование[[#This Row],[НПВ за операцию, часы]]-Планирование[[#This Row],[ПНВ, часы]]</f>
        <v>0</v>
      </c>
      <c r="AC59" s="5">
        <f t="array" aca="1" ref="AC59" ca="1">IFERROR(
  IF(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окончены",
    MAX(IF(Хронология[Ключ]=Планирование[[#This Row],[Ключ]], Хронология[Подытог за операцию])),
    IF(
      Планирование[[#This Row],[Событие]]="Мех. бурение",
      (MAX(Хронология[Окончание]) - Планирование[[#This Row],[Начало (факт)]]) +
      (Планирование[[#This Row],[Забой, м (план)]] - Планирование[[#This Row],[Забой, м (факт)]]) /
      ((Планирование[[#This Row],[Забой, м (план)]] - V58)/Планирование[[#This Row],[Сутки (план)]]),
      IF(
        AND(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продолжаются",
          Планирование[[#This Row],[Начало (факт)]]&gt;0
        ),
        (TODAY()-Планирование[[#This Row],[Начало (факт)]]),
        IF(
          AND(Планирование[[#This Row],[Начало (факт)]]=0,
            Планирование[[#This Row],[Начало (план)]] &gt; MAX(Хронология[Начало])),
          Планирование[[#This Row],[Сутки (план)]],
          IF(
            AND((TODAY()-Планирование[[#This Row],[Начало (план)]])&gt;1,
              ISERR(MATCH(Планирование[[#This Row],[Ключ]], Хронология[Ключ], 0))),
            0,
            Планирование[[#This Row],[Сутки (план)]]
          )
        )
      )
    )
  ),
  Планирование[[#This Row],[Сутки (план)]]
)</f>
        <v>0.12166666666666666</v>
      </c>
      <c r="AD59" s="5">
        <f ca="1">Планирование[[#This Row],[Сутки (факт)]]</f>
        <v>0.12166666666666666</v>
      </c>
      <c r="AE59" s="566">
        <f t="array" ref="AE59">MAX(IF(Хронология[Ключ]=Планирование[[#This Row],[Ключ]], Хронология[Забой, м]))</f>
        <v>0</v>
      </c>
      <c r="AF59" s="233">
        <f ca="1">IFERROR(
    SUMIFS(
        Хронология[Часы],
        Хронология[Результат], "НПВ: нет в ГГД",
        Хронология[Начало], "&gt;=" &amp; Планирование[[#This Row],[Начало (факт)]],
        Хронология[Окончание], "&lt;=" &amp; Планирование[[#This Row],[Конец (факт, прогноз)]]
    ),
    0
)</f>
        <v>0</v>
      </c>
      <c r="AG59" s="233">
        <f ca="1">IFERROR(
    SUMIFS(
        Хронология[Часы],
        Хронология[Результат], "НПВ: нет в ГГД",
        Хронология[Начало], "&gt;=" &amp; Планирование[[#This Row],[Конец (факт, прогноз)]],
        Хронология[Окончание], "&lt;=" &amp; Y60
    ),
    0
)</f>
        <v>0</v>
      </c>
      <c r="AH59" s="550">
        <f ca="1">ROUND(IF(Планирование[[#This Row],[Часы (факт)]]-Планирование[[#This Row],[НПВ за операцию, часы]]-Планирование[[#This Row],[Часы (план)]] &lt;0, 0, Планирование[[#This Row],[Часы (факт)]]-Планирование[[#This Row],[НПВ за операцию, часы]]-Планирование[[#This Row],[Часы (план)]]), 2)</f>
        <v>0</v>
      </c>
      <c r="AI59" s="567" t="s">
        <v>1060</v>
      </c>
      <c r="AJ59" s="568">
        <f ca="1">Планирование[[#This Row],[Конец (план)]]-Планирование[[#This Row],[Конец (факт, прогноз)]]</f>
        <v>-0.109583333338378</v>
      </c>
    </row>
    <row r="60" spans="1:36" ht="30" customHeight="1">
      <c r="A60" s="508" t="s">
        <v>497</v>
      </c>
      <c r="B60" s="577">
        <v>851</v>
      </c>
      <c r="C60" s="543"/>
      <c r="D60" s="585" t="s">
        <v>59</v>
      </c>
      <c r="E60" s="543" t="s">
        <v>58</v>
      </c>
      <c r="F60" s="543"/>
      <c r="G60" s="543" t="s">
        <v>78</v>
      </c>
      <c r="H60" s="543" t="s">
        <v>136</v>
      </c>
      <c r="I60" s="543" t="s">
        <v>137</v>
      </c>
      <c r="J60" s="543" t="s">
        <v>138</v>
      </c>
      <c r="K60" s="543"/>
      <c r="L60" s="9" t="str">
        <f>IF(Планирование[[#This Row],[Контекст простоя]]="Штатно", Планирование[[#This Row],[Скважина]] &amp; " " &amp; "ОК–" &amp;Планирование[[#This Row],[ОК]] &amp; " "  &amp; Планирование[[#This Row],[Этап]] &amp; " " &amp; Планирование[[#This Row],[Вид работ]] &amp; " " &amp; Планирование[[#This Row],[Объект работ]] &amp; " " &amp; Планирование[[#This Row],[Рейс]], Планирование[[#This Row],[Скважина]] &amp; " " &amp; "ОК–" &amp;Планирование[[#This Row],[ОК]] &amp; " " &amp; Планирование[[#This Row],[Этап]] &amp; " " &amp; Планирование[[#This Row],[Контекст простоя]] &amp; " " &amp; Планирование[[#This Row],[Событие]] &amp; " " &amp; Планирование[[#This Row],[Вид работ]] &amp; " " &amp; Планирование[[#This Row],[Объект работ]] &amp; " " &amp; Планирование[[#This Row],[Рейс]])</f>
        <v xml:space="preserve">851 ОК– ПР Завоз Тех. вода </v>
      </c>
      <c r="M60" s="551">
        <f>IF(Планирование[[#This Row],[Скважина]]&lt;&gt;B59, Планирование[[#This Row],[Начало (факт)]], N59)</f>
        <v>46166.345416666605</v>
      </c>
      <c r="N60" s="4">
        <f>Планирование[[#This Row],[Начало (цель)]]+Планирование[[#This Row],[Сутки (цель)]]</f>
        <v>46166.77124999994</v>
      </c>
      <c r="O60" s="233">
        <v>10.220000000000001</v>
      </c>
      <c r="P60" s="233"/>
      <c r="Q60" s="5">
        <f>Планирование[[#This Row],[Часы (цель)]]/24</f>
        <v>0.42583333333333334</v>
      </c>
      <c r="R60" s="5">
        <f>R59+Планирование[[#This Row],[Сутки (цель)]]</f>
        <v>8.9773500000000013</v>
      </c>
      <c r="S60" s="551">
        <f>Планирование[[#This Row],[Начало (цель)]]</f>
        <v>46166.345416666605</v>
      </c>
      <c r="T60" s="4">
        <f>Планирование[[#This Row],[Начало (план)]]+Планирование[[#This Row],[Сутки (план)]]</f>
        <v>46166.77124999994</v>
      </c>
      <c r="U60" s="233">
        <f>Планирование[[#This Row],[Часы (цель)]]</f>
        <v>10.220000000000001</v>
      </c>
      <c r="V60" s="233">
        <f>Планирование[[#This Row],[Забой, м (цель)]]</f>
        <v>0</v>
      </c>
      <c r="W60" s="5">
        <f>Планирование[[#This Row],[Часы (план)]]/24</f>
        <v>0.42583333333333334</v>
      </c>
      <c r="X60" s="5"/>
      <c r="Y60" s="551">
        <f t="array" ref="Y60">IFERROR(
    INDEX(Хронология[Начало], MATCH(1, (Хронология[Ключ]=Планирование[[#This Row],[Ключ]]) * (Хронология[Подытог за операцию]=MIN(IF(Хронология[Ключ]=Планирование[[#This Row],[Ключ]], Хронология[Подытог за операцию]))), 0)),
    Z59
)</f>
        <v>46166.333333333278</v>
      </c>
      <c r="Z60" s="4">
        <f t="array" aca="1" ref="Z60" ca="1">MAX(IFERROR(
    INDEX(Хронология[Окончание], MATCH(1, (Хронология[Ключ]=Планирование[[#This Row],[Ключ]]) * (Хронология[Подытог за операцию]=MAX(IF(Хронология[Ключ]=Планирование[[#This Row],[Ключ]], Хронология[Подытог за операцию]))), 0)),
    Y60+AC60
), Планирование[[#This Row],[Начало (факт)]]+Планирование[[#This Row],[Сутки (факт)]])</f>
        <v>46166.759166666612</v>
      </c>
      <c r="AA60" s="233">
        <f ca="1">IF(AND(Планирование[[#This Row],[Начало (факт)]]=Y61, Планирование[[#This Row],[Забой, м (факт)]]=0), 0, Планирование[[#This Row],[Сутки (факт)]]*24)</f>
        <v>10.220000000000001</v>
      </c>
      <c r="AB60" s="233">
        <f ca="1">Планирование[[#This Row],[Часы (факт)]]-Планирование[[#This Row],[НПВ за операцию, часы]]-Планирование[[#This Row],[ПНВ, часы]]</f>
        <v>10.220000000000001</v>
      </c>
      <c r="AC60" s="5">
        <f t="array" aca="1" ref="AC60" ca="1">IFERROR(
  IF(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окончены",
    MAX(IF(Хронология[Ключ]=Планирование[[#This Row],[Ключ]], Хронология[Подытог за операцию])),
    IF(
      Планирование[[#This Row],[Событие]]="Мех. бурение",
      (MAX(Хронология[Окончание]) - Планирование[[#This Row],[Начало (факт)]]) +
      (Планирование[[#This Row],[Забой, м (план)]] - Планирование[[#This Row],[Забой, м (факт)]]) /
      ((Планирование[[#This Row],[Забой, м (план)]] - V59)/Планирование[[#This Row],[Сутки (план)]]),
      IF(
        AND(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продолжаются",
          Планирование[[#This Row],[Начало (факт)]]&gt;0
        ),
        (TODAY()-Планирование[[#This Row],[Начало (факт)]]),
        IF(
          AND(Планирование[[#This Row],[Начало (факт)]]=0,
            Планирование[[#This Row],[Начало (план)]] &gt; MAX(Хронология[Начало])),
          Планирование[[#This Row],[Сутки (план)]],
          IF(
            AND((TODAY()-Планирование[[#This Row],[Начало (план)]])&gt;1,
              ISERR(MATCH(Планирование[[#This Row],[Ключ]], Хронология[Ключ], 0))),
            0,
            Планирование[[#This Row],[Сутки (план)]]
          )
        )
      )
    )
  ),
  Планирование[[#This Row],[Сутки (план)]]
)</f>
        <v>0.42583333333333334</v>
      </c>
      <c r="AD60" s="5">
        <f ca="1">Планирование[[#This Row],[Сутки (факт)]]</f>
        <v>0.42583333333333334</v>
      </c>
      <c r="AE60" s="566">
        <f t="array" ref="AE60">MAX(IF(Хронология[Ключ]=Планирование[[#This Row],[Ключ]], Хронология[Забой, м]))</f>
        <v>0</v>
      </c>
      <c r="AF60" s="233">
        <f ca="1">IFERROR(
    SUMIFS(
        Хронология[Часы],
        Хронология[Результат], "НПВ: нет в ГГД",
        Хронология[Начало], "&gt;=" &amp; Планирование[[#This Row],[Начало (факт)]],
        Хронология[Окончание], "&lt;=" &amp; Планирование[[#This Row],[Конец (факт, прогноз)]]
    ),
    0
)</f>
        <v>0</v>
      </c>
      <c r="AG60" s="233">
        <f ca="1">IFERROR(
    SUMIFS(
        Хронология[Часы],
        Хронология[Результат], "НПВ: нет в ГГД",
        Хронология[Начало], "&gt;=" &amp; Планирование[[#This Row],[Конец (факт, прогноз)]],
        Хронология[Окончание], "&lt;=" &amp; Y61
    ),
    0
)</f>
        <v>0</v>
      </c>
      <c r="AH60" s="550">
        <f ca="1">ROUND(IF(Планирование[[#This Row],[Часы (факт)]]-Планирование[[#This Row],[НПВ за операцию, часы]]-Планирование[[#This Row],[Часы (план)]] &lt;0, 0, Планирование[[#This Row],[Часы (факт)]]-Планирование[[#This Row],[НПВ за операцию, часы]]-Планирование[[#This Row],[Часы (план)]]), 2)</f>
        <v>0</v>
      </c>
      <c r="AI60" s="567" t="s">
        <v>1060</v>
      </c>
      <c r="AJ60" s="568">
        <f ca="1">Планирование[[#This Row],[Конец (план)]]-Планирование[[#This Row],[Конец (факт, прогноз)]]</f>
        <v>1.208333332760958E-2</v>
      </c>
    </row>
    <row r="61" spans="1:36" ht="30" customHeight="1">
      <c r="A61" s="508" t="s">
        <v>498</v>
      </c>
      <c r="B61" s="577">
        <v>851</v>
      </c>
      <c r="C61" s="543"/>
      <c r="D61" s="585" t="s">
        <v>59</v>
      </c>
      <c r="E61" s="543" t="s">
        <v>58</v>
      </c>
      <c r="F61" s="543"/>
      <c r="G61" s="543" t="s">
        <v>111</v>
      </c>
      <c r="H61" s="543" t="s">
        <v>150</v>
      </c>
      <c r="I61" s="543" t="s">
        <v>86</v>
      </c>
      <c r="J61" s="543" t="s">
        <v>161</v>
      </c>
      <c r="K61" s="543"/>
      <c r="L61" s="9" t="str">
        <f>IF(Планирование[[#This Row],[Контекст простоя]]="Штатно", Планирование[[#This Row],[Скважина]] &amp; " " &amp; "ОК–" &amp;Планирование[[#This Row],[ОК]] &amp; " "  &amp; Планирование[[#This Row],[Этап]] &amp; " " &amp; Планирование[[#This Row],[Вид работ]] &amp; " " &amp; Планирование[[#This Row],[Объект работ]] &amp; " " &amp; Планирование[[#This Row],[Рейс]], Планирование[[#This Row],[Скважина]] &amp; " " &amp; "ОК–" &amp;Планирование[[#This Row],[ОК]] &amp; " " &amp; Планирование[[#This Row],[Этап]] &amp; " " &amp; Планирование[[#This Row],[Контекст простоя]] &amp; " " &amp; Планирование[[#This Row],[Событие]] &amp; " " &amp; Планирование[[#This Row],[Вид работ]] &amp; " " &amp; Планирование[[#This Row],[Объект работ]] &amp; " " &amp; Планирование[[#This Row],[Рейс]])</f>
        <v xml:space="preserve">851 ОК– ПР Опрессовка ПВО </v>
      </c>
      <c r="M61" s="551">
        <f>IF(Планирование[[#This Row],[Скважина]]&lt;&gt;B60, Планирование[[#This Row],[Начало (факт)]], N60)</f>
        <v>46166.77124999994</v>
      </c>
      <c r="N61" s="4">
        <f>Планирование[[#This Row],[Начало (цель)]]+Планирование[[#This Row],[Сутки (цель)]]</f>
        <v>46166.786249999939</v>
      </c>
      <c r="O61" s="233">
        <v>0.36</v>
      </c>
      <c r="P61" s="233"/>
      <c r="Q61" s="5">
        <f>Планирование[[#This Row],[Часы (цель)]]/24</f>
        <v>1.4999999999999999E-2</v>
      </c>
      <c r="R61" s="5">
        <f>R60+Планирование[[#This Row],[Сутки (цель)]]</f>
        <v>8.9923500000000018</v>
      </c>
      <c r="S61" s="551">
        <f>Планирование[[#This Row],[Начало (цель)]]</f>
        <v>46166.77124999994</v>
      </c>
      <c r="T61" s="4">
        <f>Планирование[[#This Row],[Начало (план)]]+Планирование[[#This Row],[Сутки (план)]]</f>
        <v>46166.786249999939</v>
      </c>
      <c r="U61" s="233">
        <f>Планирование[[#This Row],[Часы (цель)]]</f>
        <v>0.36</v>
      </c>
      <c r="V61" s="233">
        <f>Планирование[[#This Row],[Забой, м (цель)]]</f>
        <v>0</v>
      </c>
      <c r="W61" s="5">
        <f>Планирование[[#This Row],[Часы (план)]]/24</f>
        <v>1.4999999999999999E-2</v>
      </c>
      <c r="X61" s="5"/>
      <c r="Y61" s="551">
        <f t="array" aca="1" ref="Y61" ca="1">IFERROR(
    INDEX(Хронология[Начало], MATCH(1, (Хронология[Ключ]=Планирование[[#This Row],[Ключ]]) * (Хронология[Подытог за операцию]=MIN(IF(Хронология[Ключ]=Планирование[[#This Row],[Ключ]], Хронология[Подытог за операцию]))), 0)),
    Z60
)</f>
        <v>46166.759166666612</v>
      </c>
      <c r="Z61" s="4">
        <f t="array" aca="1" ref="Z61" ca="1">MAX(IFERROR(
    INDEX(Хронология[Окончание], MATCH(1, (Хронология[Ключ]=Планирование[[#This Row],[Ключ]]) * (Хронология[Подытог за операцию]=MAX(IF(Хронология[Ключ]=Планирование[[#This Row],[Ключ]], Хронология[Подытог за операцию]))), 0)),
    Y61+AC61
), Планирование[[#This Row],[Начало (факт)]]+Планирование[[#This Row],[Сутки (факт)]])</f>
        <v>46166.774166666612</v>
      </c>
      <c r="AA61" s="233">
        <f ca="1">IF(AND(Планирование[[#This Row],[Начало (факт)]]=Y62, Планирование[[#This Row],[Забой, м (факт)]]=0), 0, Планирование[[#This Row],[Сутки (факт)]]*24)</f>
        <v>0.36</v>
      </c>
      <c r="AB61" s="233">
        <f ca="1">Планирование[[#This Row],[Часы (факт)]]-Планирование[[#This Row],[НПВ за операцию, часы]]-Планирование[[#This Row],[ПНВ, часы]]</f>
        <v>0.36</v>
      </c>
      <c r="AC61" s="5">
        <f t="array" aca="1" ref="AC61" ca="1">IFERROR(
  IF(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окончены",
    MAX(IF(Хронология[Ключ]=Планирование[[#This Row],[Ключ]], Хронология[Подытог за операцию])),
    IF(
      Планирование[[#This Row],[Событие]]="Мех. бурение",
      (MAX(Хронология[Окончание]) - Планирование[[#This Row],[Начало (факт)]]) +
      (Планирование[[#This Row],[Забой, м (план)]] - Планирование[[#This Row],[Забой, м (факт)]]) /
      ((Планирование[[#This Row],[Забой, м (план)]] - V60)/Планирование[[#This Row],[Сутки (план)]]),
      IF(
        AND(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продолжаются",
          Планирование[[#This Row],[Начало (факт)]]&gt;0
        ),
        (TODAY()-Планирование[[#This Row],[Начало (факт)]]),
        IF(
          AND(Планирование[[#This Row],[Начало (факт)]]=0,
            Планирование[[#This Row],[Начало (план)]] &gt; MAX(Хронология[Начало])),
          Планирование[[#This Row],[Сутки (план)]],
          IF(
            AND((TODAY()-Планирование[[#This Row],[Начало (план)]])&gt;1,
              ISERR(MATCH(Планирование[[#This Row],[Ключ]], Хронология[Ключ], 0))),
            0,
            Планирование[[#This Row],[Сутки (план)]]
          )
        )
      )
    )
  ),
  Планирование[[#This Row],[Сутки (план)]]
)</f>
        <v>1.4999999999999999E-2</v>
      </c>
      <c r="AD61" s="5">
        <f ca="1">Планирование[[#This Row],[Сутки (факт)]]</f>
        <v>1.4999999999999999E-2</v>
      </c>
      <c r="AE61" s="566">
        <f t="array" ref="AE61">MAX(IF(Хронология[Ключ]=Планирование[[#This Row],[Ключ]], Хронология[Забой, м]))</f>
        <v>0</v>
      </c>
      <c r="AF61" s="233">
        <f ca="1">IFERROR(
    SUMIFS(
        Хронология[Часы],
        Хронология[Результат], "НПВ: нет в ГГД",
        Хронология[Начало], "&gt;=" &amp; Планирование[[#This Row],[Начало (факт)]],
        Хронология[Окончание], "&lt;=" &amp; Планирование[[#This Row],[Конец (факт, прогноз)]]
    ),
    0
)</f>
        <v>0</v>
      </c>
      <c r="AG61" s="233">
        <f ca="1">IFERROR(
    SUMIFS(
        Хронология[Часы],
        Хронология[Результат], "НПВ: нет в ГГД",
        Хронология[Начало], "&gt;=" &amp; Планирование[[#This Row],[Конец (факт, прогноз)]],
        Хронология[Окончание], "&lt;=" &amp; Y62
    ),
    0
)</f>
        <v>0</v>
      </c>
      <c r="AH61" s="550">
        <f ca="1">ROUND(IF(Планирование[[#This Row],[Часы (факт)]]-Планирование[[#This Row],[НПВ за операцию, часы]]-Планирование[[#This Row],[Часы (план)]] &lt;0, 0, Планирование[[#This Row],[Часы (факт)]]-Планирование[[#This Row],[НПВ за операцию, часы]]-Планирование[[#This Row],[Часы (план)]]), 2)</f>
        <v>0</v>
      </c>
      <c r="AI61" s="567" t="s">
        <v>1060</v>
      </c>
      <c r="AJ61" s="568">
        <f ca="1">Планирование[[#This Row],[Конец (план)]]-Планирование[[#This Row],[Конец (факт, прогноз)]]</f>
        <v>1.208333332760958E-2</v>
      </c>
    </row>
    <row r="62" spans="1:36" ht="30" customHeight="1">
      <c r="A62" s="508" t="s">
        <v>499</v>
      </c>
      <c r="B62" s="577">
        <v>851</v>
      </c>
      <c r="C62" s="543"/>
      <c r="D62" s="585" t="s">
        <v>59</v>
      </c>
      <c r="E62" s="543" t="s">
        <v>58</v>
      </c>
      <c r="F62" s="543"/>
      <c r="G62" s="543" t="s">
        <v>111</v>
      </c>
      <c r="H62" s="543" t="s">
        <v>150</v>
      </c>
      <c r="I62" s="543" t="s">
        <v>86</v>
      </c>
      <c r="J62" s="543" t="s">
        <v>118</v>
      </c>
      <c r="K62" s="543"/>
      <c r="L62" s="9" t="str">
        <f>IF(Планирование[[#This Row],[Контекст простоя]]="Штатно", Планирование[[#This Row],[Скважина]] &amp; " " &amp; "ОК–" &amp;Планирование[[#This Row],[ОК]] &amp; " "  &amp; Планирование[[#This Row],[Этап]] &amp; " " &amp; Планирование[[#This Row],[Вид работ]] &amp; " " &amp; Планирование[[#This Row],[Объект работ]] &amp; " " &amp; Планирование[[#This Row],[Рейс]], Планирование[[#This Row],[Скважина]] &amp; " " &amp; "ОК–" &amp;Планирование[[#This Row],[ОК]] &amp; " " &amp; Планирование[[#This Row],[Этап]] &amp; " " &amp; Планирование[[#This Row],[Контекст простоя]] &amp; " " &amp; Планирование[[#This Row],[Событие]] &amp; " " &amp; Планирование[[#This Row],[Вид работ]] &amp; " " &amp; Планирование[[#This Row],[Объект работ]] &amp; " " &amp; Планирование[[#This Row],[Рейс]])</f>
        <v xml:space="preserve">851 ОК– ПР Опрессовка Фонтанная арматура </v>
      </c>
      <c r="M62" s="551">
        <f>IF(Планирование[[#This Row],[Скважина]]&lt;&gt;B61, Планирование[[#This Row],[Начало (факт)]], N61)</f>
        <v>46166.786249999939</v>
      </c>
      <c r="N62" s="4">
        <f>Планирование[[#This Row],[Начало (цель)]]+Планирование[[#This Row],[Сутки (цель)]]</f>
        <v>46166.815833333276</v>
      </c>
      <c r="O62" s="233">
        <v>0.71</v>
      </c>
      <c r="P62" s="233"/>
      <c r="Q62" s="5">
        <f>Планирование[[#This Row],[Часы (цель)]]/24</f>
        <v>2.9583333333333333E-2</v>
      </c>
      <c r="R62" s="5">
        <f>R61+Планирование[[#This Row],[Сутки (цель)]]</f>
        <v>9.0219333333333349</v>
      </c>
      <c r="S62" s="551">
        <f>Планирование[[#This Row],[Начало (цель)]]</f>
        <v>46166.786249999939</v>
      </c>
      <c r="T62" s="4">
        <f>Планирование[[#This Row],[Начало (план)]]+Планирование[[#This Row],[Сутки (план)]]</f>
        <v>46166.815833333276</v>
      </c>
      <c r="U62" s="233">
        <f>Планирование[[#This Row],[Часы (цель)]]</f>
        <v>0.71</v>
      </c>
      <c r="V62" s="233">
        <f>Планирование[[#This Row],[Забой, м (цель)]]</f>
        <v>0</v>
      </c>
      <c r="W62" s="5">
        <f>Планирование[[#This Row],[Часы (план)]]/24</f>
        <v>2.9583333333333333E-2</v>
      </c>
      <c r="X62" s="5"/>
      <c r="Y62" s="551">
        <f t="array" ref="Y62">IFERROR(
    INDEX(Хронология[Начало], MATCH(1, (Хронология[Ключ]=Планирование[[#This Row],[Ключ]]) * (Хронология[Подытог за операцию]=MIN(IF(Хронология[Ключ]=Планирование[[#This Row],[Ключ]], Хронология[Подытог за операцию]))), 0)),
    Z61
)</f>
        <v>46166.749999999942</v>
      </c>
      <c r="Z62" s="4">
        <f t="array" aca="1" ref="Z62" ca="1">MAX(IFERROR(
    INDEX(Хронология[Окончание], MATCH(1, (Хронология[Ключ]=Планирование[[#This Row],[Ключ]]) * (Хронология[Подытог за операцию]=MAX(IF(Хронология[Ключ]=Планирование[[#This Row],[Ключ]], Хронология[Подытог за операцию]))), 0)),
    Y62+AC62
), Планирование[[#This Row],[Начало (факт)]]+Планирование[[#This Row],[Сутки (факт)]])</f>
        <v>46166.791666666606</v>
      </c>
      <c r="AA62" s="233">
        <f ca="1">IF(AND(Планирование[[#This Row],[Начало (факт)]]=Y63, Планирование[[#This Row],[Забой, м (факт)]]=0), 0, Планирование[[#This Row],[Сутки (факт)]]*24)</f>
        <v>0.71</v>
      </c>
      <c r="AB62" s="233">
        <f ca="1">Планирование[[#This Row],[Часы (факт)]]-Планирование[[#This Row],[НПВ за операцию, часы]]-Планирование[[#This Row],[ПНВ, часы]]</f>
        <v>0.71</v>
      </c>
      <c r="AC62" s="5">
        <f t="array" aca="1" ref="AC62" ca="1">IFERROR(
  IF(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окончены",
    MAX(IF(Хронология[Ключ]=Планирование[[#This Row],[Ключ]], Хронология[Подытог за операцию])),
    IF(
      Планирование[[#This Row],[Событие]]="Мех. бурение",
      (MAX(Хронология[Окончание]) - Планирование[[#This Row],[Начало (факт)]]) +
      (Планирование[[#This Row],[Забой, м (план)]] - Планирование[[#This Row],[Забой, м (факт)]]) /
      ((Планирование[[#This Row],[Забой, м (план)]] - V61)/Планирование[[#This Row],[Сутки (план)]]),
      IF(
        AND(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продолжаются",
          Планирование[[#This Row],[Начало (факт)]]&gt;0
        ),
        (TODAY()-Планирование[[#This Row],[Начало (факт)]]),
        IF(
          AND(Планирование[[#This Row],[Начало (факт)]]=0,
            Планирование[[#This Row],[Начало (план)]] &gt; MAX(Хронология[Начало])),
          Планирование[[#This Row],[Сутки (план)]],
          IF(
            AND((TODAY()-Планирование[[#This Row],[Начало (план)]])&gt;1,
              ISERR(MATCH(Планирование[[#This Row],[Ключ]], Хронология[Ключ], 0))),
            0,
            Планирование[[#This Row],[Сутки (план)]]
          )
        )
      )
    )
  ),
  Планирование[[#This Row],[Сутки (план)]]
)</f>
        <v>2.9583333333333333E-2</v>
      </c>
      <c r="AD62" s="5">
        <f ca="1">Планирование[[#This Row],[Сутки (факт)]]</f>
        <v>2.9583333333333333E-2</v>
      </c>
      <c r="AE62" s="566">
        <f t="array" ref="AE62">MAX(IF(Хронология[Ключ]=Планирование[[#This Row],[Ключ]], Хронология[Забой, м]))</f>
        <v>0</v>
      </c>
      <c r="AF62" s="233">
        <f ca="1">IFERROR(
    SUMIFS(
        Хронология[Часы],
        Хронология[Результат], "НПВ: нет в ГГД",
        Хронология[Начало], "&gt;=" &amp; Планирование[[#This Row],[Начало (факт)]],
        Хронология[Окончание], "&lt;=" &amp; Планирование[[#This Row],[Конец (факт, прогноз)]]
    ),
    0
)</f>
        <v>0</v>
      </c>
      <c r="AG62" s="233">
        <f ca="1">IFERROR(
    SUMIFS(
        Хронология[Часы],
        Хронология[Результат], "НПВ: нет в ГГД",
        Хронология[Начало], "&gt;=" &amp; Планирование[[#This Row],[Конец (факт, прогноз)]],
        Хронология[Окончание], "&lt;=" &amp; Y63
    ),
    0
)</f>
        <v>0</v>
      </c>
      <c r="AH62" s="550">
        <f ca="1">ROUND(IF(Планирование[[#This Row],[Часы (факт)]]-Планирование[[#This Row],[НПВ за операцию, часы]]-Планирование[[#This Row],[Часы (план)]] &lt;0, 0, Планирование[[#This Row],[Часы (факт)]]-Планирование[[#This Row],[НПВ за операцию, часы]]-Планирование[[#This Row],[Часы (план)]]), 2)</f>
        <v>0</v>
      </c>
      <c r="AI62" s="567" t="s">
        <v>1060</v>
      </c>
      <c r="AJ62" s="568">
        <f ca="1">Планирование[[#This Row],[Конец (план)]]-Планирование[[#This Row],[Конец (факт, прогноз)]]</f>
        <v>2.4166666669771075E-2</v>
      </c>
    </row>
    <row r="63" spans="1:36" ht="30" customHeight="1">
      <c r="A63" s="508" t="s">
        <v>500</v>
      </c>
      <c r="B63" s="577">
        <v>851</v>
      </c>
      <c r="C63" s="543"/>
      <c r="D63" s="585" t="s">
        <v>59</v>
      </c>
      <c r="E63" s="543" t="s">
        <v>58</v>
      </c>
      <c r="F63" s="543"/>
      <c r="G63" s="543" t="s">
        <v>169</v>
      </c>
      <c r="H63" s="543" t="s">
        <v>175</v>
      </c>
      <c r="I63" s="543" t="s">
        <v>167</v>
      </c>
      <c r="J63" s="543" t="s">
        <v>4</v>
      </c>
      <c r="K63" s="543"/>
      <c r="L63" s="9" t="str">
        <f>IF(Планирование[[#This Row],[Контекст простоя]]="Штатно", Планирование[[#This Row],[Скважина]] &amp; " " &amp; "ОК–" &amp;Планирование[[#This Row],[ОК]] &amp; " "  &amp; Планирование[[#This Row],[Этап]] &amp; " " &amp; Планирование[[#This Row],[Вид работ]] &amp; " " &amp; Планирование[[#This Row],[Объект работ]] &amp; " " &amp; Планирование[[#This Row],[Рейс]], Планирование[[#This Row],[Скважина]] &amp; " " &amp; "ОК–" &amp;Планирование[[#This Row],[ОК]] &amp; " " &amp; Планирование[[#This Row],[Этап]] &amp; " " &amp; Планирование[[#This Row],[Контекст простоя]] &amp; " " &amp; Планирование[[#This Row],[Событие]] &amp; " " &amp; Планирование[[#This Row],[Вид работ]] &amp; " " &amp; Планирование[[#This Row],[Объект работ]] &amp; " " &amp; Планирование[[#This Row],[Рейс]])</f>
        <v xml:space="preserve">851 ОК– ПР Обратная промывка Скважина </v>
      </c>
      <c r="M63" s="551">
        <f>IF(Планирование[[#This Row],[Скважина]]&lt;&gt;B62, Планирование[[#This Row],[Начало (факт)]], N62)</f>
        <v>46166.815833333276</v>
      </c>
      <c r="N63" s="4">
        <f>Планирование[[#This Row],[Начало (цель)]]+Планирование[[#This Row],[Сутки (цель)]]</f>
        <v>46167.172083333273</v>
      </c>
      <c r="O63" s="233">
        <v>8.5500000000000007</v>
      </c>
      <c r="P63" s="233"/>
      <c r="Q63" s="5">
        <f>Планирование[[#This Row],[Часы (цель)]]/24</f>
        <v>0.35625000000000001</v>
      </c>
      <c r="R63" s="5">
        <f>R62+Планирование[[#This Row],[Сутки (цель)]]</f>
        <v>9.3781833333333342</v>
      </c>
      <c r="S63" s="551">
        <f>Планирование[[#This Row],[Начало (цель)]]</f>
        <v>46166.815833333276</v>
      </c>
      <c r="T63" s="4">
        <f>Планирование[[#This Row],[Начало (план)]]+Планирование[[#This Row],[Сутки (план)]]</f>
        <v>46167.172083333273</v>
      </c>
      <c r="U63" s="233">
        <f>Планирование[[#This Row],[Часы (цель)]]</f>
        <v>8.5500000000000007</v>
      </c>
      <c r="V63" s="233">
        <f>Планирование[[#This Row],[Забой, м (цель)]]</f>
        <v>0</v>
      </c>
      <c r="W63" s="5">
        <f>Планирование[[#This Row],[Часы (план)]]/24</f>
        <v>0.35625000000000001</v>
      </c>
      <c r="X63" s="5"/>
      <c r="Y63" s="551">
        <f t="array" ref="Y63">IFERROR(
    INDEX(Хронология[Начало], MATCH(1, (Хронология[Ключ]=Планирование[[#This Row],[Ключ]]) * (Хронология[Подытог за операцию]=MIN(IF(Хронология[Ключ]=Планирование[[#This Row],[Ключ]], Хронология[Подытог за операцию]))), 0)),
    Z62
)</f>
        <v>46166.791666666606</v>
      </c>
      <c r="Z63" s="4">
        <f t="array" aca="1" ref="Z63" ca="1">MAX(IFERROR(
    INDEX(Хронология[Окончание], MATCH(1, (Хронология[Ключ]=Планирование[[#This Row],[Ключ]]) * (Хронология[Подытог за операцию]=MAX(IF(Хронология[Ключ]=Планирование[[#This Row],[Ключ]], Хронология[Подытог за операцию]))), 0)),
    Y63+AC63
), Планирование[[#This Row],[Начало (факт)]]+Планирование[[#This Row],[Сутки (факт)]])</f>
        <v>46167.147916666603</v>
      </c>
      <c r="AA63" s="233">
        <f ca="1">IF(AND(Планирование[[#This Row],[Начало (факт)]]=Y64, Планирование[[#This Row],[Забой, м (факт)]]=0), 0, Планирование[[#This Row],[Сутки (факт)]]*24)</f>
        <v>8.5500000000000007</v>
      </c>
      <c r="AB63" s="233">
        <f ca="1">Планирование[[#This Row],[Часы (факт)]]-Планирование[[#This Row],[НПВ за операцию, часы]]-Планирование[[#This Row],[ПНВ, часы]]</f>
        <v>8.5500000000000007</v>
      </c>
      <c r="AC63" s="5">
        <f t="array" aca="1" ref="AC63" ca="1">IFERROR(
  IF(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окончены",
    MAX(IF(Хронология[Ключ]=Планирование[[#This Row],[Ключ]], Хронология[Подытог за операцию])),
    IF(
      Планирование[[#This Row],[Событие]]="Мех. бурение",
      (MAX(Хронология[Окончание]) - Планирование[[#This Row],[Начало (факт)]]) +
      (Планирование[[#This Row],[Забой, м (план)]] - Планирование[[#This Row],[Забой, м (факт)]]) /
      ((Планирование[[#This Row],[Забой, м (план)]] - V62)/Планирование[[#This Row],[Сутки (план)]]),
      IF(
        AND(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продолжаются",
          Планирование[[#This Row],[Начало (факт)]]&gt;0
        ),
        (TODAY()-Планирование[[#This Row],[Начало (факт)]]),
        IF(
          AND(Планирование[[#This Row],[Начало (факт)]]=0,
            Планирование[[#This Row],[Начало (план)]] &gt; MAX(Хронология[Начало])),
          Планирование[[#This Row],[Сутки (план)]],
          IF(
            AND((TODAY()-Планирование[[#This Row],[Начало (план)]])&gt;1,
              ISERR(MATCH(Планирование[[#This Row],[Ключ]], Хронология[Ключ], 0))),
            0,
            Планирование[[#This Row],[Сутки (план)]]
          )
        )
      )
    )
  ),
  Планирование[[#This Row],[Сутки (план)]]
)</f>
        <v>0.35625000000000001</v>
      </c>
      <c r="AD63" s="5">
        <f ca="1">Планирование[[#This Row],[Сутки (факт)]]</f>
        <v>0.35625000000000001</v>
      </c>
      <c r="AE63" s="566">
        <f t="array" ref="AE63">MAX(IF(Хронология[Ключ]=Планирование[[#This Row],[Ключ]], Хронология[Забой, м]))</f>
        <v>0</v>
      </c>
      <c r="AF63" s="233">
        <f ca="1">IFERROR(
    SUMIFS(
        Хронология[Часы],
        Хронология[Результат], "НПВ: нет в ГГД",
        Хронология[Начало], "&gt;=" &amp; Планирование[[#This Row],[Начало (факт)]],
        Хронология[Окончание], "&lt;=" &amp; Планирование[[#This Row],[Конец (факт, прогноз)]]
    ),
    0
)</f>
        <v>0</v>
      </c>
      <c r="AG63" s="233">
        <f ca="1">IFERROR(
    SUMIFS(
        Хронология[Часы],
        Хронология[Результат], "НПВ: нет в ГГД",
        Хронология[Начало], "&gt;=" &amp; Планирование[[#This Row],[Конец (факт, прогноз)]],
        Хронология[Окончание], "&lt;=" &amp; Y64
    ),
    0
)</f>
        <v>0</v>
      </c>
      <c r="AH63" s="550">
        <f ca="1">ROUND(IF(Планирование[[#This Row],[Часы (факт)]]-Планирование[[#This Row],[НПВ за операцию, часы]]-Планирование[[#This Row],[Часы (план)]] &lt;0, 0, Планирование[[#This Row],[Часы (факт)]]-Планирование[[#This Row],[НПВ за операцию, часы]]-Планирование[[#This Row],[Часы (план)]]), 2)</f>
        <v>0</v>
      </c>
      <c r="AI63" s="567" t="s">
        <v>1060</v>
      </c>
      <c r="AJ63" s="568">
        <f ca="1">Планирование[[#This Row],[Конец (план)]]-Планирование[[#This Row],[Конец (факт, прогноз)]]</f>
        <v>2.4166666669771075E-2</v>
      </c>
    </row>
    <row r="64" spans="1:36" ht="30" customHeight="1">
      <c r="A64" s="508" t="s">
        <v>501</v>
      </c>
      <c r="B64" s="577">
        <v>851</v>
      </c>
      <c r="C64" s="543"/>
      <c r="D64" s="585" t="s">
        <v>59</v>
      </c>
      <c r="E64" s="543" t="s">
        <v>58</v>
      </c>
      <c r="F64" s="543"/>
      <c r="G64" s="543" t="s">
        <v>69</v>
      </c>
      <c r="H64" s="543" t="s">
        <v>70</v>
      </c>
      <c r="I64" s="543" t="s">
        <v>61</v>
      </c>
      <c r="J64" s="543" t="s">
        <v>62</v>
      </c>
      <c r="K64" s="543"/>
      <c r="L64" s="9" t="str">
        <f>IF(Планирование[[#This Row],[Контекст простоя]]="Штатно", Планирование[[#This Row],[Скважина]] &amp; " " &amp; "ОК–" &amp;Планирование[[#This Row],[ОК]] &amp; " "  &amp; Планирование[[#This Row],[Этап]] &amp; " " &amp; Планирование[[#This Row],[Вид работ]] &amp; " " &amp; Планирование[[#This Row],[Объект работ]] &amp; " " &amp; Планирование[[#This Row],[Рейс]], Планирование[[#This Row],[Скважина]] &amp; " " &amp; "ОК–" &amp;Планирование[[#This Row],[ОК]] &amp; " " &amp; Планирование[[#This Row],[Этап]] &amp; " " &amp; Планирование[[#This Row],[Контекст простоя]] &amp; " " &amp; Планирование[[#This Row],[Событие]] &amp; " " &amp; Планирование[[#This Row],[Вид работ]] &amp; " " &amp; Планирование[[#This Row],[Объект работ]] &amp; " " &amp; Планирование[[#This Row],[Рейс]])</f>
        <v xml:space="preserve">851 ОК– ПР Монтаж УПА </v>
      </c>
      <c r="M64" s="551">
        <f>IF(Планирование[[#This Row],[Скважина]]&lt;&gt;B63, Планирование[[#This Row],[Начало (факт)]], N63)</f>
        <v>46167.172083333273</v>
      </c>
      <c r="N64" s="4">
        <f>Планирование[[#This Row],[Начало (цель)]]+Планирование[[#This Row],[Сутки (цель)]]</f>
        <v>46167.509999999937</v>
      </c>
      <c r="O64" s="233">
        <v>8.11</v>
      </c>
      <c r="P64" s="233"/>
      <c r="Q64" s="5">
        <f>Планирование[[#This Row],[Часы (цель)]]/24</f>
        <v>0.33791666666666664</v>
      </c>
      <c r="R64" s="5">
        <f>R63+Планирование[[#This Row],[Сутки (цель)]]</f>
        <v>9.7161000000000008</v>
      </c>
      <c r="S64" s="551">
        <f>Планирование[[#This Row],[Начало (цель)]]</f>
        <v>46167.172083333273</v>
      </c>
      <c r="T64" s="4">
        <f>Планирование[[#This Row],[Начало (план)]]+Планирование[[#This Row],[Сутки (план)]]</f>
        <v>46167.509999999937</v>
      </c>
      <c r="U64" s="233">
        <f>Планирование[[#This Row],[Часы (цель)]]</f>
        <v>8.11</v>
      </c>
      <c r="V64" s="233">
        <f>Планирование[[#This Row],[Забой, м (цель)]]</f>
        <v>0</v>
      </c>
      <c r="W64" s="5">
        <f>Планирование[[#This Row],[Часы (план)]]/24</f>
        <v>0.33791666666666664</v>
      </c>
      <c r="X64" s="5"/>
      <c r="Y64" s="551">
        <f t="array" ref="Y64">IFERROR(
    INDEX(Хронология[Начало], MATCH(1, (Хронология[Ключ]=Планирование[[#This Row],[Ключ]]) * (Хронология[Подытог за операцию]=MIN(IF(Хронология[Ключ]=Планирование[[#This Row],[Ключ]], Хронология[Подытог за операцию]))), 0)),
    Z63
)</f>
        <v>46167.333333333278</v>
      </c>
      <c r="Z64" s="4">
        <f t="array" aca="1" ref="Z64" ca="1">MAX(IFERROR(
    INDEX(Хронология[Окончание], MATCH(1, (Хронология[Ключ]=Планирование[[#This Row],[Ключ]]) * (Хронология[Подытог за операцию]=MAX(IF(Хронология[Ключ]=Планирование[[#This Row],[Ключ]], Хронология[Подытог за операцию]))), 0)),
    Y64+AC64
), Планирование[[#This Row],[Начало (факт)]]+Планирование[[#This Row],[Сутки (факт)]])</f>
        <v>46167.671249999941</v>
      </c>
      <c r="AA64" s="233">
        <f ca="1">IF(AND(Планирование[[#This Row],[Начало (факт)]]=Y65, Планирование[[#This Row],[Забой, м (факт)]]=0), 0, Планирование[[#This Row],[Сутки (факт)]]*24)</f>
        <v>8.11</v>
      </c>
      <c r="AB64" s="233">
        <f ca="1">Планирование[[#This Row],[Часы (факт)]]-Планирование[[#This Row],[НПВ за операцию, часы]]-Планирование[[#This Row],[ПНВ, часы]]</f>
        <v>8.11</v>
      </c>
      <c r="AC64" s="5">
        <f t="array" aca="1" ref="AC64" ca="1">IFERROR(
  IF(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окончены",
    MAX(IF(Хронология[Ключ]=Планирование[[#This Row],[Ключ]], Хронология[Подытог за операцию])),
    IF(
      Планирование[[#This Row],[Событие]]="Мех. бурение",
      (MAX(Хронология[Окончание]) - Планирование[[#This Row],[Начало (факт)]]) +
      (Планирование[[#This Row],[Забой, м (план)]] - Планирование[[#This Row],[Забой, м (факт)]]) /
      ((Планирование[[#This Row],[Забой, м (план)]] - V63)/Планирование[[#This Row],[Сутки (план)]]),
      IF(
        AND(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продолжаются",
          Планирование[[#This Row],[Начало (факт)]]&gt;0
        ),
        (TODAY()-Планирование[[#This Row],[Начало (факт)]]),
        IF(
          AND(Планирование[[#This Row],[Начало (факт)]]=0,
            Планирование[[#This Row],[Начало (план)]] &gt; MAX(Хронология[Начало])),
          Планирование[[#This Row],[Сутки (план)]],
          IF(
            AND((TODAY()-Планирование[[#This Row],[Начало (план)]])&gt;1,
              ISERR(MATCH(Планирование[[#This Row],[Ключ]], Хронология[Ключ], 0))),
            0,
            Планирование[[#This Row],[Сутки (план)]]
          )
        )
      )
    )
  ),
  Планирование[[#This Row],[Сутки (план)]]
)</f>
        <v>0.33791666666666664</v>
      </c>
      <c r="AD64" s="5">
        <f ca="1">Планирование[[#This Row],[Сутки (факт)]]</f>
        <v>0.33791666666666664</v>
      </c>
      <c r="AE64" s="566">
        <f t="array" ref="AE64">MAX(IF(Хронология[Ключ]=Планирование[[#This Row],[Ключ]], Хронология[Забой, м]))</f>
        <v>0</v>
      </c>
      <c r="AF64" s="233">
        <f ca="1">IFERROR(
    SUMIFS(
        Хронология[Часы],
        Хронология[Результат], "НПВ: нет в ГГД",
        Хронология[Начало], "&gt;=" &amp; Планирование[[#This Row],[Начало (факт)]],
        Хронология[Окончание], "&lt;=" &amp; Планирование[[#This Row],[Конец (факт, прогноз)]]
    ),
    0
)</f>
        <v>0</v>
      </c>
      <c r="AG64" s="233">
        <f ca="1">IFERROR(
    SUMIFS(
        Хронология[Часы],
        Хронология[Результат], "НПВ: нет в ГГД",
        Хронология[Начало], "&gt;=" &amp; Планирование[[#This Row],[Конец (факт, прогноз)]],
        Хронология[Окончание], "&lt;=" &amp; Y65
    ),
    0
)</f>
        <v>0</v>
      </c>
      <c r="AH64" s="550">
        <f ca="1">ROUND(IF(Планирование[[#This Row],[Часы (факт)]]-Планирование[[#This Row],[НПВ за операцию, часы]]-Планирование[[#This Row],[Часы (план)]] &lt;0, 0, Планирование[[#This Row],[Часы (факт)]]-Планирование[[#This Row],[НПВ за операцию, часы]]-Планирование[[#This Row],[Часы (план)]]), 2)</f>
        <v>0</v>
      </c>
      <c r="AI64" s="567" t="s">
        <v>1060</v>
      </c>
      <c r="AJ64" s="568">
        <f ca="1">Планирование[[#This Row],[Конец (план)]]-Планирование[[#This Row],[Конец (факт, прогноз)]]</f>
        <v>-0.16125000000465661</v>
      </c>
    </row>
    <row r="65" spans="1:36" ht="30" customHeight="1">
      <c r="A65" s="508" t="s">
        <v>502</v>
      </c>
      <c r="B65" s="577">
        <v>851</v>
      </c>
      <c r="C65" s="543"/>
      <c r="D65" s="585" t="s">
        <v>59</v>
      </c>
      <c r="E65" s="543" t="s">
        <v>58</v>
      </c>
      <c r="F65" s="543"/>
      <c r="G65" s="543" t="s">
        <v>169</v>
      </c>
      <c r="H65" s="543" t="s">
        <v>188</v>
      </c>
      <c r="I65" s="543" t="s">
        <v>167</v>
      </c>
      <c r="J65" s="543" t="s">
        <v>4</v>
      </c>
      <c r="K65" s="543"/>
      <c r="L65" s="9" t="str">
        <f>IF(Планирование[[#This Row],[Контекст простоя]]="Штатно", Планирование[[#This Row],[Скважина]] &amp; " " &amp; "ОК–" &amp;Планирование[[#This Row],[ОК]] &amp; " "  &amp; Планирование[[#This Row],[Этап]] &amp; " " &amp; Планирование[[#This Row],[Вид работ]] &amp; " " &amp; Планирование[[#This Row],[Объект работ]] &amp; " " &amp; Планирование[[#This Row],[Рейс]], Планирование[[#This Row],[Скважина]] &amp; " " &amp; "ОК–" &amp;Планирование[[#This Row],[ОК]] &amp; " " &amp; Планирование[[#This Row],[Этап]] &amp; " " &amp; Планирование[[#This Row],[Контекст простоя]] &amp; " " &amp; Планирование[[#This Row],[Событие]] &amp; " " &amp; Планирование[[#This Row],[Вид работ]] &amp; " " &amp; Планирование[[#This Row],[Объект работ]] &amp; " " &amp; Планирование[[#This Row],[Рейс]])</f>
        <v xml:space="preserve">851 ОК– ПР Промывка Скважина </v>
      </c>
      <c r="M65" s="551">
        <f>IF(Планирование[[#This Row],[Скважина]]&lt;&gt;B64, Планирование[[#This Row],[Начало (факт)]], N64)</f>
        <v>46167.509999999937</v>
      </c>
      <c r="N65" s="4">
        <f>Планирование[[#This Row],[Начало (цель)]]+Планирование[[#This Row],[Сутки (цель)]]</f>
        <v>46167.601666666604</v>
      </c>
      <c r="O65" s="233">
        <v>2.2000000000000002</v>
      </c>
      <c r="P65" s="233"/>
      <c r="Q65" s="5">
        <f>Планирование[[#This Row],[Часы (цель)]]/24</f>
        <v>9.1666666666666674E-2</v>
      </c>
      <c r="R65" s="5">
        <f>R64+Планирование[[#This Row],[Сутки (цель)]]</f>
        <v>9.8077666666666676</v>
      </c>
      <c r="S65" s="551">
        <f>Планирование[[#This Row],[Начало (цель)]]</f>
        <v>46167.509999999937</v>
      </c>
      <c r="T65" s="4">
        <f>Планирование[[#This Row],[Начало (план)]]+Планирование[[#This Row],[Сутки (план)]]</f>
        <v>46167.601666666604</v>
      </c>
      <c r="U65" s="233">
        <f>Планирование[[#This Row],[Часы (цель)]]</f>
        <v>2.2000000000000002</v>
      </c>
      <c r="V65" s="233">
        <f>Планирование[[#This Row],[Забой, м (цель)]]</f>
        <v>0</v>
      </c>
      <c r="W65" s="5">
        <f>Планирование[[#This Row],[Часы (план)]]/24</f>
        <v>9.1666666666666674E-2</v>
      </c>
      <c r="X65" s="5"/>
      <c r="Y65" s="551">
        <f t="array" aca="1" ref="Y65" ca="1">IFERROR(
    INDEX(Хронология[Начало], MATCH(1, (Хронология[Ключ]=Планирование[[#This Row],[Ключ]]) * (Хронология[Подытог за операцию]=MIN(IF(Хронология[Ключ]=Планирование[[#This Row],[Ключ]], Хронология[Подытог за операцию]))), 0)),
    Z64
)</f>
        <v>46167.671249999941</v>
      </c>
      <c r="Z65" s="4">
        <f t="array" aca="1" ref="Z65" ca="1">MAX(IFERROR(
    INDEX(Хронология[Окончание], MATCH(1, (Хронология[Ключ]=Планирование[[#This Row],[Ключ]]) * (Хронология[Подытог за операцию]=MAX(IF(Хронология[Ключ]=Планирование[[#This Row],[Ключ]], Хронология[Подытог за операцию]))), 0)),
    Y65+AC65
), Планирование[[#This Row],[Начало (факт)]]+Планирование[[#This Row],[Сутки (факт)]])</f>
        <v>46167.762916666608</v>
      </c>
      <c r="AA65" s="233">
        <f ca="1">IF(AND(Планирование[[#This Row],[Начало (факт)]]=Y66, Планирование[[#This Row],[Забой, м (факт)]]=0), 0, Планирование[[#This Row],[Сутки (факт)]]*24)</f>
        <v>2.2000000000000002</v>
      </c>
      <c r="AB65" s="233">
        <f ca="1">Планирование[[#This Row],[Часы (факт)]]-Планирование[[#This Row],[НПВ за операцию, часы]]-Планирование[[#This Row],[ПНВ, часы]]</f>
        <v>2.2000000000000002</v>
      </c>
      <c r="AC65" s="5">
        <f t="array" aca="1" ref="AC65" ca="1">IFERROR(
  IF(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окончены",
    MAX(IF(Хронология[Ключ]=Планирование[[#This Row],[Ключ]], Хронология[Подытог за операцию])),
    IF(
      Планирование[[#This Row],[Событие]]="Мех. бурение",
      (MAX(Хронология[Окончание]) - Планирование[[#This Row],[Начало (факт)]]) +
      (Планирование[[#This Row],[Забой, м (план)]] - Планирование[[#This Row],[Забой, м (факт)]]) /
      ((Планирование[[#This Row],[Забой, м (план)]] - V64)/Планирование[[#This Row],[Сутки (план)]]),
      IF(
        AND(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продолжаются",
          Планирование[[#This Row],[Начало (факт)]]&gt;0
        ),
        (TODAY()-Планирование[[#This Row],[Начало (факт)]]),
        IF(
          AND(Планирование[[#This Row],[Начало (факт)]]=0,
            Планирование[[#This Row],[Начало (план)]] &gt; MAX(Хронология[Начало])),
          Планирование[[#This Row],[Сутки (план)]],
          IF(
            AND((TODAY()-Планирование[[#This Row],[Начало (план)]])&gt;1,
              ISERR(MATCH(Планирование[[#This Row],[Ключ]], Хронология[Ключ], 0))),
            0,
            Планирование[[#This Row],[Сутки (план)]]
          )
        )
      )
    )
  ),
  Планирование[[#This Row],[Сутки (план)]]
)</f>
        <v>9.1666666666666674E-2</v>
      </c>
      <c r="AD65" s="5">
        <f ca="1">Планирование[[#This Row],[Сутки (факт)]]</f>
        <v>9.1666666666666674E-2</v>
      </c>
      <c r="AE65" s="566">
        <f t="array" ref="AE65">MAX(IF(Хронология[Ключ]=Планирование[[#This Row],[Ключ]], Хронология[Забой, м]))</f>
        <v>0</v>
      </c>
      <c r="AF65" s="233">
        <f ca="1">IFERROR(
    SUMIFS(
        Хронология[Часы],
        Хронология[Результат], "НПВ: нет в ГГД",
        Хронология[Начало], "&gt;=" &amp; Планирование[[#This Row],[Начало (факт)]],
        Хронология[Окончание], "&lt;=" &amp; Планирование[[#This Row],[Конец (факт, прогноз)]]
    ),
    0
)</f>
        <v>0</v>
      </c>
      <c r="AG65" s="233">
        <f ca="1">IFERROR(
    SUMIFS(
        Хронология[Часы],
        Хронология[Результат], "НПВ: нет в ГГД",
        Хронология[Начало], "&gt;=" &amp; Планирование[[#This Row],[Конец (факт, прогноз)]],
        Хронология[Окончание], "&lt;=" &amp; Y66
    ),
    0
)</f>
        <v>0</v>
      </c>
      <c r="AH65" s="550">
        <f ca="1">ROUND(IF(Планирование[[#This Row],[Часы (факт)]]-Планирование[[#This Row],[НПВ за операцию, часы]]-Планирование[[#This Row],[Часы (план)]] &lt;0, 0, Планирование[[#This Row],[Часы (факт)]]-Планирование[[#This Row],[НПВ за операцию, часы]]-Планирование[[#This Row],[Часы (план)]]), 2)</f>
        <v>0</v>
      </c>
      <c r="AI65" s="567" t="s">
        <v>1060</v>
      </c>
      <c r="AJ65" s="568">
        <f ca="1">Планирование[[#This Row],[Конец (план)]]-Планирование[[#This Row],[Конец (факт, прогноз)]]</f>
        <v>-0.16125000000465661</v>
      </c>
    </row>
    <row r="66" spans="1:36" ht="30" customHeight="1">
      <c r="A66" s="508" t="s">
        <v>503</v>
      </c>
      <c r="B66" s="577">
        <v>851</v>
      </c>
      <c r="C66" s="543"/>
      <c r="D66" s="585" t="s">
        <v>51</v>
      </c>
      <c r="E66" s="543" t="s">
        <v>58</v>
      </c>
      <c r="F66" s="543"/>
      <c r="G66" s="543" t="s">
        <v>69</v>
      </c>
      <c r="H66" s="543" t="s">
        <v>108</v>
      </c>
      <c r="I66" s="543" t="s">
        <v>86</v>
      </c>
      <c r="J66" s="543" t="s">
        <v>118</v>
      </c>
      <c r="K66" s="543"/>
      <c r="L66" s="9" t="str">
        <f>IF(Планирование[[#This Row],[Контекст простоя]]="Штатно", Планирование[[#This Row],[Скважина]] &amp; " " &amp; "ОК–" &amp;Планирование[[#This Row],[ОК]] &amp; " "  &amp; Планирование[[#This Row],[Этап]] &amp; " " &amp; Планирование[[#This Row],[Вид работ]] &amp; " " &amp; Планирование[[#This Row],[Объект работ]] &amp; " " &amp; Планирование[[#This Row],[Рейс]], Планирование[[#This Row],[Скважина]] &amp; " " &amp; "ОК–" &amp;Планирование[[#This Row],[ОК]] &amp; " " &amp; Планирование[[#This Row],[Этап]] &amp; " " &amp; Планирование[[#This Row],[Контекст простоя]] &amp; " " &amp; Планирование[[#This Row],[Событие]] &amp; " " &amp; Планирование[[#This Row],[Вид работ]] &amp; " " &amp; Планирование[[#This Row],[Объект работ]] &amp; " " &amp; Планирование[[#This Row],[Рейс]])</f>
        <v xml:space="preserve">851 ОК– КРС Демонтаж Фонтанная арматура </v>
      </c>
      <c r="M66" s="551">
        <f>IF(Планирование[[#This Row],[Скважина]]&lt;&gt;B65, Планирование[[#This Row],[Начало (факт)]], N65)</f>
        <v>46167.601666666604</v>
      </c>
      <c r="N66" s="4">
        <f>Планирование[[#This Row],[Начало (цель)]]+Планирование[[#This Row],[Сутки (цель)]]</f>
        <v>46167.697083333267</v>
      </c>
      <c r="O66" s="233">
        <v>2.29</v>
      </c>
      <c r="P66" s="233"/>
      <c r="Q66" s="5">
        <f>Планирование[[#This Row],[Часы (цель)]]/24</f>
        <v>9.5416666666666664E-2</v>
      </c>
      <c r="R66" s="5">
        <f>R65+Планирование[[#This Row],[Сутки (цель)]]</f>
        <v>9.9031833333333346</v>
      </c>
      <c r="S66" s="551">
        <f>Планирование[[#This Row],[Начало (цель)]]</f>
        <v>46167.601666666604</v>
      </c>
      <c r="T66" s="4">
        <f>Планирование[[#This Row],[Начало (план)]]+Планирование[[#This Row],[Сутки (план)]]</f>
        <v>46167.697083333267</v>
      </c>
      <c r="U66" s="233">
        <f>Планирование[[#This Row],[Часы (цель)]]</f>
        <v>2.29</v>
      </c>
      <c r="V66" s="233">
        <f>Планирование[[#This Row],[Забой, м (цель)]]</f>
        <v>0</v>
      </c>
      <c r="W66" s="5">
        <f>Планирование[[#This Row],[Часы (план)]]/24</f>
        <v>9.5416666666666664E-2</v>
      </c>
      <c r="X66" s="5"/>
      <c r="Y66" s="551">
        <f t="array" ref="Y66">IFERROR(
    INDEX(Хронология[Начало], MATCH(1, (Хронология[Ключ]=Планирование[[#This Row],[Ключ]]) * (Хронология[Подытог за операцию]=MIN(IF(Хронология[Ключ]=Планирование[[#This Row],[Ключ]], Хронология[Подытог за операцию]))), 0)),
    Z65
)</f>
        <v>46168.749999999942</v>
      </c>
      <c r="Z66" s="4">
        <f t="array" aca="1" ref="Z66" ca="1">MAX(IFERROR(
    INDEX(Хронология[Окончание], MATCH(1, (Хронология[Ключ]=Планирование[[#This Row],[Ключ]]) * (Хронология[Подытог за операцию]=MAX(IF(Хронология[Ключ]=Планирование[[#This Row],[Ключ]], Хронология[Подытог за операцию]))), 0)),
    Y66+AC66
), Планирование[[#This Row],[Начало (факт)]]+Планирование[[#This Row],[Сутки (факт)]])</f>
        <v>46168.854166666606</v>
      </c>
      <c r="AA66" s="233">
        <f ca="1">IF(AND(Планирование[[#This Row],[Начало (факт)]]=Y67, Планирование[[#This Row],[Забой, м (факт)]]=0), 0, Планирование[[#This Row],[Сутки (факт)]]*24)</f>
        <v>2.29</v>
      </c>
      <c r="AB66" s="233">
        <f ca="1">Планирование[[#This Row],[Часы (факт)]]-Планирование[[#This Row],[НПВ за операцию, часы]]-Планирование[[#This Row],[ПНВ, часы]]</f>
        <v>2.29</v>
      </c>
      <c r="AC66" s="5">
        <f t="array" aca="1" ref="AC66" ca="1">IFERROR(
  IF(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окончены",
    MAX(IF(Хронология[Ключ]=Планирование[[#This Row],[Ключ]], Хронология[Подытог за операцию])),
    IF(
      Планирование[[#This Row],[Событие]]="Мех. бурение",
      (MAX(Хронология[Окончание]) - Планирование[[#This Row],[Начало (факт)]]) +
      (Планирование[[#This Row],[Забой, м (план)]] - Планирование[[#This Row],[Забой, м (факт)]]) /
      ((Планирование[[#This Row],[Забой, м (план)]] - V65)/Планирование[[#This Row],[Сутки (план)]]),
      IF(
        AND(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продолжаются",
          Планирование[[#This Row],[Начало (факт)]]&gt;0
        ),
        (TODAY()-Планирование[[#This Row],[Начало (факт)]]),
        IF(
          AND(Планирование[[#This Row],[Начало (факт)]]=0,
            Планирование[[#This Row],[Начало (план)]] &gt; MAX(Хронология[Начало])),
          Планирование[[#This Row],[Сутки (план)]],
          IF(
            AND((TODAY()-Планирование[[#This Row],[Начало (план)]])&gt;1,
              ISERR(MATCH(Планирование[[#This Row],[Ключ]], Хронология[Ключ], 0))),
            0,
            Планирование[[#This Row],[Сутки (план)]]
          )
        )
      )
    )
  ),
  Планирование[[#This Row],[Сутки (план)]]
)</f>
        <v>9.5416666666666664E-2</v>
      </c>
      <c r="AD66" s="5">
        <f ca="1">Планирование[[#This Row],[Сутки (факт)]]</f>
        <v>9.5416666666666664E-2</v>
      </c>
      <c r="AE66" s="566">
        <f t="array" ref="AE66">MAX(IF(Хронология[Ключ]=Планирование[[#This Row],[Ключ]], Хронология[Забой, м]))</f>
        <v>0</v>
      </c>
      <c r="AF66" s="233">
        <f ca="1">IFERROR(
    SUMIFS(
        Хронология[Часы],
        Хронология[Результат], "НПВ: нет в ГГД",
        Хронология[Начало], "&gt;=" &amp; Планирование[[#This Row],[Начало (факт)]],
        Хронология[Окончание], "&lt;=" &amp; Планирование[[#This Row],[Конец (факт, прогноз)]]
    ),
    0
)</f>
        <v>0</v>
      </c>
      <c r="AG66" s="233">
        <f ca="1">IFERROR(
    SUMIFS(
        Хронология[Часы],
        Хронология[Результат], "НПВ: нет в ГГД",
        Хронология[Начало], "&gt;=" &amp; Планирование[[#This Row],[Конец (факт, прогноз)]],
        Хронология[Окончание], "&lt;=" &amp; Y67
    ),
    0
)</f>
        <v>0</v>
      </c>
      <c r="AH66" s="550">
        <f ca="1">ROUND(IF(Планирование[[#This Row],[Часы (факт)]]-Планирование[[#This Row],[НПВ за операцию, часы]]-Планирование[[#This Row],[Часы (план)]] &lt;0, 0, Планирование[[#This Row],[Часы (факт)]]-Планирование[[#This Row],[НПВ за операцию, часы]]-Планирование[[#This Row],[Часы (план)]]), 2)</f>
        <v>0</v>
      </c>
      <c r="AI66" s="567" t="s">
        <v>1060</v>
      </c>
      <c r="AJ66" s="568">
        <f ca="1">Планирование[[#This Row],[Конец (план)]]-Планирование[[#This Row],[Конец (факт, прогноз)]]</f>
        <v>-1.1570833333389601</v>
      </c>
    </row>
    <row r="67" spans="1:36" ht="30" customHeight="1">
      <c r="A67" s="508" t="s">
        <v>505</v>
      </c>
      <c r="B67" s="577">
        <v>851</v>
      </c>
      <c r="C67" s="543"/>
      <c r="D67" s="585" t="s">
        <v>51</v>
      </c>
      <c r="E67" s="543" t="s">
        <v>58</v>
      </c>
      <c r="F67" s="543"/>
      <c r="G67" s="543" t="s">
        <v>95</v>
      </c>
      <c r="H67" s="543" t="s">
        <v>504</v>
      </c>
      <c r="I67" s="543" t="s">
        <v>92</v>
      </c>
      <c r="J67" s="543" t="s">
        <v>93</v>
      </c>
      <c r="K67" s="543"/>
      <c r="L67" s="9" t="str">
        <f>IF(Планирование[[#This Row],[Контекст простоя]]="Штатно", Планирование[[#This Row],[Скважина]] &amp; " " &amp; "ОК–" &amp;Планирование[[#This Row],[ОК]] &amp; " "  &amp; Планирование[[#This Row],[Этап]] &amp; " " &amp; Планирование[[#This Row],[Вид работ]] &amp; " " &amp; Планирование[[#This Row],[Объект работ]] &amp; " " &amp; Планирование[[#This Row],[Рейс]], Планирование[[#This Row],[Скважина]] &amp; " " &amp; "ОК–" &amp;Планирование[[#This Row],[ОК]] &amp; " " &amp; Планирование[[#This Row],[Этап]] &amp; " " &amp; Планирование[[#This Row],[Контекст простоя]] &amp; " " &amp; Планирование[[#This Row],[Событие]] &amp; " " &amp; Планирование[[#This Row],[Вид работ]] &amp; " " &amp; Планирование[[#This Row],[Объект работ]] &amp; " " &amp; Планирование[[#This Row],[Рейс]])</f>
        <v xml:space="preserve">851 ОК– КРС Расхаживание УЭЦН </v>
      </c>
      <c r="M67" s="551">
        <f>IF(Планирование[[#This Row],[Скважина]]&lt;&gt;B66, Планирование[[#This Row],[Начало (факт)]], N66)</f>
        <v>46167.697083333267</v>
      </c>
      <c r="N67" s="4">
        <f>Планирование[[#This Row],[Начало (цель)]]+Планирование[[#This Row],[Сутки (цель)]]</f>
        <v>46167.780416666603</v>
      </c>
      <c r="O67" s="233">
        <v>2</v>
      </c>
      <c r="P67" s="233"/>
      <c r="Q67" s="5">
        <f>Планирование[[#This Row],[Часы (цель)]]/24</f>
        <v>8.3333333333333329E-2</v>
      </c>
      <c r="R67" s="5">
        <f>R66+Планирование[[#This Row],[Сутки (цель)]]</f>
        <v>9.9865166666666685</v>
      </c>
      <c r="S67" s="551">
        <f>Планирование[[#This Row],[Начало (цель)]]</f>
        <v>46167.697083333267</v>
      </c>
      <c r="T67" s="4">
        <f>Планирование[[#This Row],[Начало (план)]]+Планирование[[#This Row],[Сутки (план)]]</f>
        <v>46167.780416666603</v>
      </c>
      <c r="U67" s="233">
        <f>Планирование[[#This Row],[Часы (цель)]]</f>
        <v>2</v>
      </c>
      <c r="V67" s="233">
        <f>Планирование[[#This Row],[Забой, м (цель)]]</f>
        <v>0</v>
      </c>
      <c r="W67" s="5">
        <f>Планирование[[#This Row],[Часы (план)]]/24</f>
        <v>8.3333333333333329E-2</v>
      </c>
      <c r="X67" s="5"/>
      <c r="Y67" s="551">
        <f t="array" aca="1" ref="Y67" ca="1">IFERROR(
    INDEX(Хронология[Начало], MATCH(1, (Хронология[Ключ]=Планирование[[#This Row],[Ключ]]) * (Хронология[Подытог за операцию]=MIN(IF(Хронология[Ключ]=Планирование[[#This Row],[Ключ]], Хронология[Подытог за операцию]))), 0)),
    Z66
)</f>
        <v>46168.854166666606</v>
      </c>
      <c r="Z67" s="4">
        <f t="array" aca="1" ref="Z67" ca="1">MAX(IFERROR(
    INDEX(Хронология[Окончание], MATCH(1, (Хронология[Ключ]=Планирование[[#This Row],[Ключ]]) * (Хронология[Подытог за операцию]=MAX(IF(Хронология[Ключ]=Планирование[[#This Row],[Ключ]], Хронология[Подытог за операцию]))), 0)),
    Y67+AC67
), Планирование[[#This Row],[Начало (факт)]]+Планирование[[#This Row],[Сутки (факт)]])</f>
        <v>46168.937499999942</v>
      </c>
      <c r="AA67" s="233">
        <f ca="1">IF(AND(Планирование[[#This Row],[Начало (факт)]]=Y68, Планирование[[#This Row],[Забой, м (факт)]]=0), 0, Планирование[[#This Row],[Сутки (факт)]]*24)</f>
        <v>0</v>
      </c>
      <c r="AB67" s="233">
        <f ca="1">Планирование[[#This Row],[Часы (факт)]]-Планирование[[#This Row],[НПВ за операцию, часы]]-Планирование[[#This Row],[ПНВ, часы]]</f>
        <v>0</v>
      </c>
      <c r="AC67" s="5">
        <f t="array" aca="1" ref="AC67" ca="1">IFERROR(
  IF(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окончены",
    MAX(IF(Хронология[Ключ]=Планирование[[#This Row],[Ключ]], Хронология[Подытог за операцию])),
    IF(
      Планирование[[#This Row],[Событие]]="Мех. бурение",
      (MAX(Хронология[Окончание]) - Планирование[[#This Row],[Начало (факт)]]) +
      (Планирование[[#This Row],[Забой, м (план)]] - Планирование[[#This Row],[Забой, м (факт)]]) /
      ((Планирование[[#This Row],[Забой, м (план)]] - V66)/Планирование[[#This Row],[Сутки (план)]]),
      IF(
        AND(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продолжаются",
          Планирование[[#This Row],[Начало (факт)]]&gt;0
        ),
        (TODAY()-Планирование[[#This Row],[Начало (факт)]]),
        IF(
          AND(Планирование[[#This Row],[Начало (факт)]]=0,
            Планирование[[#This Row],[Начало (план)]] &gt; MAX(Хронология[Начало])),
          Планирование[[#This Row],[Сутки (план)]],
          IF(
            AND((TODAY()-Планирование[[#This Row],[Начало (план)]])&gt;1,
              ISERR(MATCH(Планирование[[#This Row],[Ключ]], Хронология[Ключ], 0))),
            0,
            Планирование[[#This Row],[Сутки (план)]]
          )
        )
      )
    )
  ),
  Планирование[[#This Row],[Сутки (план)]]
)</f>
        <v>8.3333333333333329E-2</v>
      </c>
      <c r="AD67" s="5">
        <f ca="1">Планирование[[#This Row],[Сутки (факт)]]</f>
        <v>8.3333333333333329E-2</v>
      </c>
      <c r="AE67" s="566">
        <f t="array" ref="AE67">MAX(IF(Хронология[Ключ]=Планирование[[#This Row],[Ключ]], Хронология[Забой, м]))</f>
        <v>0</v>
      </c>
      <c r="AF67" s="233">
        <f ca="1">IFERROR(
    SUMIFS(
        Хронология[Часы],
        Хронология[Результат], "НПВ: нет в ГГД",
        Хронология[Начало], "&gt;=" &amp; Планирование[[#This Row],[Начало (факт)]],
        Хронология[Окончание], "&lt;=" &amp; Планирование[[#This Row],[Конец (факт, прогноз)]]
    ),
    0
)</f>
        <v>0</v>
      </c>
      <c r="AG67" s="233">
        <f ca="1">IFERROR(
    SUMIFS(
        Хронология[Часы],
        Хронология[Результат], "НПВ: нет в ГГД",
        Хронология[Начало], "&gt;=" &amp; Планирование[[#This Row],[Конец (факт, прогноз)]],
        Хронология[Окончание], "&lt;=" &amp; Y68
    ),
    0
)</f>
        <v>0</v>
      </c>
      <c r="AH67" s="550">
        <f ca="1">ROUND(IF(Планирование[[#This Row],[Часы (факт)]]-Планирование[[#This Row],[НПВ за операцию, часы]]-Планирование[[#This Row],[Часы (план)]] &lt;0, 0, Планирование[[#This Row],[Часы (факт)]]-Планирование[[#This Row],[НПВ за операцию, часы]]-Планирование[[#This Row],[Часы (план)]]), 2)</f>
        <v>0</v>
      </c>
      <c r="AI67" s="567" t="s">
        <v>1060</v>
      </c>
      <c r="AJ67" s="568">
        <f ca="1">Планирование[[#This Row],[Конец (план)]]-Планирование[[#This Row],[Конец (факт, прогноз)]]</f>
        <v>-1.1570833333389601</v>
      </c>
    </row>
    <row r="68" spans="1:36" ht="30" customHeight="1">
      <c r="A68" s="508" t="s">
        <v>506</v>
      </c>
      <c r="B68" s="577">
        <v>851</v>
      </c>
      <c r="C68" s="543"/>
      <c r="D68" s="585" t="s">
        <v>51</v>
      </c>
      <c r="E68" s="543" t="s">
        <v>58</v>
      </c>
      <c r="F68" s="543"/>
      <c r="G68" s="543" t="s">
        <v>69</v>
      </c>
      <c r="H68" s="543" t="s">
        <v>70</v>
      </c>
      <c r="I68" s="543" t="s">
        <v>86</v>
      </c>
      <c r="J68" s="543" t="s">
        <v>161</v>
      </c>
      <c r="K68" s="543"/>
      <c r="L68" s="9" t="str">
        <f>IF(Планирование[[#This Row],[Контекст простоя]]="Штатно", Планирование[[#This Row],[Скважина]] &amp; " " &amp; "ОК–" &amp;Планирование[[#This Row],[ОК]] &amp; " "  &amp; Планирование[[#This Row],[Этап]] &amp; " " &amp; Планирование[[#This Row],[Вид работ]] &amp; " " &amp; Планирование[[#This Row],[Объект работ]] &amp; " " &amp; Планирование[[#This Row],[Рейс]], Планирование[[#This Row],[Скважина]] &amp; " " &amp; "ОК–" &amp;Планирование[[#This Row],[ОК]] &amp; " " &amp; Планирование[[#This Row],[Этап]] &amp; " " &amp; Планирование[[#This Row],[Контекст простоя]] &amp; " " &amp; Планирование[[#This Row],[Событие]] &amp; " " &amp; Планирование[[#This Row],[Вид работ]] &amp; " " &amp; Планирование[[#This Row],[Объект работ]] &amp; " " &amp; Планирование[[#This Row],[Рейс]])</f>
        <v xml:space="preserve">851 ОК– КРС Монтаж ПВО </v>
      </c>
      <c r="M68" s="551">
        <f>IF(Планирование[[#This Row],[Скважина]]&lt;&gt;B67, Планирование[[#This Row],[Начало (факт)]], N67)</f>
        <v>46167.780416666603</v>
      </c>
      <c r="N68" s="4">
        <f>Планирование[[#This Row],[Начало (цель)]]+Планирование[[#This Row],[Сутки (цель)]]</f>
        <v>46167.836666666604</v>
      </c>
      <c r="O68" s="233">
        <v>1.35</v>
      </c>
      <c r="P68" s="233"/>
      <c r="Q68" s="5">
        <f>Планирование[[#This Row],[Часы (цель)]]/24</f>
        <v>5.6250000000000001E-2</v>
      </c>
      <c r="R68" s="5">
        <f>R67+Планирование[[#This Row],[Сутки (цель)]]</f>
        <v>10.042766666666669</v>
      </c>
      <c r="S68" s="551">
        <f>Планирование[[#This Row],[Начало (цель)]]</f>
        <v>46167.780416666603</v>
      </c>
      <c r="T68" s="4">
        <f>Планирование[[#This Row],[Начало (план)]]+Планирование[[#This Row],[Сутки (план)]]</f>
        <v>46167.836666666604</v>
      </c>
      <c r="U68" s="233">
        <f>Планирование[[#This Row],[Часы (цель)]]</f>
        <v>1.35</v>
      </c>
      <c r="V68" s="233">
        <f>Планирование[[#This Row],[Забой, м (цель)]]</f>
        <v>0</v>
      </c>
      <c r="W68" s="5">
        <f>Планирование[[#This Row],[Часы (план)]]/24</f>
        <v>5.6250000000000001E-2</v>
      </c>
      <c r="X68" s="5"/>
      <c r="Y68" s="551">
        <f t="array" ref="Y68">IFERROR(
    INDEX(Хронология[Начало], MATCH(1, (Хронология[Ключ]=Планирование[[#This Row],[Ключ]]) * (Хронология[Подытог за операцию]=MIN(IF(Хронология[Ключ]=Планирование[[#This Row],[Ключ]], Хронология[Подытог за операцию]))), 0)),
    Z67
)</f>
        <v>46168.854166666606</v>
      </c>
      <c r="Z68" s="4">
        <f t="array" aca="1" ref="Z68" ca="1">MAX(IFERROR(
    INDEX(Хронология[Окончание], MATCH(1, (Хронология[Ключ]=Планирование[[#This Row],[Ключ]]) * (Хронология[Подытог за операцию]=MAX(IF(Хронология[Ключ]=Планирование[[#This Row],[Ключ]], Хронология[Подытог за операцию]))), 0)),
    Y68+AC68
), Планирование[[#This Row],[Начало (факт)]]+Планирование[[#This Row],[Сутки (факт)]])</f>
        <v>46168.916666666606</v>
      </c>
      <c r="AA68" s="233">
        <f ca="1">IF(AND(Планирование[[#This Row],[Начало (факт)]]=Y69, Планирование[[#This Row],[Забой, м (факт)]]=0), 0, Планирование[[#This Row],[Сутки (факт)]]*24)</f>
        <v>1.35</v>
      </c>
      <c r="AB68" s="233">
        <f ca="1">Планирование[[#This Row],[Часы (факт)]]-Планирование[[#This Row],[НПВ за операцию, часы]]-Планирование[[#This Row],[ПНВ, часы]]</f>
        <v>1.35</v>
      </c>
      <c r="AC68" s="5">
        <f t="array" aca="1" ref="AC68" ca="1">IFERROR(
  IF(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окончены",
    MAX(IF(Хронология[Ключ]=Планирование[[#This Row],[Ключ]], Хронология[Подытог за операцию])),
    IF(
      Планирование[[#This Row],[Событие]]="Мех. бурение",
      (MAX(Хронология[Окончание]) - Планирование[[#This Row],[Начало (факт)]]) +
      (Планирование[[#This Row],[Забой, м (план)]] - Планирование[[#This Row],[Забой, м (факт)]]) /
      ((Планирование[[#This Row],[Забой, м (план)]] - V67)/Планирование[[#This Row],[Сутки (план)]]),
      IF(
        AND(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продолжаются",
          Планирование[[#This Row],[Начало (факт)]]&gt;0
        ),
        (TODAY()-Планирование[[#This Row],[Начало (факт)]]),
        IF(
          AND(Планирование[[#This Row],[Начало (факт)]]=0,
            Планирование[[#This Row],[Начало (план)]] &gt; MAX(Хронология[Начало])),
          Планирование[[#This Row],[Сутки (план)]],
          IF(
            AND((TODAY()-Планирование[[#This Row],[Начало (план)]])&gt;1,
              ISERR(MATCH(Планирование[[#This Row],[Ключ]], Хронология[Ключ], 0))),
            0,
            Планирование[[#This Row],[Сутки (план)]]
          )
        )
      )
    )
  ),
  Планирование[[#This Row],[Сутки (план)]]
)</f>
        <v>5.6250000000000001E-2</v>
      </c>
      <c r="AD68" s="5">
        <f ca="1">Планирование[[#This Row],[Сутки (факт)]]</f>
        <v>5.6250000000000001E-2</v>
      </c>
      <c r="AE68" s="566">
        <f t="array" ref="AE68">MAX(IF(Хронология[Ключ]=Планирование[[#This Row],[Ключ]], Хронология[Забой, м]))</f>
        <v>0</v>
      </c>
      <c r="AF68" s="233">
        <f ca="1">IFERROR(
    SUMIFS(
        Хронология[Часы],
        Хронология[Результат], "НПВ: нет в ГГД",
        Хронология[Начало], "&gt;=" &amp; Планирование[[#This Row],[Начало (факт)]],
        Хронология[Окончание], "&lt;=" &amp; Планирование[[#This Row],[Конец (факт, прогноз)]]
    ),
    0
)</f>
        <v>0</v>
      </c>
      <c r="AG68" s="233">
        <f ca="1">IFERROR(
    SUMIFS(
        Хронология[Часы],
        Хронология[Результат], "НПВ: нет в ГГД",
        Хронология[Начало], "&gt;=" &amp; Планирование[[#This Row],[Конец (факт, прогноз)]],
        Хронология[Окончание], "&lt;=" &amp; Y69
    ),
    0
)</f>
        <v>0</v>
      </c>
      <c r="AH68" s="550">
        <f ca="1">ROUND(IF(Планирование[[#This Row],[Часы (факт)]]-Планирование[[#This Row],[НПВ за операцию, часы]]-Планирование[[#This Row],[Часы (план)]] &lt;0, 0, Планирование[[#This Row],[Часы (факт)]]-Планирование[[#This Row],[НПВ за операцию, часы]]-Планирование[[#This Row],[Часы (план)]]), 2)</f>
        <v>0</v>
      </c>
      <c r="AI68" s="567" t="s">
        <v>1060</v>
      </c>
      <c r="AJ68" s="568">
        <f ca="1">Планирование[[#This Row],[Конец (план)]]-Планирование[[#This Row],[Конец (факт, прогноз)]]</f>
        <v>-1.0800000000017462</v>
      </c>
    </row>
    <row r="69" spans="1:36" ht="30" customHeight="1">
      <c r="A69" s="508" t="s">
        <v>507</v>
      </c>
      <c r="B69" s="577">
        <v>851</v>
      </c>
      <c r="C69" s="543"/>
      <c r="D69" s="585" t="s">
        <v>51</v>
      </c>
      <c r="E69" s="543" t="s">
        <v>58</v>
      </c>
      <c r="F69" s="543"/>
      <c r="G69" s="543" t="s">
        <v>90</v>
      </c>
      <c r="H69" s="543" t="s">
        <v>106</v>
      </c>
      <c r="I69" s="543" t="s">
        <v>92</v>
      </c>
      <c r="J69" s="543" t="s">
        <v>184</v>
      </c>
      <c r="K69" s="543"/>
      <c r="L69" s="9" t="str">
        <f>IF(Планирование[[#This Row],[Контекст простоя]]="Штатно", Планирование[[#This Row],[Скважина]] &amp; " " &amp; "ОК–" &amp;Планирование[[#This Row],[ОК]] &amp; " "  &amp; Планирование[[#This Row],[Этап]] &amp; " " &amp; Планирование[[#This Row],[Вид работ]] &amp; " " &amp; Планирование[[#This Row],[Объект работ]] &amp; " " &amp; Планирование[[#This Row],[Рейс]], Планирование[[#This Row],[Скважина]] &amp; " " &amp; "ОК–" &amp;Планирование[[#This Row],[ОК]] &amp; " " &amp; Планирование[[#This Row],[Этап]] &amp; " " &amp; Планирование[[#This Row],[Контекст простоя]] &amp; " " &amp; Планирование[[#This Row],[Событие]] &amp; " " &amp; Планирование[[#This Row],[Вид работ]] &amp; " " &amp; Планирование[[#This Row],[Объект работ]] &amp; " " &amp; Планирование[[#This Row],[Рейс]])</f>
        <v xml:space="preserve">851 ОК– КРС Спуск Пакер </v>
      </c>
      <c r="M69" s="551">
        <f>IF(Планирование[[#This Row],[Скважина]]&lt;&gt;B68, Планирование[[#This Row],[Начало (факт)]], N68)</f>
        <v>46167.836666666604</v>
      </c>
      <c r="N69" s="4">
        <f>Планирование[[#This Row],[Начало (цель)]]+Планирование[[#This Row],[Сутки (цель)]]</f>
        <v>46167.877083333267</v>
      </c>
      <c r="O69" s="233">
        <v>0.97</v>
      </c>
      <c r="P69" s="233"/>
      <c r="Q69" s="5">
        <f>Планирование[[#This Row],[Часы (цель)]]/24</f>
        <v>4.0416666666666663E-2</v>
      </c>
      <c r="R69" s="5">
        <f>R68+Планирование[[#This Row],[Сутки (цель)]]</f>
        <v>10.083183333333336</v>
      </c>
      <c r="S69" s="551">
        <f>Планирование[[#This Row],[Начало (цель)]]</f>
        <v>46167.836666666604</v>
      </c>
      <c r="T69" s="4">
        <f>Планирование[[#This Row],[Начало (план)]]+Планирование[[#This Row],[Сутки (план)]]</f>
        <v>46167.877083333267</v>
      </c>
      <c r="U69" s="233">
        <f>Планирование[[#This Row],[Часы (цель)]]</f>
        <v>0.97</v>
      </c>
      <c r="V69" s="233">
        <f>Планирование[[#This Row],[Забой, м (цель)]]</f>
        <v>0</v>
      </c>
      <c r="W69" s="5">
        <f>Планирование[[#This Row],[Часы (план)]]/24</f>
        <v>4.0416666666666663E-2</v>
      </c>
      <c r="X69" s="5"/>
      <c r="Y69" s="551">
        <f t="array" ref="Y69">IFERROR(
    INDEX(Хронология[Начало], MATCH(1, (Хронология[Ключ]=Планирование[[#This Row],[Ключ]]) * (Хронология[Подытог за операцию]=MIN(IF(Хронология[Ключ]=Планирование[[#This Row],[Ключ]], Хронология[Подытог за операцию]))), 0)),
    Z68
)</f>
        <v>46168.916666666606</v>
      </c>
      <c r="Z69" s="4">
        <f t="array" aca="1" ref="Z69" ca="1">MAX(IFERROR(
    INDEX(Хронология[Окончание], MATCH(1, (Хронология[Ключ]=Планирование[[#This Row],[Ключ]]) * (Хронология[Подытог за операцию]=MAX(IF(Хронология[Ключ]=Планирование[[#This Row],[Ключ]], Хронология[Подытог за операцию]))), 0)),
    Y69+AC69
), Планирование[[#This Row],[Начало (факт)]]+Планирование[[#This Row],[Сутки (факт)]])</f>
        <v>46168.999999999942</v>
      </c>
      <c r="AA69" s="233">
        <f ca="1">IF(AND(Планирование[[#This Row],[Начало (факт)]]=Y70, Планирование[[#This Row],[Забой, м (факт)]]=0), 0, Планирование[[#This Row],[Сутки (факт)]]*24)</f>
        <v>0.97</v>
      </c>
      <c r="AB69" s="233">
        <f ca="1">Планирование[[#This Row],[Часы (факт)]]-Планирование[[#This Row],[НПВ за операцию, часы]]-Планирование[[#This Row],[ПНВ, часы]]</f>
        <v>0.97</v>
      </c>
      <c r="AC69" s="5">
        <f t="array" aca="1" ref="AC69" ca="1">IFERROR(
  IF(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окончены",
    MAX(IF(Хронология[Ключ]=Планирование[[#This Row],[Ключ]], Хронология[Подытог за операцию])),
    IF(
      Планирование[[#This Row],[Событие]]="Мех. бурение",
      (MAX(Хронология[Окончание]) - Планирование[[#This Row],[Начало (факт)]]) +
      (Планирование[[#This Row],[Забой, м (план)]] - Планирование[[#This Row],[Забой, м (факт)]]) /
      ((Планирование[[#This Row],[Забой, м (план)]] - V68)/Планирование[[#This Row],[Сутки (план)]]),
      IF(
        AND(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продолжаются",
          Планирование[[#This Row],[Начало (факт)]]&gt;0
        ),
        (TODAY()-Планирование[[#This Row],[Начало (факт)]]),
        IF(
          AND(Планирование[[#This Row],[Начало (факт)]]=0,
            Планирование[[#This Row],[Начало (план)]] &gt; MAX(Хронология[Начало])),
          Планирование[[#This Row],[Сутки (план)]],
          IF(
            AND((TODAY()-Планирование[[#This Row],[Начало (план)]])&gt;1,
              ISERR(MATCH(Планирование[[#This Row],[Ключ]], Хронология[Ключ], 0))),
            0,
            Планирование[[#This Row],[Сутки (план)]]
          )
        )
      )
    )
  ),
  Планирование[[#This Row],[Сутки (план)]]
)</f>
        <v>4.0416666666666663E-2</v>
      </c>
      <c r="AD69" s="5">
        <f ca="1">Планирование[[#This Row],[Сутки (факт)]]</f>
        <v>4.0416666666666663E-2</v>
      </c>
      <c r="AE69" s="566">
        <f t="array" ref="AE69">MAX(IF(Хронология[Ключ]=Планирование[[#This Row],[Ключ]], Хронология[Забой, м]))</f>
        <v>0</v>
      </c>
      <c r="AF69" s="233">
        <f ca="1">IFERROR(
    SUMIFS(
        Хронология[Часы],
        Хронология[Результат], "НПВ: нет в ГГД",
        Хронология[Начало], "&gt;=" &amp; Планирование[[#This Row],[Начало (факт)]],
        Хронология[Окончание], "&lt;=" &amp; Планирование[[#This Row],[Конец (факт, прогноз)]]
    ),
    0
)</f>
        <v>0</v>
      </c>
      <c r="AG69" s="233">
        <f ca="1">IFERROR(
    SUMIFS(
        Хронология[Часы],
        Хронология[Результат], "НПВ: нет в ГГД",
        Хронология[Начало], "&gt;=" &amp; Планирование[[#This Row],[Конец (факт, прогноз)]],
        Хронология[Окончание], "&lt;=" &amp; Y70
    ),
    0
)</f>
        <v>0</v>
      </c>
      <c r="AH69" s="550">
        <f ca="1">ROUND(IF(Планирование[[#This Row],[Часы (факт)]]-Планирование[[#This Row],[НПВ за операцию, часы]]-Планирование[[#This Row],[Часы (план)]] &lt;0, 0, Планирование[[#This Row],[Часы (факт)]]-Планирование[[#This Row],[НПВ за операцию, часы]]-Планирование[[#This Row],[Часы (план)]]), 2)</f>
        <v>0</v>
      </c>
      <c r="AI69" s="567" t="s">
        <v>1060</v>
      </c>
      <c r="AJ69" s="568">
        <f ca="1">Планирование[[#This Row],[Конец (план)]]-Планирование[[#This Row],[Конец (факт, прогноз)]]</f>
        <v>-1.1229166666744277</v>
      </c>
    </row>
    <row r="70" spans="1:36" ht="30" customHeight="1">
      <c r="A70" s="508" t="s">
        <v>508</v>
      </c>
      <c r="B70" s="577">
        <v>851</v>
      </c>
      <c r="C70" s="543"/>
      <c r="D70" s="585" t="s">
        <v>51</v>
      </c>
      <c r="E70" s="543" t="s">
        <v>58</v>
      </c>
      <c r="F70" s="543"/>
      <c r="G70" s="543" t="s">
        <v>111</v>
      </c>
      <c r="H70" s="543" t="s">
        <v>150</v>
      </c>
      <c r="I70" s="543" t="s">
        <v>86</v>
      </c>
      <c r="J70" s="543" t="s">
        <v>144</v>
      </c>
      <c r="K70" s="543"/>
      <c r="L70" s="9" t="str">
        <f>IF(Планирование[[#This Row],[Контекст простоя]]="Штатно", Планирование[[#This Row],[Скважина]] &amp; " " &amp; "ОК–" &amp;Планирование[[#This Row],[ОК]] &amp; " "  &amp; Планирование[[#This Row],[Этап]] &amp; " " &amp; Планирование[[#This Row],[Вид работ]] &amp; " " &amp; Планирование[[#This Row],[Объект работ]] &amp; " " &amp; Планирование[[#This Row],[Рейс]], Планирование[[#This Row],[Скважина]] &amp; " " &amp; "ОК–" &amp;Планирование[[#This Row],[ОК]] &amp; " " &amp; Планирование[[#This Row],[Этап]] &amp; " " &amp; Планирование[[#This Row],[Контекст простоя]] &amp; " " &amp; Планирование[[#This Row],[Событие]] &amp; " " &amp; Планирование[[#This Row],[Вид работ]] &amp; " " &amp; Планирование[[#This Row],[Объект работ]] &amp; " " &amp; Планирование[[#This Row],[Рейс]])</f>
        <v xml:space="preserve">851 ОК– КРС Опрессовка Запорная арматура </v>
      </c>
      <c r="M70" s="551">
        <f>IF(Планирование[[#This Row],[Скважина]]&lt;&gt;B69, Планирование[[#This Row],[Начало (факт)]], N69)</f>
        <v>46167.877083333267</v>
      </c>
      <c r="N70" s="4">
        <f>Планирование[[#This Row],[Начало (цель)]]+Планирование[[#This Row],[Сутки (цель)]]</f>
        <v>46167.912083333271</v>
      </c>
      <c r="O70" s="233">
        <v>0.84</v>
      </c>
      <c r="P70" s="233"/>
      <c r="Q70" s="5">
        <f>Планирование[[#This Row],[Часы (цель)]]/24</f>
        <v>3.4999999999999996E-2</v>
      </c>
      <c r="R70" s="5">
        <f>R69+Планирование[[#This Row],[Сутки (цель)]]</f>
        <v>10.118183333333336</v>
      </c>
      <c r="S70" s="551">
        <f>Планирование[[#This Row],[Начало (цель)]]</f>
        <v>46167.877083333267</v>
      </c>
      <c r="T70" s="4">
        <f>Планирование[[#This Row],[Начало (план)]]+Планирование[[#This Row],[Сутки (план)]]</f>
        <v>46167.912083333271</v>
      </c>
      <c r="U70" s="233">
        <f>Планирование[[#This Row],[Часы (цель)]]</f>
        <v>0.84</v>
      </c>
      <c r="V70" s="233">
        <f>Планирование[[#This Row],[Забой, м (цель)]]</f>
        <v>0</v>
      </c>
      <c r="W70" s="5">
        <f>Планирование[[#This Row],[Часы (план)]]/24</f>
        <v>3.4999999999999996E-2</v>
      </c>
      <c r="X70" s="5"/>
      <c r="Y70" s="551">
        <f t="array" aca="1" ref="Y70" ca="1">IFERROR(
    INDEX(Хронология[Начало], MATCH(1, (Хронология[Ключ]=Планирование[[#This Row],[Ключ]]) * (Хронология[Подытог за операцию]=MIN(IF(Хронология[Ключ]=Планирование[[#This Row],[Ключ]], Хронология[Подытог за операцию]))), 0)),
    Z69
)</f>
        <v>46168.999999999942</v>
      </c>
      <c r="Z70" s="4">
        <f t="array" aca="1" ref="Z70" ca="1">MAX(IFERROR(
    INDEX(Хронология[Окончание], MATCH(1, (Хронология[Ключ]=Планирование[[#This Row],[Ключ]]) * (Хронология[Подытог за операцию]=MAX(IF(Хронология[Ключ]=Планирование[[#This Row],[Ключ]], Хронология[Подытог за операцию]))), 0)),
    Y70+AC70
), Планирование[[#This Row],[Начало (факт)]]+Планирование[[#This Row],[Сутки (факт)]])</f>
        <v>46169.034999999945</v>
      </c>
      <c r="AA70" s="233">
        <f ca="1">IF(AND(Планирование[[#This Row],[Начало (факт)]]=Y71, Планирование[[#This Row],[Забой, м (факт)]]=0), 0, Планирование[[#This Row],[Сутки (факт)]]*24)</f>
        <v>0.83999999999999986</v>
      </c>
      <c r="AB70" s="233">
        <f ca="1">Планирование[[#This Row],[Часы (факт)]]-Планирование[[#This Row],[НПВ за операцию, часы]]-Планирование[[#This Row],[ПНВ, часы]]</f>
        <v>0.83999999999999986</v>
      </c>
      <c r="AC70" s="5">
        <f t="array" aca="1" ref="AC70" ca="1">IFERROR(
  IF(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окончены",
    MAX(IF(Хронология[Ключ]=Планирование[[#This Row],[Ключ]], Хронология[Подытог за операцию])),
    IF(
      Планирование[[#This Row],[Событие]]="Мех. бурение",
      (MAX(Хронология[Окончание]) - Планирование[[#This Row],[Начало (факт)]]) +
      (Планирование[[#This Row],[Забой, м (план)]] - Планирование[[#This Row],[Забой, м (факт)]]) /
      ((Планирование[[#This Row],[Забой, м (план)]] - V69)/Планирование[[#This Row],[Сутки (план)]]),
      IF(
        AND(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продолжаются",
          Планирование[[#This Row],[Начало (факт)]]&gt;0
        ),
        (TODAY()-Планирование[[#This Row],[Начало (факт)]]),
        IF(
          AND(Планирование[[#This Row],[Начало (факт)]]=0,
            Планирование[[#This Row],[Начало (план)]] &gt; MAX(Хронология[Начало])),
          Планирование[[#This Row],[Сутки (план)]],
          IF(
            AND((TODAY()-Планирование[[#This Row],[Начало (план)]])&gt;1,
              ISERR(MATCH(Планирование[[#This Row],[Ключ]], Хронология[Ключ], 0))),
            0,
            Планирование[[#This Row],[Сутки (план)]]
          )
        )
      )
    )
  ),
  Планирование[[#This Row],[Сутки (план)]]
)</f>
        <v>3.4999999999999996E-2</v>
      </c>
      <c r="AD70" s="5">
        <f ca="1">Планирование[[#This Row],[Сутки (факт)]]</f>
        <v>3.4999999999999996E-2</v>
      </c>
      <c r="AE70" s="566">
        <f t="array" ref="AE70">MAX(IF(Хронология[Ключ]=Планирование[[#This Row],[Ключ]], Хронология[Забой, м]))</f>
        <v>0</v>
      </c>
      <c r="AF70" s="233">
        <f ca="1">IFERROR(
    SUMIFS(
        Хронология[Часы],
        Хронология[Результат], "НПВ: нет в ГГД",
        Хронология[Начало], "&gt;=" &amp; Планирование[[#This Row],[Начало (факт)]],
        Хронология[Окончание], "&lt;=" &amp; Планирование[[#This Row],[Конец (факт, прогноз)]]
    ),
    0
)</f>
        <v>0</v>
      </c>
      <c r="AG70" s="233">
        <f ca="1">IFERROR(
    SUMIFS(
        Хронология[Часы],
        Хронология[Результат], "НПВ: нет в ГГД",
        Хронология[Начало], "&gt;=" &amp; Планирование[[#This Row],[Конец (факт, прогноз)]],
        Хронология[Окончание], "&lt;=" &amp; Y71
    ),
    0
)</f>
        <v>0</v>
      </c>
      <c r="AH70" s="550">
        <f ca="1">ROUND(IF(Планирование[[#This Row],[Часы (факт)]]-Планирование[[#This Row],[НПВ за операцию, часы]]-Планирование[[#This Row],[Часы (план)]] &lt;0, 0, Планирование[[#This Row],[Часы (факт)]]-Планирование[[#This Row],[НПВ за операцию, часы]]-Планирование[[#This Row],[Часы (план)]]), 2)</f>
        <v>0</v>
      </c>
      <c r="AI70" s="567" t="s">
        <v>1060</v>
      </c>
      <c r="AJ70" s="568">
        <f ca="1">Планирование[[#This Row],[Конец (план)]]-Планирование[[#This Row],[Конец (факт, прогноз)]]</f>
        <v>-1.1229166666744277</v>
      </c>
    </row>
    <row r="71" spans="1:36" ht="30" customHeight="1">
      <c r="A71" s="508" t="s">
        <v>509</v>
      </c>
      <c r="B71" s="577">
        <v>851</v>
      </c>
      <c r="C71" s="543"/>
      <c r="D71" s="585" t="s">
        <v>51</v>
      </c>
      <c r="E71" s="543" t="s">
        <v>58</v>
      </c>
      <c r="F71" s="543"/>
      <c r="G71" s="543" t="s">
        <v>142</v>
      </c>
      <c r="H71" s="543" t="s">
        <v>143</v>
      </c>
      <c r="I71" s="543" t="s">
        <v>86</v>
      </c>
      <c r="J71" s="543" t="s">
        <v>144</v>
      </c>
      <c r="K71" s="543"/>
      <c r="L71" s="9" t="str">
        <f>IF(Планирование[[#This Row],[Контекст простоя]]="Штатно", Планирование[[#This Row],[Скважина]] &amp; " " &amp; "ОК–" &amp;Планирование[[#This Row],[ОК]] &amp; " "  &amp; Планирование[[#This Row],[Этап]] &amp; " " &amp; Планирование[[#This Row],[Вид работ]] &amp; " " &amp; Планирование[[#This Row],[Объект работ]] &amp; " " &amp; Планирование[[#This Row],[Рейс]], Планирование[[#This Row],[Скважина]] &amp; " " &amp; "ОК–" &amp;Планирование[[#This Row],[ОК]] &amp; " " &amp; Планирование[[#This Row],[Этап]] &amp; " " &amp; Планирование[[#This Row],[Контекст простоя]] &amp; " " &amp; Планирование[[#This Row],[Событие]] &amp; " " &amp; Планирование[[#This Row],[Вид работ]] &amp; " " &amp; Планирование[[#This Row],[Объект работ]] &amp; " " &amp; Планирование[[#This Row],[Рейс]])</f>
        <v xml:space="preserve">851 ОК– КРС Замена Запорная арматура </v>
      </c>
      <c r="M71" s="551">
        <f>IF(Планирование[[#This Row],[Скважина]]&lt;&gt;B70, Планирование[[#This Row],[Начало (факт)]], N70)</f>
        <v>46167.912083333271</v>
      </c>
      <c r="N71" s="4">
        <f>Планирование[[#This Row],[Начало (цель)]]+Планирование[[#This Row],[Сутки (цель)]]</f>
        <v>46168.012499999939</v>
      </c>
      <c r="O71" s="233">
        <v>2.41</v>
      </c>
      <c r="P71" s="233"/>
      <c r="Q71" s="5">
        <f>Планирование[[#This Row],[Часы (цель)]]/24</f>
        <v>0.10041666666666667</v>
      </c>
      <c r="R71" s="5">
        <f>R70+Планирование[[#This Row],[Сутки (цель)]]</f>
        <v>10.218600000000002</v>
      </c>
      <c r="S71" s="551">
        <f>Планирование[[#This Row],[Начало (цель)]]</f>
        <v>46167.912083333271</v>
      </c>
      <c r="T71" s="4">
        <f>Планирование[[#This Row],[Начало (план)]]+Планирование[[#This Row],[Сутки (план)]]</f>
        <v>46168.012499999939</v>
      </c>
      <c r="U71" s="233">
        <f>Планирование[[#This Row],[Часы (цель)]]</f>
        <v>2.41</v>
      </c>
      <c r="V71" s="233">
        <f>Планирование[[#This Row],[Забой, м (цель)]]</f>
        <v>0</v>
      </c>
      <c r="W71" s="5">
        <f>Планирование[[#This Row],[Часы (план)]]/24</f>
        <v>0.10041666666666667</v>
      </c>
      <c r="X71" s="5"/>
      <c r="Y71" s="551">
        <f t="array" ref="Y71">IFERROR(
    INDEX(Хронология[Начало], MATCH(1, (Хронология[Ключ]=Планирование[[#This Row],[Ключ]]) * (Хронология[Подытог за операцию]=MIN(IF(Хронология[Ключ]=Планирование[[#This Row],[Ключ]], Хронология[Подытог за операцию]))), 0)),
    Z70
)</f>
        <v>46169.416666666606</v>
      </c>
      <c r="Z71" s="4">
        <f t="array" aca="1" ref="Z71" ca="1">MAX(IFERROR(
    INDEX(Хронология[Окончание], MATCH(1, (Хронология[Ключ]=Планирование[[#This Row],[Ключ]]) * (Хронология[Подытог за операцию]=MAX(IF(Хронология[Ключ]=Планирование[[#This Row],[Ключ]], Хронология[Подытог за операцию]))), 0)),
    Y71+AC71
), Планирование[[#This Row],[Начало (факт)]]+Планирование[[#This Row],[Сутки (факт)]])</f>
        <v>46169.666666666606</v>
      </c>
      <c r="AA71" s="233">
        <f ca="1">IF(AND(Планирование[[#This Row],[Начало (факт)]]=Y72, Планирование[[#This Row],[Забой, м (факт)]]=0), 0, Планирование[[#This Row],[Сутки (факт)]]*24)</f>
        <v>2.41</v>
      </c>
      <c r="AB71" s="233">
        <f ca="1">Планирование[[#This Row],[Часы (факт)]]-Планирование[[#This Row],[НПВ за операцию, часы]]-Планирование[[#This Row],[ПНВ, часы]]</f>
        <v>2.41</v>
      </c>
      <c r="AC71" s="5">
        <f t="array" aca="1" ref="AC71" ca="1">IFERROR(
  IF(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окончены",
    MAX(IF(Хронология[Ключ]=Планирование[[#This Row],[Ключ]], Хронология[Подытог за операцию])),
    IF(
      Планирование[[#This Row],[Событие]]="Мех. бурение",
      (MAX(Хронология[Окончание]) - Планирование[[#This Row],[Начало (факт)]]) +
      (Планирование[[#This Row],[Забой, м (план)]] - Планирование[[#This Row],[Забой, м (факт)]]) /
      ((Планирование[[#This Row],[Забой, м (план)]] - V70)/Планирование[[#This Row],[Сутки (план)]]),
      IF(
        AND(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продолжаются",
          Планирование[[#This Row],[Начало (факт)]]&gt;0
        ),
        (TODAY()-Планирование[[#This Row],[Начало (факт)]]),
        IF(
          AND(Планирование[[#This Row],[Начало (факт)]]=0,
            Планирование[[#This Row],[Начало (план)]] &gt; MAX(Хронология[Начало])),
          Планирование[[#This Row],[Сутки (план)]],
          IF(
            AND((TODAY()-Планирование[[#This Row],[Начало (план)]])&gt;1,
              ISERR(MATCH(Планирование[[#This Row],[Ключ]], Хронология[Ключ], 0))),
            0,
            Планирование[[#This Row],[Сутки (план)]]
          )
        )
      )
    )
  ),
  Планирование[[#This Row],[Сутки (план)]]
)</f>
        <v>0.10041666666666667</v>
      </c>
      <c r="AD71" s="5">
        <f ca="1">Планирование[[#This Row],[Сутки (факт)]]</f>
        <v>0.10041666666666667</v>
      </c>
      <c r="AE71" s="566">
        <f t="array" ref="AE71">MAX(IF(Хронология[Ключ]=Планирование[[#This Row],[Ключ]], Хронология[Забой, м]))</f>
        <v>0</v>
      </c>
      <c r="AF71" s="233">
        <f ca="1">IFERROR(
    SUMIFS(
        Хронология[Часы],
        Хронология[Результат], "НПВ: нет в ГГД",
        Хронология[Начало], "&gt;=" &amp; Планирование[[#This Row],[Начало (факт)]],
        Хронология[Окончание], "&lt;=" &amp; Планирование[[#This Row],[Конец (факт, прогноз)]]
    ),
    0
)</f>
        <v>0</v>
      </c>
      <c r="AG71" s="233">
        <f ca="1">IFERROR(
    SUMIFS(
        Хронология[Часы],
        Хронология[Результат], "НПВ: нет в ГГД",
        Хронология[Начало], "&gt;=" &amp; Планирование[[#This Row],[Конец (факт, прогноз)]],
        Хронология[Окончание], "&lt;=" &amp; Y72
    ),
    0
)</f>
        <v>0</v>
      </c>
      <c r="AH71" s="550">
        <f ca="1">ROUND(IF(Планирование[[#This Row],[Часы (факт)]]-Планирование[[#This Row],[НПВ за операцию, часы]]-Планирование[[#This Row],[Часы (план)]] &lt;0, 0, Планирование[[#This Row],[Часы (факт)]]-Планирование[[#This Row],[НПВ за операцию, часы]]-Планирование[[#This Row],[Часы (план)]]), 2)</f>
        <v>0</v>
      </c>
      <c r="AI71" s="567" t="s">
        <v>1060</v>
      </c>
      <c r="AJ71" s="568">
        <f ca="1">Планирование[[#This Row],[Конец (план)]]-Планирование[[#This Row],[Конец (факт, прогноз)]]</f>
        <v>-1.6541666666671517</v>
      </c>
    </row>
    <row r="72" spans="1:36" ht="30" customHeight="1">
      <c r="A72" s="508" t="s">
        <v>510</v>
      </c>
      <c r="B72" s="577">
        <v>851</v>
      </c>
      <c r="C72" s="543"/>
      <c r="D72" s="585" t="s">
        <v>51</v>
      </c>
      <c r="E72" s="543" t="s">
        <v>58</v>
      </c>
      <c r="F72" s="543"/>
      <c r="G72" s="543" t="s">
        <v>111</v>
      </c>
      <c r="H72" s="543" t="s">
        <v>150</v>
      </c>
      <c r="I72" s="543" t="s">
        <v>86</v>
      </c>
      <c r="J72" s="543" t="s">
        <v>144</v>
      </c>
      <c r="K72" s="543">
        <v>1</v>
      </c>
      <c r="L72" s="9" t="str">
        <f>IF(Планирование[[#This Row],[Контекст простоя]]="Штатно", Планирование[[#This Row],[Скважина]] &amp; " " &amp; "ОК–" &amp;Планирование[[#This Row],[ОК]] &amp; " "  &amp; Планирование[[#This Row],[Этап]] &amp; " " &amp; Планирование[[#This Row],[Вид работ]] &amp; " " &amp; Планирование[[#This Row],[Объект работ]] &amp; " " &amp; Планирование[[#This Row],[Рейс]], Планирование[[#This Row],[Скважина]] &amp; " " &amp; "ОК–" &amp;Планирование[[#This Row],[ОК]] &amp; " " &amp; Планирование[[#This Row],[Этап]] &amp; " " &amp; Планирование[[#This Row],[Контекст простоя]] &amp; " " &amp; Планирование[[#This Row],[Событие]] &amp; " " &amp; Планирование[[#This Row],[Вид работ]] &amp; " " &amp; Планирование[[#This Row],[Объект работ]] &amp; " " &amp; Планирование[[#This Row],[Рейс]])</f>
        <v>851 ОК– КРС Опрессовка Запорная арматура 1</v>
      </c>
      <c r="M72" s="551">
        <f>IF(Планирование[[#This Row],[Скважина]]&lt;&gt;B71, Планирование[[#This Row],[Начало (факт)]], N71)</f>
        <v>46168.012499999939</v>
      </c>
      <c r="N72" s="4">
        <f>Планирование[[#This Row],[Начало (цель)]]+Планирование[[#This Row],[Сутки (цель)]]</f>
        <v>46168.044583333271</v>
      </c>
      <c r="O72" s="233">
        <v>0.77</v>
      </c>
      <c r="P72" s="233"/>
      <c r="Q72" s="5">
        <f>Планирование[[#This Row],[Часы (цель)]]/24</f>
        <v>3.2083333333333332E-2</v>
      </c>
      <c r="R72" s="5">
        <f>R71+Планирование[[#This Row],[Сутки (цель)]]</f>
        <v>10.250683333333335</v>
      </c>
      <c r="S72" s="551">
        <f>Планирование[[#This Row],[Начало (цель)]]</f>
        <v>46168.012499999939</v>
      </c>
      <c r="T72" s="4">
        <f>Планирование[[#This Row],[Начало (план)]]+Планирование[[#This Row],[Сутки (план)]]</f>
        <v>46168.044583333271</v>
      </c>
      <c r="U72" s="233">
        <f>Планирование[[#This Row],[Часы (цель)]]</f>
        <v>0.77</v>
      </c>
      <c r="V72" s="233">
        <f>Планирование[[#This Row],[Забой, м (цель)]]</f>
        <v>0</v>
      </c>
      <c r="W72" s="5">
        <f>Планирование[[#This Row],[Часы (план)]]/24</f>
        <v>3.2083333333333332E-2</v>
      </c>
      <c r="X72" s="5"/>
      <c r="Y72" s="551">
        <f t="array" aca="1" ref="Y72" ca="1">IFERROR(
    INDEX(Хронология[Начало], MATCH(1, (Хронология[Ключ]=Планирование[[#This Row],[Ключ]]) * (Хронология[Подытог за операцию]=MIN(IF(Хронология[Ключ]=Планирование[[#This Row],[Ключ]], Хронология[Подытог за операцию]))), 0)),
    Z71
)</f>
        <v>46169.666666666606</v>
      </c>
      <c r="Z72" s="4">
        <f t="array" aca="1" ref="Z72" ca="1">MAX(IFERROR(
    INDEX(Хронология[Окончание], MATCH(1, (Хронология[Ключ]=Планирование[[#This Row],[Ключ]]) * (Хронология[Подытог за операцию]=MAX(IF(Хронология[Ключ]=Планирование[[#This Row],[Ключ]], Хронология[Подытог за операцию]))), 0)),
    Y72+AC72
), Планирование[[#This Row],[Начало (факт)]]+Планирование[[#This Row],[Сутки (факт)]])</f>
        <v>46169.698749999938</v>
      </c>
      <c r="AA72" s="233">
        <f ca="1">IF(AND(Планирование[[#This Row],[Начало (факт)]]=Y73, Планирование[[#This Row],[Забой, м (факт)]]=0), 0, Планирование[[#This Row],[Сутки (факт)]]*24)</f>
        <v>0</v>
      </c>
      <c r="AB72" s="233">
        <f ca="1">Планирование[[#This Row],[Часы (факт)]]-Планирование[[#This Row],[НПВ за операцию, часы]]-Планирование[[#This Row],[ПНВ, часы]]</f>
        <v>0</v>
      </c>
      <c r="AC72" s="5">
        <f t="array" aca="1" ref="AC72" ca="1">IFERROR(
  IF(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окончены",
    MAX(IF(Хронология[Ключ]=Планирование[[#This Row],[Ключ]], Хронология[Подытог за операцию])),
    IF(
      Планирование[[#This Row],[Событие]]="Мех. бурение",
      (MAX(Хронология[Окончание]) - Планирование[[#This Row],[Начало (факт)]]) +
      (Планирование[[#This Row],[Забой, м (план)]] - Планирование[[#This Row],[Забой, м (факт)]]) /
      ((Планирование[[#This Row],[Забой, м (план)]] - V71)/Планирование[[#This Row],[Сутки (план)]]),
      IF(
        AND(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продолжаются",
          Планирование[[#This Row],[Начало (факт)]]&gt;0
        ),
        (TODAY()-Планирование[[#This Row],[Начало (факт)]]),
        IF(
          AND(Планирование[[#This Row],[Начало (факт)]]=0,
            Планирование[[#This Row],[Начало (план)]] &gt; MAX(Хронология[Начало])),
          Планирование[[#This Row],[Сутки (план)]],
          IF(
            AND((TODAY()-Планирование[[#This Row],[Начало (план)]])&gt;1,
              ISERR(MATCH(Планирование[[#This Row],[Ключ]], Хронология[Ключ], 0))),
            0,
            Планирование[[#This Row],[Сутки (план)]]
          )
        )
      )
    )
  ),
  Планирование[[#This Row],[Сутки (план)]]
)</f>
        <v>3.2083333333333332E-2</v>
      </c>
      <c r="AD72" s="5">
        <f ca="1">Планирование[[#This Row],[Сутки (факт)]]</f>
        <v>3.2083333333333332E-2</v>
      </c>
      <c r="AE72" s="566">
        <f t="array" ref="AE72">MAX(IF(Хронология[Ключ]=Планирование[[#This Row],[Ключ]], Хронология[Забой, м]))</f>
        <v>0</v>
      </c>
      <c r="AF72" s="233">
        <f ca="1">IFERROR(
    SUMIFS(
        Хронология[Часы],
        Хронология[Результат], "НПВ: нет в ГГД",
        Хронология[Начало], "&gt;=" &amp; Планирование[[#This Row],[Начало (факт)]],
        Хронология[Окончание], "&lt;=" &amp; Планирование[[#This Row],[Конец (факт, прогноз)]]
    ),
    0
)</f>
        <v>0</v>
      </c>
      <c r="AG72" s="233">
        <f ca="1">IFERROR(
    SUMIFS(
        Хронология[Часы],
        Хронология[Результат], "НПВ: нет в ГГД",
        Хронология[Начало], "&gt;=" &amp; Планирование[[#This Row],[Конец (факт, прогноз)]],
        Хронология[Окончание], "&lt;=" &amp; Y73
    ),
    0
)</f>
        <v>0</v>
      </c>
      <c r="AH72" s="550">
        <f ca="1">ROUND(IF(Планирование[[#This Row],[Часы (факт)]]-Планирование[[#This Row],[НПВ за операцию, часы]]-Планирование[[#This Row],[Часы (план)]] &lt;0, 0, Планирование[[#This Row],[Часы (факт)]]-Планирование[[#This Row],[НПВ за операцию, часы]]-Планирование[[#This Row],[Часы (план)]]), 2)</f>
        <v>0</v>
      </c>
      <c r="AI72" s="567" t="s">
        <v>1060</v>
      </c>
      <c r="AJ72" s="568">
        <f ca="1">Планирование[[#This Row],[Конец (план)]]-Планирование[[#This Row],[Конец (факт, прогноз)]]</f>
        <v>-1.6541666666671517</v>
      </c>
    </row>
    <row r="73" spans="1:36" ht="30" customHeight="1">
      <c r="A73" s="508" t="s">
        <v>511</v>
      </c>
      <c r="B73" s="577">
        <v>851</v>
      </c>
      <c r="C73" s="543"/>
      <c r="D73" s="585" t="s">
        <v>51</v>
      </c>
      <c r="E73" s="543" t="s">
        <v>58</v>
      </c>
      <c r="F73" s="543"/>
      <c r="G73" s="543" t="s">
        <v>169</v>
      </c>
      <c r="H73" s="543" t="s">
        <v>175</v>
      </c>
      <c r="I73" s="543" t="s">
        <v>167</v>
      </c>
      <c r="J73" s="543" t="s">
        <v>4</v>
      </c>
      <c r="K73" s="543"/>
      <c r="L73" s="9" t="str">
        <f>IF(Планирование[[#This Row],[Контекст простоя]]="Штатно", Планирование[[#This Row],[Скважина]] &amp; " " &amp; "ОК–" &amp;Планирование[[#This Row],[ОК]] &amp; " "  &amp; Планирование[[#This Row],[Этап]] &amp; " " &amp; Планирование[[#This Row],[Вид работ]] &amp; " " &amp; Планирование[[#This Row],[Объект работ]] &amp; " " &amp; Планирование[[#This Row],[Рейс]], Планирование[[#This Row],[Скважина]] &amp; " " &amp; "ОК–" &amp;Планирование[[#This Row],[ОК]] &amp; " " &amp; Планирование[[#This Row],[Этап]] &amp; " " &amp; Планирование[[#This Row],[Контекст простоя]] &amp; " " &amp; Планирование[[#This Row],[Событие]] &amp; " " &amp; Планирование[[#This Row],[Вид работ]] &amp; " " &amp; Планирование[[#This Row],[Объект работ]] &amp; " " &amp; Планирование[[#This Row],[Рейс]])</f>
        <v xml:space="preserve">851 ОК– КРС Обратная промывка Скважина </v>
      </c>
      <c r="M73" s="551">
        <f>IF(Планирование[[#This Row],[Скважина]]&lt;&gt;B72, Планирование[[#This Row],[Начало (факт)]], N72)</f>
        <v>46168.044583333271</v>
      </c>
      <c r="N73" s="4">
        <f>Планирование[[#This Row],[Начало (цель)]]+Планирование[[#This Row],[Сутки (цель)]]</f>
        <v>46168.118749999936</v>
      </c>
      <c r="O73" s="233">
        <v>1.78</v>
      </c>
      <c r="P73" s="233"/>
      <c r="Q73" s="5">
        <f>Планирование[[#This Row],[Часы (цель)]]/24</f>
        <v>7.4166666666666672E-2</v>
      </c>
      <c r="R73" s="5">
        <f>R72+Планирование[[#This Row],[Сутки (цель)]]</f>
        <v>10.324850000000001</v>
      </c>
      <c r="S73" s="551">
        <f>Планирование[[#This Row],[Начало (цель)]]</f>
        <v>46168.044583333271</v>
      </c>
      <c r="T73" s="4">
        <f>Планирование[[#This Row],[Начало (план)]]+Планирование[[#This Row],[Сутки (план)]]</f>
        <v>46168.118749999936</v>
      </c>
      <c r="U73" s="233">
        <f>Планирование[[#This Row],[Часы (цель)]]</f>
        <v>1.78</v>
      </c>
      <c r="V73" s="233">
        <f>Планирование[[#This Row],[Забой, м (цель)]]</f>
        <v>0</v>
      </c>
      <c r="W73" s="5">
        <f>Планирование[[#This Row],[Часы (план)]]/24</f>
        <v>7.4166666666666672E-2</v>
      </c>
      <c r="X73" s="5"/>
      <c r="Y73" s="551">
        <f t="array" ref="Y73">IFERROR(
    INDEX(Хронология[Начало], MATCH(1, (Хронология[Ключ]=Планирование[[#This Row],[Ключ]]) * (Хронология[Подытог за операцию]=MIN(IF(Хронология[Ключ]=Планирование[[#This Row],[Ключ]], Хронология[Подытог за операцию]))), 0)),
    Z72
)</f>
        <v>46169.666666666606</v>
      </c>
      <c r="Z73" s="4">
        <f t="array" aca="1" ref="Z73" ca="1">MAX(IFERROR(
    INDEX(Хронология[Окончание], MATCH(1, (Хронология[Ключ]=Планирование[[#This Row],[Ключ]]) * (Хронология[Подытог за операцию]=MAX(IF(Хронология[Ключ]=Планирование[[#This Row],[Ключ]], Хронология[Подытог за операцию]))), 0)),
    Y73+AC73
), Планирование[[#This Row],[Начало (факт)]]+Планирование[[#This Row],[Сутки (факт)]])</f>
        <v>46169.83333333327</v>
      </c>
      <c r="AA73" s="233">
        <f ca="1">IF(AND(Планирование[[#This Row],[Начало (факт)]]=Y74, Планирование[[#This Row],[Забой, м (факт)]]=0), 0, Планирование[[#This Row],[Сутки (факт)]]*24)</f>
        <v>1.7800000000000002</v>
      </c>
      <c r="AB73" s="233">
        <f ca="1">Планирование[[#This Row],[Часы (факт)]]-Планирование[[#This Row],[НПВ за операцию, часы]]-Планирование[[#This Row],[ПНВ, часы]]</f>
        <v>1.7800000000000002</v>
      </c>
      <c r="AC73" s="5">
        <f t="array" aca="1" ref="AC73" ca="1">IFERROR(
  IF(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окончены",
    MAX(IF(Хронология[Ключ]=Планирование[[#This Row],[Ключ]], Хронология[Подытог за операцию])),
    IF(
      Планирование[[#This Row],[Событие]]="Мех. бурение",
      (MAX(Хронология[Окончание]) - Планирование[[#This Row],[Начало (факт)]]) +
      (Планирование[[#This Row],[Забой, м (план)]] - Планирование[[#This Row],[Забой, м (факт)]]) /
      ((Планирование[[#This Row],[Забой, м (план)]] - V72)/Планирование[[#This Row],[Сутки (план)]]),
      IF(
        AND(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продолжаются",
          Планирование[[#This Row],[Начало (факт)]]&gt;0
        ),
        (TODAY()-Планирование[[#This Row],[Начало (факт)]]),
        IF(
          AND(Планирование[[#This Row],[Начало (факт)]]=0,
            Планирование[[#This Row],[Начало (план)]] &gt; MAX(Хронология[Начало])),
          Планирование[[#This Row],[Сутки (план)]],
          IF(
            AND((TODAY()-Планирование[[#This Row],[Начало (план)]])&gt;1,
              ISERR(MATCH(Планирование[[#This Row],[Ключ]], Хронология[Ключ], 0))),
            0,
            Планирование[[#This Row],[Сутки (план)]]
          )
        )
      )
    )
  ),
  Планирование[[#This Row],[Сутки (план)]]
)</f>
        <v>7.4166666666666672E-2</v>
      </c>
      <c r="AD73" s="5">
        <f ca="1">Планирование[[#This Row],[Сутки (факт)]]</f>
        <v>7.4166666666666672E-2</v>
      </c>
      <c r="AE73" s="566">
        <f t="array" ref="AE73">MAX(IF(Хронология[Ключ]=Планирование[[#This Row],[Ключ]], Хронология[Забой, м]))</f>
        <v>0</v>
      </c>
      <c r="AF73" s="233">
        <f ca="1">IFERROR(
    SUMIFS(
        Хронология[Часы],
        Хронология[Результат], "НПВ: нет в ГГД",
        Хронология[Начало], "&gt;=" &amp; Планирование[[#This Row],[Начало (факт)]],
        Хронология[Окончание], "&lt;=" &amp; Планирование[[#This Row],[Конец (факт, прогноз)]]
    ),
    0
)</f>
        <v>0</v>
      </c>
      <c r="AG73" s="233">
        <f ca="1">IFERROR(
    SUMIFS(
        Хронология[Часы],
        Хронология[Результат], "НПВ: нет в ГГД",
        Хронология[Начало], "&gt;=" &amp; Планирование[[#This Row],[Конец (факт, прогноз)]],
        Хронология[Окончание], "&lt;=" &amp; Y74
    ),
    0
)</f>
        <v>0</v>
      </c>
      <c r="AH73" s="550">
        <f ca="1">ROUND(IF(Планирование[[#This Row],[Часы (факт)]]-Планирование[[#This Row],[НПВ за операцию, часы]]-Планирование[[#This Row],[Часы (план)]] &lt;0, 0, Планирование[[#This Row],[Часы (факт)]]-Планирование[[#This Row],[НПВ за операцию, часы]]-Планирование[[#This Row],[Часы (план)]]), 2)</f>
        <v>0</v>
      </c>
      <c r="AI73" s="567" t="s">
        <v>1060</v>
      </c>
      <c r="AJ73" s="568">
        <f ca="1">Планирование[[#This Row],[Конец (план)]]-Планирование[[#This Row],[Конец (факт, прогноз)]]</f>
        <v>-1.7145833333343035</v>
      </c>
    </row>
    <row r="74" spans="1:36" ht="30" customHeight="1">
      <c r="A74" s="508" t="s">
        <v>512</v>
      </c>
      <c r="B74" s="577">
        <v>851</v>
      </c>
      <c r="C74" s="543"/>
      <c r="D74" s="585" t="s">
        <v>51</v>
      </c>
      <c r="E74" s="543" t="s">
        <v>58</v>
      </c>
      <c r="F74" s="543"/>
      <c r="G74" s="543" t="s">
        <v>90</v>
      </c>
      <c r="H74" s="543" t="s">
        <v>91</v>
      </c>
      <c r="I74" s="543" t="s">
        <v>92</v>
      </c>
      <c r="J74" s="543" t="s">
        <v>93</v>
      </c>
      <c r="K74" s="543"/>
      <c r="L74" s="9" t="str">
        <f>IF(Планирование[[#This Row],[Контекст простоя]]="Штатно", Планирование[[#This Row],[Скважина]] &amp; " " &amp; "ОК–" &amp;Планирование[[#This Row],[ОК]] &amp; " "  &amp; Планирование[[#This Row],[Этап]] &amp; " " &amp; Планирование[[#This Row],[Вид работ]] &amp; " " &amp; Планирование[[#This Row],[Объект работ]] &amp; " " &amp; Планирование[[#This Row],[Рейс]], Планирование[[#This Row],[Скважина]] &amp; " " &amp; "ОК–" &amp;Планирование[[#This Row],[ОК]] &amp; " " &amp; Планирование[[#This Row],[Этап]] &amp; " " &amp; Планирование[[#This Row],[Контекст простоя]] &amp; " " &amp; Планирование[[#This Row],[Событие]] &amp; " " &amp; Планирование[[#This Row],[Вид работ]] &amp; " " &amp; Планирование[[#This Row],[Объект работ]] &amp; " " &amp; Планирование[[#This Row],[Рейс]])</f>
        <v xml:space="preserve">851 ОК– КРС Подъем УЭЦН </v>
      </c>
      <c r="M74" s="551">
        <f>IF(Планирование[[#This Row],[Скважина]]&lt;&gt;B73, Планирование[[#This Row],[Начало (факт)]], N73)</f>
        <v>46168.118749999936</v>
      </c>
      <c r="N74" s="4">
        <f>Планирование[[#This Row],[Начало (цель)]]+Планирование[[#This Row],[Сутки (цель)]]</f>
        <v>46169.095833333267</v>
      </c>
      <c r="O74" s="233">
        <v>23.45</v>
      </c>
      <c r="P74" s="233"/>
      <c r="Q74" s="5">
        <f>Планирование[[#This Row],[Часы (цель)]]/24</f>
        <v>0.9770833333333333</v>
      </c>
      <c r="R74" s="5">
        <f>R73+Планирование[[#This Row],[Сутки (цель)]]</f>
        <v>11.301933333333334</v>
      </c>
      <c r="S74" s="551">
        <f>Планирование[[#This Row],[Начало (цель)]]</f>
        <v>46168.118749999936</v>
      </c>
      <c r="T74" s="4">
        <f>Планирование[[#This Row],[Начало (план)]]+Планирование[[#This Row],[Сутки (план)]]</f>
        <v>46169.095833333267</v>
      </c>
      <c r="U74" s="233">
        <f>Планирование[[#This Row],[Часы (цель)]]</f>
        <v>23.45</v>
      </c>
      <c r="V74" s="233">
        <f>Планирование[[#This Row],[Забой, м (цель)]]</f>
        <v>0</v>
      </c>
      <c r="W74" s="5">
        <f>Планирование[[#This Row],[Часы (план)]]/24</f>
        <v>0.9770833333333333</v>
      </c>
      <c r="X74" s="5"/>
      <c r="Y74" s="551">
        <f t="array" ref="Y74">IFERROR(
    INDEX(Хронология[Начало], MATCH(1, (Хронология[Ключ]=Планирование[[#This Row],[Ключ]]) * (Хронология[Подытог за операцию]=MIN(IF(Хронология[Ключ]=Планирование[[#This Row],[Ключ]], Хронология[Подытог за операцию]))), 0)),
    Z73
)</f>
        <v>46169.83333333327</v>
      </c>
      <c r="Z74" s="4">
        <f t="array" aca="1" ref="Z74" ca="1">MAX(IFERROR(
    INDEX(Хронология[Окончание], MATCH(1, (Хронология[Ключ]=Планирование[[#This Row],[Ключ]]) * (Хронология[Подытог за операцию]=MAX(IF(Хронология[Ключ]=Планирование[[#This Row],[Ключ]], Хронология[Подытог за операцию]))), 0)),
    Y74+AC74
), Планирование[[#This Row],[Начало (факт)]]+Планирование[[#This Row],[Сутки (факт)]])</f>
        <v>46170.810416666602</v>
      </c>
      <c r="AA74" s="233">
        <f ca="1">IF(AND(Планирование[[#This Row],[Начало (факт)]]=Y75, Планирование[[#This Row],[Забой, м (факт)]]=0), 0, Планирование[[#This Row],[Сутки (факт)]]*24)</f>
        <v>23.45</v>
      </c>
      <c r="AB74" s="233">
        <f ca="1">Планирование[[#This Row],[Часы (факт)]]-Планирование[[#This Row],[НПВ за операцию, часы]]-Планирование[[#This Row],[ПНВ, часы]]</f>
        <v>23.45</v>
      </c>
      <c r="AC74" s="5">
        <f t="array" aca="1" ref="AC74" ca="1">IFERROR(
  IF(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окончены",
    MAX(IF(Хронология[Ключ]=Планирование[[#This Row],[Ключ]], Хронология[Подытог за операцию])),
    IF(
      Планирование[[#This Row],[Событие]]="Мех. бурение",
      (MAX(Хронология[Окончание]) - Планирование[[#This Row],[Начало (факт)]]) +
      (Планирование[[#This Row],[Забой, м (план)]] - Планирование[[#This Row],[Забой, м (факт)]]) /
      ((Планирование[[#This Row],[Забой, м (план)]] - V73)/Планирование[[#This Row],[Сутки (план)]]),
      IF(
        AND(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продолжаются",
          Планирование[[#This Row],[Начало (факт)]]&gt;0
        ),
        (TODAY()-Планирование[[#This Row],[Начало (факт)]]),
        IF(
          AND(Планирование[[#This Row],[Начало (факт)]]=0,
            Планирование[[#This Row],[Начало (план)]] &gt; MAX(Хронология[Начало])),
          Планирование[[#This Row],[Сутки (план)]],
          IF(
            AND((TODAY()-Планирование[[#This Row],[Начало (план)]])&gt;1,
              ISERR(MATCH(Планирование[[#This Row],[Ключ]], Хронология[Ключ], 0))),
            0,
            Планирование[[#This Row],[Сутки (план)]]
          )
        )
      )
    )
  ),
  Планирование[[#This Row],[Сутки (план)]]
)</f>
        <v>0.9770833333333333</v>
      </c>
      <c r="AD74" s="5">
        <f ca="1">Планирование[[#This Row],[Сутки (факт)]]</f>
        <v>0.9770833333333333</v>
      </c>
      <c r="AE74" s="566">
        <f t="array" ref="AE74">MAX(IF(Хронология[Ключ]=Планирование[[#This Row],[Ключ]], Хронология[Забой, м]))</f>
        <v>0</v>
      </c>
      <c r="AF74" s="233">
        <f ca="1">IFERROR(
    SUMIFS(
        Хронология[Часы],
        Хронология[Результат], "НПВ: нет в ГГД",
        Хронология[Начало], "&gt;=" &amp; Планирование[[#This Row],[Начало (факт)]],
        Хронология[Окончание], "&lt;=" &amp; Планирование[[#This Row],[Конец (факт, прогноз)]]
    ),
    0
)</f>
        <v>0</v>
      </c>
      <c r="AG74" s="233">
        <f ca="1">IFERROR(
    SUMIFS(
        Хронология[Часы],
        Хронология[Результат], "НПВ: нет в ГГД",
        Хронология[Начало], "&gt;=" &amp; Планирование[[#This Row],[Конец (факт, прогноз)]],
        Хронология[Окончание], "&lt;=" &amp; Y75
    ),
    0
)</f>
        <v>0</v>
      </c>
      <c r="AH74" s="550">
        <f ca="1">ROUND(IF(Планирование[[#This Row],[Часы (факт)]]-Планирование[[#This Row],[НПВ за операцию, часы]]-Планирование[[#This Row],[Часы (план)]] &lt;0, 0, Планирование[[#This Row],[Часы (факт)]]-Планирование[[#This Row],[НПВ за операцию, часы]]-Планирование[[#This Row],[Часы (план)]]), 2)</f>
        <v>0</v>
      </c>
      <c r="AI74" s="567" t="s">
        <v>1060</v>
      </c>
      <c r="AJ74" s="568">
        <f ca="1">Планирование[[#This Row],[Конец (план)]]-Планирование[[#This Row],[Конец (факт, прогноз)]]</f>
        <v>-1.7145833333343035</v>
      </c>
    </row>
    <row r="75" spans="1:36" ht="30" customHeight="1">
      <c r="A75" s="508" t="s">
        <v>514</v>
      </c>
      <c r="B75" s="577">
        <v>851</v>
      </c>
      <c r="C75" s="543"/>
      <c r="D75" s="585" t="s">
        <v>51</v>
      </c>
      <c r="E75" s="543" t="s">
        <v>58</v>
      </c>
      <c r="F75" s="543"/>
      <c r="G75" s="543" t="s">
        <v>111</v>
      </c>
      <c r="H75" s="543" t="s">
        <v>150</v>
      </c>
      <c r="I75" s="543" t="s">
        <v>92</v>
      </c>
      <c r="J75" s="543" t="s">
        <v>513</v>
      </c>
      <c r="K75" s="543"/>
      <c r="L75" s="9" t="str">
        <f>IF(Планирование[[#This Row],[Контекст простоя]]="Штатно", Планирование[[#This Row],[Скважина]] &amp; " " &amp; "ОК–" &amp;Планирование[[#This Row],[ОК]] &amp; " "  &amp; Планирование[[#This Row],[Этап]] &amp; " " &amp; Планирование[[#This Row],[Вид работ]] &amp; " " &amp; Планирование[[#This Row],[Объект работ]] &amp; " " &amp; Планирование[[#This Row],[Рейс]], Планирование[[#This Row],[Скважина]] &amp; " " &amp; "ОК–" &amp;Планирование[[#This Row],[ОК]] &amp; " " &amp; Планирование[[#This Row],[Этап]] &amp; " " &amp; Планирование[[#This Row],[Контекст простоя]] &amp; " " &amp; Планирование[[#This Row],[Событие]] &amp; " " &amp; Планирование[[#This Row],[Вид работ]] &amp; " " &amp; Планирование[[#This Row],[Объект работ]] &amp; " " &amp; Планирование[[#This Row],[Рейс]])</f>
        <v xml:space="preserve">851 ОК– КРС Опрессовка НКТ </v>
      </c>
      <c r="M75" s="551">
        <f>IF(Планирование[[#This Row],[Скважина]]&lt;&gt;B74, Планирование[[#This Row],[Начало (факт)]], N74)</f>
        <v>46169.095833333267</v>
      </c>
      <c r="N75" s="4">
        <f>Планирование[[#This Row],[Начало (цель)]]+Планирование[[#This Row],[Сутки (цель)]]</f>
        <v>46169.108333333264</v>
      </c>
      <c r="O75" s="233">
        <v>0.3</v>
      </c>
      <c r="P75" s="233"/>
      <c r="Q75" s="5">
        <f>Планирование[[#This Row],[Часы (цель)]]/24</f>
        <v>1.2499999999999999E-2</v>
      </c>
      <c r="R75" s="5">
        <f>R74+Планирование[[#This Row],[Сутки (цель)]]</f>
        <v>11.314433333333334</v>
      </c>
      <c r="S75" s="551">
        <f>Планирование[[#This Row],[Начало (цель)]]</f>
        <v>46169.095833333267</v>
      </c>
      <c r="T75" s="4">
        <f>Планирование[[#This Row],[Начало (план)]]+Планирование[[#This Row],[Сутки (план)]]</f>
        <v>46169.108333333264</v>
      </c>
      <c r="U75" s="233">
        <f>Планирование[[#This Row],[Часы (цель)]]</f>
        <v>0.3</v>
      </c>
      <c r="V75" s="233">
        <f>Планирование[[#This Row],[Забой, м (цель)]]</f>
        <v>0</v>
      </c>
      <c r="W75" s="5">
        <f>Планирование[[#This Row],[Часы (план)]]/24</f>
        <v>1.2499999999999999E-2</v>
      </c>
      <c r="X75" s="5"/>
      <c r="Y75" s="551">
        <f t="array" aca="1" ref="Y75" ca="1">IFERROR(
    INDEX(Хронология[Начало], MATCH(1, (Хронология[Ключ]=Планирование[[#This Row],[Ключ]]) * (Хронология[Подытог за операцию]=MIN(IF(Хронология[Ключ]=Планирование[[#This Row],[Ключ]], Хронология[Подытог за операцию]))), 0)),
    Z74
)</f>
        <v>46170.810416666602</v>
      </c>
      <c r="Z75" s="4">
        <f t="array" aca="1" ref="Z75" ca="1">MAX(IFERROR(
    INDEX(Хронология[Окончание], MATCH(1, (Хронология[Ключ]=Планирование[[#This Row],[Ключ]]) * (Хронология[Подытог за операцию]=MAX(IF(Хронология[Ключ]=Планирование[[#This Row],[Ключ]], Хронология[Подытог за операцию]))), 0)),
    Y75+AC75
), Планирование[[#This Row],[Начало (факт)]]+Планирование[[#This Row],[Сутки (факт)]])</f>
        <v>46170.822916666599</v>
      </c>
      <c r="AA75" s="233">
        <f ca="1">IF(AND(Планирование[[#This Row],[Начало (факт)]]=Y76, Планирование[[#This Row],[Забой, м (факт)]]=0), 0, Планирование[[#This Row],[Сутки (факт)]]*24)</f>
        <v>0.3</v>
      </c>
      <c r="AB75" s="233">
        <f ca="1">Планирование[[#This Row],[Часы (факт)]]-Планирование[[#This Row],[НПВ за операцию, часы]]-Планирование[[#This Row],[ПНВ, часы]]</f>
        <v>0.3</v>
      </c>
      <c r="AC75" s="5">
        <f t="array" aca="1" ref="AC75" ca="1">IFERROR(
  IF(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окончены",
    MAX(IF(Хронология[Ключ]=Планирование[[#This Row],[Ключ]], Хронология[Подытог за операцию])),
    IF(
      Планирование[[#This Row],[Событие]]="Мех. бурение",
      (MAX(Хронология[Окончание]) - Планирование[[#This Row],[Начало (факт)]]) +
      (Планирование[[#This Row],[Забой, м (план)]] - Планирование[[#This Row],[Забой, м (факт)]]) /
      ((Планирование[[#This Row],[Забой, м (план)]] - V74)/Планирование[[#This Row],[Сутки (план)]]),
      IF(
        AND(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продолжаются",
          Планирование[[#This Row],[Начало (факт)]]&gt;0
        ),
        (TODAY()-Планирование[[#This Row],[Начало (факт)]]),
        IF(
          AND(Планирование[[#This Row],[Начало (факт)]]=0,
            Планирование[[#This Row],[Начало (план)]] &gt; MAX(Хронология[Начало])),
          Планирование[[#This Row],[Сутки (план)]],
          IF(
            AND((TODAY()-Планирование[[#This Row],[Начало (план)]])&gt;1,
              ISERR(MATCH(Планирование[[#This Row],[Ключ]], Хронология[Ключ], 0))),
            0,
            Планирование[[#This Row],[Сутки (план)]]
          )
        )
      )
    )
  ),
  Планирование[[#This Row],[Сутки (план)]]
)</f>
        <v>1.2499999999999999E-2</v>
      </c>
      <c r="AD75" s="5">
        <f ca="1">Планирование[[#This Row],[Сутки (факт)]]</f>
        <v>1.2499999999999999E-2</v>
      </c>
      <c r="AE75" s="566">
        <f t="array" ref="AE75">MAX(IF(Хронология[Ключ]=Планирование[[#This Row],[Ключ]], Хронология[Забой, м]))</f>
        <v>0</v>
      </c>
      <c r="AF75" s="233">
        <f ca="1">IFERROR(
    SUMIFS(
        Хронология[Часы],
        Хронология[Результат], "НПВ: нет в ГГД",
        Хронология[Начало], "&gt;=" &amp; Планирование[[#This Row],[Начало (факт)]],
        Хронология[Окончание], "&lt;=" &amp; Планирование[[#This Row],[Конец (факт, прогноз)]]
    ),
    0
)</f>
        <v>0</v>
      </c>
      <c r="AG75" s="233">
        <f ca="1">IFERROR(
    SUMIFS(
        Хронология[Часы],
        Хронология[Результат], "НПВ: нет в ГГД",
        Хронология[Начало], "&gt;=" &amp; Планирование[[#This Row],[Конец (факт, прогноз)]],
        Хронология[Окончание], "&lt;=" &amp; Y76
    ),
    0
)</f>
        <v>0</v>
      </c>
      <c r="AH75" s="550">
        <f ca="1">ROUND(IF(Планирование[[#This Row],[Часы (факт)]]-Планирование[[#This Row],[НПВ за операцию, часы]]-Планирование[[#This Row],[Часы (план)]] &lt;0, 0, Планирование[[#This Row],[Часы (факт)]]-Планирование[[#This Row],[НПВ за операцию, часы]]-Планирование[[#This Row],[Часы (план)]]), 2)</f>
        <v>0</v>
      </c>
      <c r="AI75" s="567" t="s">
        <v>1060</v>
      </c>
      <c r="AJ75" s="568">
        <f ca="1">Планирование[[#This Row],[Конец (план)]]-Планирование[[#This Row],[Конец (факт, прогноз)]]</f>
        <v>-1.7145833333343035</v>
      </c>
    </row>
    <row r="76" spans="1:36" ht="30" customHeight="1">
      <c r="A76" s="508" t="s">
        <v>515</v>
      </c>
      <c r="B76" s="577">
        <v>851</v>
      </c>
      <c r="C76" s="543"/>
      <c r="D76" s="585" t="s">
        <v>51</v>
      </c>
      <c r="E76" s="543" t="s">
        <v>58</v>
      </c>
      <c r="F76" s="543"/>
      <c r="G76" s="543" t="s">
        <v>95</v>
      </c>
      <c r="H76" s="543" t="s">
        <v>96</v>
      </c>
      <c r="I76" s="543" t="s">
        <v>92</v>
      </c>
      <c r="J76" s="543" t="s">
        <v>93</v>
      </c>
      <c r="K76" s="543"/>
      <c r="L76" s="9" t="str">
        <f>IF(Планирование[[#This Row],[Контекст простоя]]="Штатно", Планирование[[#This Row],[Скважина]] &amp; " " &amp; "ОК–" &amp;Планирование[[#This Row],[ОК]] &amp; " "  &amp; Планирование[[#This Row],[Этап]] &amp; " " &amp; Планирование[[#This Row],[Вид работ]] &amp; " " &amp; Планирование[[#This Row],[Объект работ]] &amp; " " &amp; Планирование[[#This Row],[Рейс]], Планирование[[#This Row],[Скважина]] &amp; " " &amp; "ОК–" &amp;Планирование[[#This Row],[ОК]] &amp; " " &amp; Планирование[[#This Row],[Этап]] &amp; " " &amp; Планирование[[#This Row],[Контекст простоя]] &amp; " " &amp; Планирование[[#This Row],[Событие]] &amp; " " &amp; Планирование[[#This Row],[Вид работ]] &amp; " " &amp; Планирование[[#This Row],[Объект работ]] &amp; " " &amp; Планирование[[#This Row],[Рейс]])</f>
        <v xml:space="preserve">851 ОК– КРС Разборка УЭЦН </v>
      </c>
      <c r="M76" s="551">
        <f>IF(Планирование[[#This Row],[Скважина]]&lt;&gt;B75, Планирование[[#This Row],[Начало (факт)]], N75)</f>
        <v>46169.108333333264</v>
      </c>
      <c r="N76" s="4">
        <f>Планирование[[#This Row],[Начало (цель)]]+Планирование[[#This Row],[Сутки (цель)]]</f>
        <v>46169.318749999933</v>
      </c>
      <c r="O76" s="233">
        <v>5.05</v>
      </c>
      <c r="P76" s="233"/>
      <c r="Q76" s="5">
        <f>Планирование[[#This Row],[Часы (цель)]]/24</f>
        <v>0.21041666666666667</v>
      </c>
      <c r="R76" s="5">
        <f>R75+Планирование[[#This Row],[Сутки (цель)]]</f>
        <v>11.524850000000001</v>
      </c>
      <c r="S76" s="551">
        <f>Планирование[[#This Row],[Начало (цель)]]</f>
        <v>46169.108333333264</v>
      </c>
      <c r="T76" s="4">
        <f>Планирование[[#This Row],[Начало (план)]]+Планирование[[#This Row],[Сутки (план)]]</f>
        <v>46169.318749999933</v>
      </c>
      <c r="U76" s="233">
        <f>Планирование[[#This Row],[Часы (цель)]]</f>
        <v>5.05</v>
      </c>
      <c r="V76" s="233">
        <f>Планирование[[#This Row],[Забой, м (цель)]]</f>
        <v>0</v>
      </c>
      <c r="W76" s="5">
        <f>Планирование[[#This Row],[Часы (план)]]/24</f>
        <v>0.21041666666666667</v>
      </c>
      <c r="X76" s="5"/>
      <c r="Y76" s="551">
        <f t="array" ref="Y76">IFERROR(
    INDEX(Хронология[Начало], MATCH(1, (Хронология[Ключ]=Планирование[[#This Row],[Ключ]]) * (Хронология[Подытог за операцию]=MIN(IF(Хронология[Ключ]=Планирование[[#This Row],[Ключ]], Хронология[Подытог за операцию]))), 0)),
    Z75
)</f>
        <v>46171.83333333327</v>
      </c>
      <c r="Z76" s="4">
        <f t="array" aca="1" ref="Z76" ca="1">MAX(IFERROR(
    INDEX(Хронология[Окончание], MATCH(1, (Хронология[Ключ]=Планирование[[#This Row],[Ключ]]) * (Хронология[Подытог за операцию]=MAX(IF(Хронология[Ключ]=Планирование[[#This Row],[Ключ]], Хронология[Подытог за операцию]))), 0)),
    Y76+AC76
), Планирование[[#This Row],[Начало (факт)]]+Планирование[[#This Row],[Сутки (факт)]])</f>
        <v>46172.043749999939</v>
      </c>
      <c r="AA76" s="233">
        <f ca="1">IF(AND(Планирование[[#This Row],[Начало (факт)]]=Y77, Планирование[[#This Row],[Забой, м (факт)]]=0), 0, Планирование[[#This Row],[Сутки (факт)]]*24)</f>
        <v>5.05</v>
      </c>
      <c r="AB76" s="233">
        <f ca="1">Планирование[[#This Row],[Часы (факт)]]-Планирование[[#This Row],[НПВ за операцию, часы]]-Планирование[[#This Row],[ПНВ, часы]]</f>
        <v>5.05</v>
      </c>
      <c r="AC76" s="5">
        <f t="array" aca="1" ref="AC76" ca="1">IFERROR(
  IF(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окончены",
    MAX(IF(Хронология[Ключ]=Планирование[[#This Row],[Ключ]], Хронология[Подытог за операцию])),
    IF(
      Планирование[[#This Row],[Событие]]="Мех. бурение",
      (MAX(Хронология[Окончание]) - Планирование[[#This Row],[Начало (факт)]]) +
      (Планирование[[#This Row],[Забой, м (план)]] - Планирование[[#This Row],[Забой, м (факт)]]) /
      ((Планирование[[#This Row],[Забой, м (план)]] - V75)/Планирование[[#This Row],[Сутки (план)]]),
      IF(
        AND(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продолжаются",
          Планирование[[#This Row],[Начало (факт)]]&gt;0
        ),
        (TODAY()-Планирование[[#This Row],[Начало (факт)]]),
        IF(
          AND(Планирование[[#This Row],[Начало (факт)]]=0,
            Планирование[[#This Row],[Начало (план)]] &gt; MAX(Хронология[Начало])),
          Планирование[[#This Row],[Сутки (план)]],
          IF(
            AND((TODAY()-Планирование[[#This Row],[Начало (план)]])&gt;1,
              ISERR(MATCH(Планирование[[#This Row],[Ключ]], Хронология[Ключ], 0))),
            0,
            Планирование[[#This Row],[Сутки (план)]]
          )
        )
      )
    )
  ),
  Планирование[[#This Row],[Сутки (план)]]
)</f>
        <v>0.21041666666666667</v>
      </c>
      <c r="AD76" s="5">
        <f ca="1">Планирование[[#This Row],[Сутки (факт)]]</f>
        <v>0.21041666666666667</v>
      </c>
      <c r="AE76" s="566">
        <f t="array" ref="AE76">MAX(IF(Хронология[Ключ]=Планирование[[#This Row],[Ключ]], Хронология[Забой, м]))</f>
        <v>0</v>
      </c>
      <c r="AF76" s="233">
        <f ca="1">IFERROR(
    SUMIFS(
        Хронология[Часы],
        Хронология[Результат], "НПВ: нет в ГГД",
        Хронология[Начало], "&gt;=" &amp; Планирование[[#This Row],[Начало (факт)]],
        Хронология[Окончание], "&lt;=" &amp; Планирование[[#This Row],[Конец (факт, прогноз)]]
    ),
    0
)</f>
        <v>0</v>
      </c>
      <c r="AG76" s="233">
        <f ca="1">IFERROR(
    SUMIFS(
        Хронология[Часы],
        Хронология[Результат], "НПВ: нет в ГГД",
        Хронология[Начало], "&gt;=" &amp; Планирование[[#This Row],[Конец (факт, прогноз)]],
        Хронология[Окончание], "&lt;=" &amp; Y77
    ),
    0
)</f>
        <v>0</v>
      </c>
      <c r="AH76" s="550">
        <f ca="1">ROUND(IF(Планирование[[#This Row],[Часы (факт)]]-Планирование[[#This Row],[НПВ за операцию, часы]]-Планирование[[#This Row],[Часы (план)]] &lt;0, 0, Планирование[[#This Row],[Часы (факт)]]-Планирование[[#This Row],[НПВ за операцию, часы]]-Планирование[[#This Row],[Часы (план)]]), 2)</f>
        <v>0</v>
      </c>
      <c r="AI76" s="567" t="s">
        <v>1060</v>
      </c>
      <c r="AJ76" s="568">
        <f ca="1">Планирование[[#This Row],[Конец (план)]]-Планирование[[#This Row],[Конец (факт, прогноз)]]</f>
        <v>-2.7250000000058208</v>
      </c>
    </row>
    <row r="77" spans="1:36" ht="30" customHeight="1">
      <c r="A77" s="508" t="s">
        <v>516</v>
      </c>
      <c r="B77" s="577">
        <v>851</v>
      </c>
      <c r="C77" s="543"/>
      <c r="D77" s="585" t="s">
        <v>51</v>
      </c>
      <c r="E77" s="543" t="s">
        <v>58</v>
      </c>
      <c r="F77" s="543"/>
      <c r="G77" s="543" t="s">
        <v>78</v>
      </c>
      <c r="H77" s="543" t="s">
        <v>102</v>
      </c>
      <c r="I77" s="543" t="s">
        <v>92</v>
      </c>
      <c r="J77" s="543" t="s">
        <v>93</v>
      </c>
      <c r="K77" s="543"/>
      <c r="L77" s="9" t="str">
        <f>IF(Планирование[[#This Row],[Контекст простоя]]="Штатно", Планирование[[#This Row],[Скважина]] &amp; " " &amp; "ОК–" &amp;Планирование[[#This Row],[ОК]] &amp; " "  &amp; Планирование[[#This Row],[Этап]] &amp; " " &amp; Планирование[[#This Row],[Вид работ]] &amp; " " &amp; Планирование[[#This Row],[Объект работ]] &amp; " " &amp; Планирование[[#This Row],[Рейс]], Планирование[[#This Row],[Скважина]] &amp; " " &amp; "ОК–" &amp;Планирование[[#This Row],[ОК]] &amp; " " &amp; Планирование[[#This Row],[Этап]] &amp; " " &amp; Планирование[[#This Row],[Контекст простоя]] &amp; " " &amp; Планирование[[#This Row],[Событие]] &amp; " " &amp; Планирование[[#This Row],[Вид работ]] &amp; " " &amp; Планирование[[#This Row],[Объект работ]] &amp; " " &amp; Планирование[[#This Row],[Рейс]])</f>
        <v xml:space="preserve">851 ОК– КРС Подготовка УЭЦН </v>
      </c>
      <c r="M77" s="551">
        <f>IF(Планирование[[#This Row],[Скважина]]&lt;&gt;B76, Планирование[[#This Row],[Начало (факт)]], N76)</f>
        <v>46169.318749999933</v>
      </c>
      <c r="N77" s="4">
        <f>Планирование[[#This Row],[Начало (цель)]]+Планирование[[#This Row],[Сутки (цель)]]</f>
        <v>46169.359583333266</v>
      </c>
      <c r="O77" s="233">
        <v>0.98</v>
      </c>
      <c r="P77" s="233"/>
      <c r="Q77" s="5">
        <f>Планирование[[#This Row],[Часы (цель)]]/24</f>
        <v>4.0833333333333333E-2</v>
      </c>
      <c r="R77" s="5">
        <f>R76+Планирование[[#This Row],[Сутки (цель)]]</f>
        <v>11.565683333333334</v>
      </c>
      <c r="S77" s="551">
        <f>Планирование[[#This Row],[Начало (цель)]]</f>
        <v>46169.318749999933</v>
      </c>
      <c r="T77" s="4">
        <f>Планирование[[#This Row],[Начало (план)]]+Планирование[[#This Row],[Сутки (план)]]</f>
        <v>46169.359583333266</v>
      </c>
      <c r="U77" s="233">
        <f>Планирование[[#This Row],[Часы (цель)]]</f>
        <v>0.98</v>
      </c>
      <c r="V77" s="233">
        <f>Планирование[[#This Row],[Забой, м (цель)]]</f>
        <v>0</v>
      </c>
      <c r="W77" s="5">
        <f>Планирование[[#This Row],[Часы (план)]]/24</f>
        <v>4.0833333333333333E-2</v>
      </c>
      <c r="X77" s="5"/>
      <c r="Y77" s="551">
        <f t="array" ref="Y77">IFERROR(
    INDEX(Хронология[Начало], MATCH(1, (Хронология[Ключ]=Планирование[[#This Row],[Ключ]]) * (Хронология[Подытог за операцию]=MIN(IF(Хронология[Ключ]=Планирование[[#This Row],[Ключ]], Хронология[Подытог за операцию]))), 0)),
    Z76
)</f>
        <v>46171.937499999935</v>
      </c>
      <c r="Z77" s="4">
        <f t="array" aca="1" ref="Z77" ca="1">MAX(IFERROR(
    INDEX(Хронология[Окончание], MATCH(1, (Хронология[Ключ]=Планирование[[#This Row],[Ключ]]) * (Хронология[Подытог за операцию]=MAX(IF(Хронология[Ключ]=Планирование[[#This Row],[Ключ]], Хронология[Подытог за операцию]))), 0)),
    Y77+AC77
), Планирование[[#This Row],[Начало (факт)]]+Планирование[[#This Row],[Сутки (факт)]])</f>
        <v>46171.999999999935</v>
      </c>
      <c r="AA77" s="233">
        <f ca="1">IF(AND(Планирование[[#This Row],[Начало (факт)]]=Y78, Планирование[[#This Row],[Забой, м (факт)]]=0), 0, Планирование[[#This Row],[Сутки (факт)]]*24)</f>
        <v>0.98</v>
      </c>
      <c r="AB77" s="233">
        <f ca="1">Планирование[[#This Row],[Часы (факт)]]-Планирование[[#This Row],[НПВ за операцию, часы]]-Планирование[[#This Row],[ПНВ, часы]]</f>
        <v>0.98</v>
      </c>
      <c r="AC77" s="5">
        <f t="array" aca="1" ref="AC77" ca="1">IFERROR(
  IF(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окончены",
    MAX(IF(Хронология[Ключ]=Планирование[[#This Row],[Ключ]], Хронология[Подытог за операцию])),
    IF(
      Планирование[[#This Row],[Событие]]="Мех. бурение",
      (MAX(Хронология[Окончание]) - Планирование[[#This Row],[Начало (факт)]]) +
      (Планирование[[#This Row],[Забой, м (план)]] - Планирование[[#This Row],[Забой, м (факт)]]) /
      ((Планирование[[#This Row],[Забой, м (план)]] - V76)/Планирование[[#This Row],[Сутки (план)]]),
      IF(
        AND(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продолжаются",
          Планирование[[#This Row],[Начало (факт)]]&gt;0
        ),
        (TODAY()-Планирование[[#This Row],[Начало (факт)]]),
        IF(
          AND(Планирование[[#This Row],[Начало (факт)]]=0,
            Планирование[[#This Row],[Начало (план)]] &gt; MAX(Хронология[Начало])),
          Планирование[[#This Row],[Сутки (план)]],
          IF(
            AND((TODAY()-Планирование[[#This Row],[Начало (план)]])&gt;1,
              ISERR(MATCH(Планирование[[#This Row],[Ключ]], Хронология[Ключ], 0))),
            0,
            Планирование[[#This Row],[Сутки (план)]]
          )
        )
      )
    )
  ),
  Планирование[[#This Row],[Сутки (план)]]
)</f>
        <v>4.0833333333333333E-2</v>
      </c>
      <c r="AD77" s="5">
        <f ca="1">Планирование[[#This Row],[Сутки (факт)]]</f>
        <v>4.0833333333333333E-2</v>
      </c>
      <c r="AE77" s="566">
        <f t="array" ref="AE77">MAX(IF(Хронология[Ключ]=Планирование[[#This Row],[Ключ]], Хронология[Забой, м]))</f>
        <v>0</v>
      </c>
      <c r="AF77" s="233">
        <f ca="1">IFERROR(
    SUMIFS(
        Хронология[Часы],
        Хронология[Результат], "НПВ: нет в ГГД",
        Хронология[Начало], "&gt;=" &amp; Планирование[[#This Row],[Начало (факт)]],
        Хронология[Окончание], "&lt;=" &amp; Планирование[[#This Row],[Конец (факт, прогноз)]]
    ),
    0
)</f>
        <v>0</v>
      </c>
      <c r="AG77" s="233">
        <f ca="1">IFERROR(
    SUMIFS(
        Хронология[Часы],
        Хронология[Результат], "НПВ: нет в ГГД",
        Хронология[Начало], "&gt;=" &amp; Планирование[[#This Row],[Конец (факт, прогноз)]],
        Хронология[Окончание], "&lt;=" &amp; Y78
    ),
    0
)</f>
        <v>0</v>
      </c>
      <c r="AH77" s="550">
        <f ca="1">ROUND(IF(Планирование[[#This Row],[Часы (факт)]]-Планирование[[#This Row],[НПВ за операцию, часы]]-Планирование[[#This Row],[Часы (план)]] &lt;0, 0, Планирование[[#This Row],[Часы (факт)]]-Планирование[[#This Row],[НПВ за операцию, часы]]-Планирование[[#This Row],[Часы (план)]]), 2)</f>
        <v>0</v>
      </c>
      <c r="AI77" s="567" t="s">
        <v>1060</v>
      </c>
      <c r="AJ77" s="568">
        <f ca="1">Планирование[[#This Row],[Конец (план)]]-Планирование[[#This Row],[Конец (факт, прогноз)]]</f>
        <v>-2.640416666668898</v>
      </c>
    </row>
    <row r="78" spans="1:36" ht="30" customHeight="1">
      <c r="A78" s="508" t="s">
        <v>517</v>
      </c>
      <c r="B78" s="577">
        <v>851</v>
      </c>
      <c r="C78" s="543"/>
      <c r="D78" s="585" t="s">
        <v>51</v>
      </c>
      <c r="E78" s="543" t="s">
        <v>58</v>
      </c>
      <c r="F78" s="543"/>
      <c r="G78" s="543" t="s">
        <v>95</v>
      </c>
      <c r="H78" s="543" t="s">
        <v>104</v>
      </c>
      <c r="I78" s="543" t="s">
        <v>92</v>
      </c>
      <c r="J78" s="543" t="s">
        <v>93</v>
      </c>
      <c r="K78" s="543"/>
      <c r="L78" s="9" t="str">
        <f>IF(Планирование[[#This Row],[Контекст простоя]]="Штатно", Планирование[[#This Row],[Скважина]] &amp; " " &amp; "ОК–" &amp;Планирование[[#This Row],[ОК]] &amp; " "  &amp; Планирование[[#This Row],[Этап]] &amp; " " &amp; Планирование[[#This Row],[Вид работ]] &amp; " " &amp; Планирование[[#This Row],[Объект работ]] &amp; " " &amp; Планирование[[#This Row],[Рейс]], Планирование[[#This Row],[Скважина]] &amp; " " &amp; "ОК–" &amp;Планирование[[#This Row],[ОК]] &amp; " " &amp; Планирование[[#This Row],[Этап]] &amp; " " &amp; Планирование[[#This Row],[Контекст простоя]] &amp; " " &amp; Планирование[[#This Row],[Событие]] &amp; " " &amp; Планирование[[#This Row],[Вид работ]] &amp; " " &amp; Планирование[[#This Row],[Объект работ]] &amp; " " &amp; Планирование[[#This Row],[Рейс]])</f>
        <v xml:space="preserve">851 ОК– КРС Сборка УЭЦН </v>
      </c>
      <c r="M78" s="551">
        <f>IF(Планирование[[#This Row],[Скважина]]&lt;&gt;B77, Планирование[[#This Row],[Начало (факт)]], N77)</f>
        <v>46169.359583333266</v>
      </c>
      <c r="N78" s="4">
        <f>Планирование[[#This Row],[Начало (цель)]]+Планирование[[#This Row],[Сутки (цель)]]</f>
        <v>46169.683749999931</v>
      </c>
      <c r="O78" s="233">
        <v>7.78</v>
      </c>
      <c r="P78" s="233"/>
      <c r="Q78" s="5">
        <f>Планирование[[#This Row],[Часы (цель)]]/24</f>
        <v>0.32416666666666666</v>
      </c>
      <c r="R78" s="5">
        <f>R77+Планирование[[#This Row],[Сутки (цель)]]</f>
        <v>11.889850000000001</v>
      </c>
      <c r="S78" s="551">
        <f>Планирование[[#This Row],[Начало (цель)]]</f>
        <v>46169.359583333266</v>
      </c>
      <c r="T78" s="4">
        <f>Планирование[[#This Row],[Начало (план)]]+Планирование[[#This Row],[Сутки (план)]]</f>
        <v>46169.683749999931</v>
      </c>
      <c r="U78" s="233">
        <f>Планирование[[#This Row],[Часы (цель)]]</f>
        <v>7.78</v>
      </c>
      <c r="V78" s="233">
        <f>Планирование[[#This Row],[Забой, м (цель)]]</f>
        <v>0</v>
      </c>
      <c r="W78" s="5">
        <f>Планирование[[#This Row],[Часы (план)]]/24</f>
        <v>0.32416666666666666</v>
      </c>
      <c r="X78" s="5"/>
      <c r="Y78" s="551">
        <f t="array" ref="Y78">IFERROR(
    INDEX(Хронология[Начало], MATCH(1, (Хронология[Ключ]=Планирование[[#This Row],[Ключ]]) * (Хронология[Подытог за операцию]=MIN(IF(Хронология[Ключ]=Планирование[[#This Row],[Ключ]], Хронология[Подытог за операцию]))), 0)),
    Z77
)</f>
        <v>46171.999999999935</v>
      </c>
      <c r="Z78" s="4">
        <f t="array" aca="1" ref="Z78" ca="1">MAX(IFERROR(
    INDEX(Хронология[Окончание], MATCH(1, (Хронология[Ключ]=Планирование[[#This Row],[Ключ]]) * (Хронология[Подытог за операцию]=MAX(IF(Хронология[Ключ]=Планирование[[#This Row],[Ключ]], Хронология[Подытог за операцию]))), 0)),
    Y78+AC78
), Планирование[[#This Row],[Начало (факт)]]+Планирование[[#This Row],[Сутки (факт)]])</f>
        <v>46172.3241666666</v>
      </c>
      <c r="AA78" s="233">
        <f ca="1">IF(AND(Планирование[[#This Row],[Начало (факт)]]=Y79, Планирование[[#This Row],[Забой, м (факт)]]=0), 0, Планирование[[#This Row],[Сутки (факт)]]*24)</f>
        <v>7.7799999999999994</v>
      </c>
      <c r="AB78" s="233">
        <f ca="1">Планирование[[#This Row],[Часы (факт)]]-Планирование[[#This Row],[НПВ за операцию, часы]]-Планирование[[#This Row],[ПНВ, часы]]</f>
        <v>7.7799999999999994</v>
      </c>
      <c r="AC78" s="5">
        <f t="array" aca="1" ref="AC78" ca="1">IFERROR(
  IF(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окончены",
    MAX(IF(Хронология[Ключ]=Планирование[[#This Row],[Ключ]], Хронология[Подытог за операцию])),
    IF(
      Планирование[[#This Row],[Событие]]="Мех. бурение",
      (MAX(Хронология[Окончание]) - Планирование[[#This Row],[Начало (факт)]]) +
      (Планирование[[#This Row],[Забой, м (план)]] - Планирование[[#This Row],[Забой, м (факт)]]) /
      ((Планирование[[#This Row],[Забой, м (план)]] - V77)/Планирование[[#This Row],[Сутки (план)]]),
      IF(
        AND(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продолжаются",
          Планирование[[#This Row],[Начало (факт)]]&gt;0
        ),
        (TODAY()-Планирование[[#This Row],[Начало (факт)]]),
        IF(
          AND(Планирование[[#This Row],[Начало (факт)]]=0,
            Планирование[[#This Row],[Начало (план)]] &gt; MAX(Хронология[Начало])),
          Планирование[[#This Row],[Сутки (план)]],
          IF(
            AND((TODAY()-Планирование[[#This Row],[Начало (план)]])&gt;1,
              ISERR(MATCH(Планирование[[#This Row],[Ключ]], Хронология[Ключ], 0))),
            0,
            Планирование[[#This Row],[Сутки (план)]]
          )
        )
      )
    )
  ),
  Планирование[[#This Row],[Сутки (план)]]
)</f>
        <v>0.32416666666666666</v>
      </c>
      <c r="AD78" s="5">
        <f ca="1">Планирование[[#This Row],[Сутки (факт)]]</f>
        <v>0.32416666666666666</v>
      </c>
      <c r="AE78" s="566">
        <f t="array" ref="AE78">MAX(IF(Хронология[Ключ]=Планирование[[#This Row],[Ключ]], Хронология[Забой, м]))</f>
        <v>0</v>
      </c>
      <c r="AF78" s="233">
        <f ca="1">IFERROR(
    SUMIFS(
        Хронология[Часы],
        Хронология[Результат], "НПВ: нет в ГГД",
        Хронология[Начало], "&gt;=" &amp; Планирование[[#This Row],[Начало (факт)]],
        Хронология[Окончание], "&lt;=" &amp; Планирование[[#This Row],[Конец (факт, прогноз)]]
    ),
    0
)</f>
        <v>0</v>
      </c>
      <c r="AG78" s="233">
        <f ca="1">IFERROR(
    SUMIFS(
        Хронология[Часы],
        Хронология[Результат], "НПВ: нет в ГГД",
        Хронология[Начало], "&gt;=" &amp; Планирование[[#This Row],[Конец (факт, прогноз)]],
        Хронология[Окончание], "&lt;=" &amp; Y79
    ),
    0
)</f>
        <v>0</v>
      </c>
      <c r="AH78" s="550">
        <f ca="1">ROUND(IF(Планирование[[#This Row],[Часы (факт)]]-Планирование[[#This Row],[НПВ за операцию, часы]]-Планирование[[#This Row],[Часы (план)]] &lt;0, 0, Планирование[[#This Row],[Часы (факт)]]-Планирование[[#This Row],[НПВ за операцию, часы]]-Планирование[[#This Row],[Часы (план)]]), 2)</f>
        <v>0</v>
      </c>
      <c r="AI78" s="567" t="s">
        <v>1060</v>
      </c>
      <c r="AJ78" s="568">
        <f ca="1">Планирование[[#This Row],[Конец (план)]]-Планирование[[#This Row],[Конец (факт, прогноз)]]</f>
        <v>-2.640416666668898</v>
      </c>
    </row>
    <row r="79" spans="1:36" ht="30" customHeight="1">
      <c r="A79" s="508" t="s">
        <v>518</v>
      </c>
      <c r="B79" s="577">
        <v>851</v>
      </c>
      <c r="C79" s="543"/>
      <c r="D79" s="585" t="s">
        <v>51</v>
      </c>
      <c r="E79" s="543" t="s">
        <v>58</v>
      </c>
      <c r="F79" s="543"/>
      <c r="G79" s="543" t="s">
        <v>90</v>
      </c>
      <c r="H79" s="543" t="s">
        <v>106</v>
      </c>
      <c r="I79" s="543" t="s">
        <v>92</v>
      </c>
      <c r="J79" s="543" t="s">
        <v>93</v>
      </c>
      <c r="K79" s="543"/>
      <c r="L79" s="9" t="str">
        <f>IF(Планирование[[#This Row],[Контекст простоя]]="Штатно", Планирование[[#This Row],[Скважина]] &amp; " " &amp; "ОК–" &amp;Планирование[[#This Row],[ОК]] &amp; " "  &amp; Планирование[[#This Row],[Этап]] &amp; " " &amp; Планирование[[#This Row],[Вид работ]] &amp; " " &amp; Планирование[[#This Row],[Объект работ]] &amp; " " &amp; Планирование[[#This Row],[Рейс]], Планирование[[#This Row],[Скважина]] &amp; " " &amp; "ОК–" &amp;Планирование[[#This Row],[ОК]] &amp; " " &amp; Планирование[[#This Row],[Этап]] &amp; " " &amp; Планирование[[#This Row],[Контекст простоя]] &amp; " " &amp; Планирование[[#This Row],[Событие]] &amp; " " &amp; Планирование[[#This Row],[Вид работ]] &amp; " " &amp; Планирование[[#This Row],[Объект работ]] &amp; " " &amp; Планирование[[#This Row],[Рейс]])</f>
        <v xml:space="preserve">851 ОК– КРС Спуск УЭЦН </v>
      </c>
      <c r="M79" s="551">
        <f>IF(Планирование[[#This Row],[Скважина]]&lt;&gt;B78, Планирование[[#This Row],[Начало (факт)]], N78)</f>
        <v>46169.683749999931</v>
      </c>
      <c r="N79" s="4">
        <f>Планирование[[#This Row],[Начало (цель)]]+Планирование[[#This Row],[Сутки (цель)]]</f>
        <v>46170.817083333262</v>
      </c>
      <c r="O79" s="233">
        <v>27.2</v>
      </c>
      <c r="P79" s="233"/>
      <c r="Q79" s="5">
        <f>Планирование[[#This Row],[Часы (цель)]]/24</f>
        <v>1.1333333333333333</v>
      </c>
      <c r="R79" s="5">
        <f>R78+Планирование[[#This Row],[Сутки (цель)]]</f>
        <v>13.023183333333334</v>
      </c>
      <c r="S79" s="551">
        <f>Планирование[[#This Row],[Начало (цель)]]</f>
        <v>46169.683749999931</v>
      </c>
      <c r="T79" s="4">
        <f>Планирование[[#This Row],[Начало (план)]]+Планирование[[#This Row],[Сутки (план)]]</f>
        <v>46170.817083333262</v>
      </c>
      <c r="U79" s="233">
        <f>Планирование[[#This Row],[Часы (цель)]]</f>
        <v>27.2</v>
      </c>
      <c r="V79" s="233">
        <f>Планирование[[#This Row],[Забой, м (цель)]]</f>
        <v>0</v>
      </c>
      <c r="W79" s="5">
        <f>Планирование[[#This Row],[Часы (план)]]/24</f>
        <v>1.1333333333333333</v>
      </c>
      <c r="X79" s="5"/>
      <c r="Y79" s="551">
        <f t="array" ref="Y79">IFERROR(
    INDEX(Хронология[Начало], MATCH(1, (Хронология[Ключ]=Планирование[[#This Row],[Ключ]]) * (Хронология[Подытог за операцию]=MIN(IF(Хронология[Ключ]=Планирование[[#This Row],[Ключ]], Хронология[Подытог за операцию]))), 0)),
    Z78
)</f>
        <v>46172.39583333327</v>
      </c>
      <c r="Z79" s="4">
        <f t="array" aca="1" ref="Z79" ca="1">MAX(IFERROR(
    INDEX(Хронология[Окончание], MATCH(1, (Хронология[Ключ]=Планирование[[#This Row],[Ключ]]) * (Хронология[Подытог за операцию]=MAX(IF(Хронология[Ключ]=Планирование[[#This Row],[Ключ]], Хронология[Подытог за операцию]))), 0)),
    Y79+AC79
), Планирование[[#This Row],[Начало (факт)]]+Планирование[[#This Row],[Сутки (факт)]])</f>
        <v>46173.529166666602</v>
      </c>
      <c r="AA79" s="233">
        <f ca="1">IF(AND(Планирование[[#This Row],[Начало (факт)]]=Y80, Планирование[[#This Row],[Забой, м (факт)]]=0), 0, Планирование[[#This Row],[Сутки (факт)]]*24)</f>
        <v>27.2</v>
      </c>
      <c r="AB79" s="233">
        <f ca="1">Планирование[[#This Row],[Часы (факт)]]-Планирование[[#This Row],[НПВ за операцию, часы]]-Планирование[[#This Row],[ПНВ, часы]]</f>
        <v>27.2</v>
      </c>
      <c r="AC79" s="5">
        <f t="array" aca="1" ref="AC79" ca="1">IFERROR(
  IF(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окончены",
    MAX(IF(Хронология[Ключ]=Планирование[[#This Row],[Ключ]], Хронология[Подытог за операцию])),
    IF(
      Планирование[[#This Row],[Событие]]="Мех. бурение",
      (MAX(Хронология[Окончание]) - Планирование[[#This Row],[Начало (факт)]]) +
      (Планирование[[#This Row],[Забой, м (план)]] - Планирование[[#This Row],[Забой, м (факт)]]) /
      ((Планирование[[#This Row],[Забой, м (план)]] - V78)/Планирование[[#This Row],[Сутки (план)]]),
      IF(
        AND(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продолжаются",
          Планирование[[#This Row],[Начало (факт)]]&gt;0
        ),
        (TODAY()-Планирование[[#This Row],[Начало (факт)]]),
        IF(
          AND(Планирование[[#This Row],[Начало (факт)]]=0,
            Планирование[[#This Row],[Начало (план)]] &gt; MAX(Хронология[Начало])),
          Планирование[[#This Row],[Сутки (план)]],
          IF(
            AND((TODAY()-Планирование[[#This Row],[Начало (план)]])&gt;1,
              ISERR(MATCH(Планирование[[#This Row],[Ключ]], Хронология[Ключ], 0))),
            0,
            Планирование[[#This Row],[Сутки (план)]]
          )
        )
      )
    )
  ),
  Планирование[[#This Row],[Сутки (план)]]
)</f>
        <v>1.1333333333333333</v>
      </c>
      <c r="AD79" s="5">
        <f ca="1">Планирование[[#This Row],[Сутки (факт)]]</f>
        <v>1.1333333333333333</v>
      </c>
      <c r="AE79" s="566">
        <f t="array" ref="AE79">MAX(IF(Хронология[Ключ]=Планирование[[#This Row],[Ключ]], Хронология[Забой, м]))</f>
        <v>0</v>
      </c>
      <c r="AF79" s="233">
        <f ca="1">IFERROR(
    SUMIFS(
        Хронология[Часы],
        Хронология[Результат], "НПВ: нет в ГГД",
        Хронология[Начало], "&gt;=" &amp; Планирование[[#This Row],[Начало (факт)]],
        Хронология[Окончание], "&lt;=" &amp; Планирование[[#This Row],[Конец (факт, прогноз)]]
    ),
    0
)</f>
        <v>0</v>
      </c>
      <c r="AG79" s="233">
        <f ca="1">IFERROR(
    SUMIFS(
        Хронология[Часы],
        Хронология[Результат], "НПВ: нет в ГГД",
        Хронология[Начало], "&gt;=" &amp; Планирование[[#This Row],[Конец (факт, прогноз)]],
        Хронология[Окончание], "&lt;=" &amp; Y80
    ),
    0
)</f>
        <v>0</v>
      </c>
      <c r="AH79" s="550">
        <f ca="1">ROUND(IF(Планирование[[#This Row],[Часы (факт)]]-Планирование[[#This Row],[НПВ за операцию, часы]]-Планирование[[#This Row],[Часы (план)]] &lt;0, 0, Планирование[[#This Row],[Часы (факт)]]-Планирование[[#This Row],[НПВ за операцию, часы]]-Планирование[[#This Row],[Часы (план)]]), 2)</f>
        <v>0</v>
      </c>
      <c r="AI79" s="567" t="s">
        <v>1060</v>
      </c>
      <c r="AJ79" s="568">
        <f ca="1">Планирование[[#This Row],[Конец (план)]]-Планирование[[#This Row],[Конец (факт, прогноз)]]</f>
        <v>-2.7120833333392511</v>
      </c>
    </row>
    <row r="80" spans="1:36" ht="30" customHeight="1">
      <c r="A80" s="508" t="s">
        <v>519</v>
      </c>
      <c r="B80" s="577">
        <v>851</v>
      </c>
      <c r="C80" s="543"/>
      <c r="D80" s="585" t="s">
        <v>116</v>
      </c>
      <c r="E80" s="543" t="s">
        <v>58</v>
      </c>
      <c r="F80" s="543"/>
      <c r="G80" s="543" t="s">
        <v>69</v>
      </c>
      <c r="H80" s="543" t="s">
        <v>117</v>
      </c>
      <c r="I80" s="543" t="s">
        <v>86</v>
      </c>
      <c r="J80" s="543" t="s">
        <v>118</v>
      </c>
      <c r="K80" s="543"/>
      <c r="L80" s="9" t="str">
        <f>IF(Планирование[[#This Row],[Контекст простоя]]="Штатно", Планирование[[#This Row],[Скважина]] &amp; " " &amp; "ОК–" &amp;Планирование[[#This Row],[ОК]] &amp; " "  &amp; Планирование[[#This Row],[Этап]] &amp; " " &amp; Планирование[[#This Row],[Вид работ]] &amp; " " &amp; Планирование[[#This Row],[Объект работ]] &amp; " " &amp; Планирование[[#This Row],[Рейс]], Планирование[[#This Row],[Скважина]] &amp; " " &amp; "ОК–" &amp;Планирование[[#This Row],[ОК]] &amp; " " &amp; Планирование[[#This Row],[Этап]] &amp; " " &amp; Планирование[[#This Row],[Контекст простоя]] &amp; " " &amp; Планирование[[#This Row],[Событие]] &amp; " " &amp; Планирование[[#This Row],[Вид работ]] &amp; " " &amp; Планирование[[#This Row],[Объект работ]] &amp; " " &amp; Планирование[[#This Row],[Рейс]])</f>
        <v xml:space="preserve">851 ОК– Заканчивание Перемонтаж Фонтанная арматура </v>
      </c>
      <c r="M80" s="551">
        <f>IF(Планирование[[#This Row],[Скважина]]&lt;&gt;B79, Планирование[[#This Row],[Начало (факт)]], N79)</f>
        <v>46170.817083333262</v>
      </c>
      <c r="N80" s="4">
        <f>Планирование[[#This Row],[Начало (цель)]]+Планирование[[#This Row],[Сутки (цель)]]</f>
        <v>46171.005833333264</v>
      </c>
      <c r="O80" s="233">
        <v>4.53</v>
      </c>
      <c r="P80" s="233"/>
      <c r="Q80" s="5">
        <f>Планирование[[#This Row],[Часы (цель)]]/24</f>
        <v>0.18875</v>
      </c>
      <c r="R80" s="5">
        <f>R79+Планирование[[#This Row],[Сутки (цель)]]</f>
        <v>13.211933333333334</v>
      </c>
      <c r="S80" s="551">
        <f>Планирование[[#This Row],[Начало (цель)]]</f>
        <v>46170.817083333262</v>
      </c>
      <c r="T80" s="4">
        <f>Планирование[[#This Row],[Начало (план)]]+Планирование[[#This Row],[Сутки (план)]]</f>
        <v>46171.005833333264</v>
      </c>
      <c r="U80" s="233">
        <f>Планирование[[#This Row],[Часы (цель)]]</f>
        <v>4.53</v>
      </c>
      <c r="V80" s="233">
        <f>Планирование[[#This Row],[Забой, м (цель)]]</f>
        <v>0</v>
      </c>
      <c r="W80" s="5">
        <f>Планирование[[#This Row],[Часы (план)]]/24</f>
        <v>0.18875</v>
      </c>
      <c r="X80" s="5"/>
      <c r="Y80" s="551">
        <f t="array" ref="Y80">IFERROR(
    INDEX(Хронология[Начало], MATCH(1, (Хронология[Ключ]=Планирование[[#This Row],[Ключ]]) * (Хронология[Подытог за операцию]=MIN(IF(Хронология[Ключ]=Планирование[[#This Row],[Ключ]], Хронология[Подытог за операцию]))), 0)),
    Z79
)</f>
        <v>46174.416666666599</v>
      </c>
      <c r="Z80" s="4">
        <f t="array" aca="1" ref="Z80" ca="1">MAX(IFERROR(
    INDEX(Хронология[Окончание], MATCH(1, (Хронология[Ключ]=Планирование[[#This Row],[Ключ]]) * (Хронология[Подытог за операцию]=MAX(IF(Хронология[Ключ]=Планирование[[#This Row],[Ключ]], Хронология[Подытог за операцию]))), 0)),
    Y80+AC80
), Планирование[[#This Row],[Начало (факт)]]+Планирование[[#This Row],[Сутки (факт)]])</f>
        <v>46174.666666666599</v>
      </c>
      <c r="AA80" s="233">
        <f ca="1">IF(AND(Планирование[[#This Row],[Начало (факт)]]=Y81, Планирование[[#This Row],[Забой, м (факт)]]=0), 0, Планирование[[#This Row],[Сутки (факт)]]*24)</f>
        <v>4.53</v>
      </c>
      <c r="AB80" s="233">
        <f ca="1">Планирование[[#This Row],[Часы (факт)]]-Планирование[[#This Row],[НПВ за операцию, часы]]-Планирование[[#This Row],[ПНВ, часы]]</f>
        <v>4.53</v>
      </c>
      <c r="AC80" s="5">
        <f t="array" aca="1" ref="AC80" ca="1">IFERROR(
  IF(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окончены",
    MAX(IF(Хронология[Ключ]=Планирование[[#This Row],[Ключ]], Хронология[Подытог за операцию])),
    IF(
      Планирование[[#This Row],[Событие]]="Мех. бурение",
      (MAX(Хронология[Окончание]) - Планирование[[#This Row],[Начало (факт)]]) +
      (Планирование[[#This Row],[Забой, м (план)]] - Планирование[[#This Row],[Забой, м (факт)]]) /
      ((Планирование[[#This Row],[Забой, м (план)]] - V79)/Планирование[[#This Row],[Сутки (план)]]),
      IF(
        AND(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продолжаются",
          Планирование[[#This Row],[Начало (факт)]]&gt;0
        ),
        (TODAY()-Планирование[[#This Row],[Начало (факт)]]),
        IF(
          AND(Планирование[[#This Row],[Начало (факт)]]=0,
            Планирование[[#This Row],[Начало (план)]] &gt; MAX(Хронология[Начало])),
          Планирование[[#This Row],[Сутки (план)]],
          IF(
            AND((TODAY()-Планирование[[#This Row],[Начало (план)]])&gt;1,
              ISERR(MATCH(Планирование[[#This Row],[Ключ]], Хронология[Ключ], 0))),
            0,
            Планирование[[#This Row],[Сутки (план)]]
          )
        )
      )
    )
  ),
  Планирование[[#This Row],[Сутки (план)]]
)</f>
        <v>0.18875</v>
      </c>
      <c r="AD80" s="5">
        <f ca="1">Планирование[[#This Row],[Сутки (факт)]]</f>
        <v>0.18875</v>
      </c>
      <c r="AE80" s="566">
        <f t="array" ref="AE80">MAX(IF(Хронология[Ключ]=Планирование[[#This Row],[Ключ]], Хронология[Забой, м]))</f>
        <v>0</v>
      </c>
      <c r="AF80" s="233">
        <f ca="1">IFERROR(
    SUMIFS(
        Хронология[Часы],
        Хронология[Результат], "НПВ: нет в ГГД",
        Хронология[Начало], "&gt;=" &amp; Планирование[[#This Row],[Начало (факт)]],
        Хронология[Окончание], "&lt;=" &amp; Планирование[[#This Row],[Конец (факт, прогноз)]]
    ),
    0
)</f>
        <v>0</v>
      </c>
      <c r="AG80" s="233">
        <f ca="1">IFERROR(
    SUMIFS(
        Хронология[Часы],
        Хронология[Результат], "НПВ: нет в ГГД",
        Хронология[Начало], "&gt;=" &amp; Планирование[[#This Row],[Конец (факт, прогноз)]],
        Хронология[Окончание], "&lt;=" &amp; Y81
    ),
    0
)</f>
        <v>0</v>
      </c>
      <c r="AH80" s="550">
        <f ca="1">ROUND(IF(Планирование[[#This Row],[Часы (факт)]]-Планирование[[#This Row],[НПВ за операцию, часы]]-Планирование[[#This Row],[Часы (план)]] &lt;0, 0, Планирование[[#This Row],[Часы (факт)]]-Планирование[[#This Row],[НПВ за операцию, часы]]-Планирование[[#This Row],[Часы (план)]]), 2)</f>
        <v>0</v>
      </c>
      <c r="AI80" s="567" t="s">
        <v>1060</v>
      </c>
      <c r="AJ80" s="568">
        <f ca="1">Планирование[[#This Row],[Конец (план)]]-Планирование[[#This Row],[Конец (факт, прогноз)]]</f>
        <v>-3.6608333333351766</v>
      </c>
    </row>
    <row r="81" spans="1:36" ht="30" customHeight="1">
      <c r="A81" s="508" t="s">
        <v>520</v>
      </c>
      <c r="B81" s="577">
        <v>851</v>
      </c>
      <c r="C81" s="543"/>
      <c r="D81" s="585" t="s">
        <v>116</v>
      </c>
      <c r="E81" s="543" t="s">
        <v>58</v>
      </c>
      <c r="F81" s="543"/>
      <c r="G81" s="543" t="s">
        <v>111</v>
      </c>
      <c r="H81" s="543" t="s">
        <v>150</v>
      </c>
      <c r="I81" s="543" t="s">
        <v>86</v>
      </c>
      <c r="J81" s="543" t="s">
        <v>118</v>
      </c>
      <c r="K81" s="543"/>
      <c r="L81" s="9" t="str">
        <f>IF(Планирование[[#This Row],[Контекст простоя]]="Штатно", Планирование[[#This Row],[Скважина]] &amp; " " &amp; "ОК–" &amp;Планирование[[#This Row],[ОК]] &amp; " "  &amp; Планирование[[#This Row],[Этап]] &amp; " " &amp; Планирование[[#This Row],[Вид работ]] &amp; " " &amp; Планирование[[#This Row],[Объект работ]] &amp; " " &amp; Планирование[[#This Row],[Рейс]], Планирование[[#This Row],[Скважина]] &amp; " " &amp; "ОК–" &amp;Планирование[[#This Row],[ОК]] &amp; " " &amp; Планирование[[#This Row],[Этап]] &amp; " " &amp; Планирование[[#This Row],[Контекст простоя]] &amp; " " &amp; Планирование[[#This Row],[Событие]] &amp; " " &amp; Планирование[[#This Row],[Вид работ]] &amp; " " &amp; Планирование[[#This Row],[Объект работ]] &amp; " " &amp; Планирование[[#This Row],[Рейс]])</f>
        <v xml:space="preserve">851 ОК– Заканчивание Опрессовка Фонтанная арматура </v>
      </c>
      <c r="M81" s="551">
        <f>IF(Планирование[[#This Row],[Скважина]]&lt;&gt;B80, Планирование[[#This Row],[Начало (факт)]], N80)</f>
        <v>46171.005833333264</v>
      </c>
      <c r="N81" s="4">
        <f>Планирование[[#This Row],[Начало (цель)]]+Планирование[[#This Row],[Сутки (цель)]]</f>
        <v>46171.043333333262</v>
      </c>
      <c r="O81" s="233">
        <v>0.9</v>
      </c>
      <c r="P81" s="233"/>
      <c r="Q81" s="5">
        <f>Планирование[[#This Row],[Часы (цель)]]/24</f>
        <v>3.7499999999999999E-2</v>
      </c>
      <c r="R81" s="5">
        <f>R80+Планирование[[#This Row],[Сутки (цель)]]</f>
        <v>13.249433333333334</v>
      </c>
      <c r="S81" s="551">
        <f>Планирование[[#This Row],[Начало (цель)]]</f>
        <v>46171.005833333264</v>
      </c>
      <c r="T81" s="4">
        <f>Планирование[[#This Row],[Начало (план)]]+Планирование[[#This Row],[Сутки (план)]]</f>
        <v>46171.043333333262</v>
      </c>
      <c r="U81" s="233">
        <f>Планирование[[#This Row],[Часы (цель)]]</f>
        <v>0.9</v>
      </c>
      <c r="V81" s="233">
        <f>Планирование[[#This Row],[Забой, м (цель)]]</f>
        <v>0</v>
      </c>
      <c r="W81" s="5">
        <f>Планирование[[#This Row],[Часы (план)]]/24</f>
        <v>3.7499999999999999E-2</v>
      </c>
      <c r="X81" s="5"/>
      <c r="Y81" s="551">
        <f t="array" ref="Y81">IFERROR(
    INDEX(Хронология[Начало], MATCH(1, (Хронология[Ключ]=Планирование[[#This Row],[Ключ]]) * (Хронология[Подытог за операцию]=MIN(IF(Хронология[Ключ]=Планирование[[#This Row],[Ключ]], Хронология[Подытог за операцию]))), 0)),
    Z80
)</f>
        <v>46174.729166666599</v>
      </c>
      <c r="Z81" s="4">
        <f t="array" aca="1" ref="Z81" ca="1">MAX(IFERROR(
    INDEX(Хронология[Окончание], MATCH(1, (Хронология[Ключ]=Планирование[[#This Row],[Ключ]]) * (Хронология[Подытог за операцию]=MAX(IF(Хронология[Ключ]=Планирование[[#This Row],[Ключ]], Хронология[Подытог за операцию]))), 0)),
    Y81+AC81
), Планирование[[#This Row],[Начало (факт)]]+Планирование[[#This Row],[Сутки (факт)]])</f>
        <v>46174.770833333263</v>
      </c>
      <c r="AA81" s="233">
        <f ca="1">IF(AND(Планирование[[#This Row],[Начало (факт)]]=Y82, Планирование[[#This Row],[Забой, м (факт)]]=0), 0, Планирование[[#This Row],[Сутки (факт)]]*24)</f>
        <v>0.89999999999999991</v>
      </c>
      <c r="AB81" s="233">
        <f ca="1">Планирование[[#This Row],[Часы (факт)]]-Планирование[[#This Row],[НПВ за операцию, часы]]-Планирование[[#This Row],[ПНВ, часы]]</f>
        <v>0.89999999999999991</v>
      </c>
      <c r="AC81" s="5">
        <f t="array" aca="1" ref="AC81" ca="1">IFERROR(
  IF(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окончены",
    MAX(IF(Хронология[Ключ]=Планирование[[#This Row],[Ключ]], Хронология[Подытог за операцию])),
    IF(
      Планирование[[#This Row],[Событие]]="Мех. бурение",
      (MAX(Хронология[Окончание]) - Планирование[[#This Row],[Начало (факт)]]) +
      (Планирование[[#This Row],[Забой, м (план)]] - Планирование[[#This Row],[Забой, м (факт)]]) /
      ((Планирование[[#This Row],[Забой, м (план)]] - V80)/Планирование[[#This Row],[Сутки (план)]]),
      IF(
        AND(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продолжаются",
          Планирование[[#This Row],[Начало (факт)]]&gt;0
        ),
        (TODAY()-Планирование[[#This Row],[Начало (факт)]]),
        IF(
          AND(Планирование[[#This Row],[Начало (факт)]]=0,
            Планирование[[#This Row],[Начало (план)]] &gt; MAX(Хронология[Начало])),
          Планирование[[#This Row],[Сутки (план)]],
          IF(
            AND((TODAY()-Планирование[[#This Row],[Начало (план)]])&gt;1,
              ISERR(MATCH(Планирование[[#This Row],[Ключ]], Хронология[Ключ], 0))),
            0,
            Планирование[[#This Row],[Сутки (план)]]
          )
        )
      )
    )
  ),
  Планирование[[#This Row],[Сутки (план)]]
)</f>
        <v>3.7499999999999999E-2</v>
      </c>
      <c r="AD81" s="5">
        <f ca="1">Планирование[[#This Row],[Сутки (факт)]]</f>
        <v>3.7499999999999999E-2</v>
      </c>
      <c r="AE81" s="566">
        <f t="array" ref="AE81">MAX(IF(Хронология[Ключ]=Планирование[[#This Row],[Ключ]], Хронология[Забой, м]))</f>
        <v>0</v>
      </c>
      <c r="AF81" s="233">
        <f ca="1">IFERROR(
    SUMIFS(
        Хронология[Часы],
        Хронология[Результат], "НПВ: нет в ГГД",
        Хронология[Начало], "&gt;=" &amp; Планирование[[#This Row],[Начало (факт)]],
        Хронология[Окончание], "&lt;=" &amp; Планирование[[#This Row],[Конец (факт, прогноз)]]
    ),
    0
)</f>
        <v>0</v>
      </c>
      <c r="AG81" s="233">
        <f ca="1">IFERROR(
    SUMIFS(
        Хронология[Часы],
        Хронология[Результат], "НПВ: нет в ГГД",
        Хронология[Начало], "&gt;=" &amp; Планирование[[#This Row],[Конец (факт, прогноз)]],
        Хронология[Окончание], "&lt;=" &amp; Y82
    ),
    0
)</f>
        <v>0</v>
      </c>
      <c r="AH81" s="550">
        <f ca="1">ROUND(IF(Планирование[[#This Row],[Часы (факт)]]-Планирование[[#This Row],[НПВ за операцию, часы]]-Планирование[[#This Row],[Часы (план)]] &lt;0, 0, Планирование[[#This Row],[Часы (факт)]]-Планирование[[#This Row],[НПВ за операцию, часы]]-Планирование[[#This Row],[Часы (план)]]), 2)</f>
        <v>0</v>
      </c>
      <c r="AI81" s="567" t="s">
        <v>1060</v>
      </c>
      <c r="AJ81" s="568">
        <f ca="1">Планирование[[#This Row],[Конец (план)]]-Планирование[[#This Row],[Конец (факт, прогноз)]]</f>
        <v>-3.7275000000008731</v>
      </c>
    </row>
    <row r="82" spans="1:36" ht="30" customHeight="1">
      <c r="A82" s="508" t="s">
        <v>521</v>
      </c>
      <c r="B82" s="577">
        <v>851</v>
      </c>
      <c r="C82" s="543"/>
      <c r="D82" s="585" t="s">
        <v>116</v>
      </c>
      <c r="E82" s="543" t="s">
        <v>58</v>
      </c>
      <c r="F82" s="543"/>
      <c r="G82" s="543" t="s">
        <v>120</v>
      </c>
      <c r="H82" s="543" t="s">
        <v>121</v>
      </c>
      <c r="I82" s="543" t="s">
        <v>92</v>
      </c>
      <c r="J82" s="543" t="s">
        <v>93</v>
      </c>
      <c r="K82" s="543"/>
      <c r="L82" s="9" t="str">
        <f>IF(Планирование[[#This Row],[Контекст простоя]]="Штатно", Планирование[[#This Row],[Скважина]] &amp; " " &amp; "ОК–" &amp;Планирование[[#This Row],[ОК]] &amp; " "  &amp; Планирование[[#This Row],[Этап]] &amp; " " &amp; Планирование[[#This Row],[Вид работ]] &amp; " " &amp; Планирование[[#This Row],[Объект работ]] &amp; " " &amp; Планирование[[#This Row],[Рейс]], Планирование[[#This Row],[Скважина]] &amp; " " &amp; "ОК–" &amp;Планирование[[#This Row],[ОК]] &amp; " " &amp; Планирование[[#This Row],[Этап]] &amp; " " &amp; Планирование[[#This Row],[Контекст простоя]] &amp; " " &amp; Планирование[[#This Row],[Событие]] &amp; " " &amp; Планирование[[#This Row],[Вид работ]] &amp; " " &amp; Планирование[[#This Row],[Объект работ]] &amp; " " &amp; Планирование[[#This Row],[Рейс]])</f>
        <v xml:space="preserve">851 ОК– Заканчивание Запуск в работу УЭЦН </v>
      </c>
      <c r="M82" s="551">
        <f>IF(Планирование[[#This Row],[Скважина]]&lt;&gt;B81, Планирование[[#This Row],[Начало (факт)]], N81)</f>
        <v>46171.043333333262</v>
      </c>
      <c r="N82" s="4">
        <f>Планирование[[#This Row],[Начало (цель)]]+Планирование[[#This Row],[Сутки (цель)]]</f>
        <v>46171.068333333264</v>
      </c>
      <c r="O82" s="233">
        <v>0.6</v>
      </c>
      <c r="P82" s="233"/>
      <c r="Q82" s="5">
        <f>Планирование[[#This Row],[Часы (цель)]]/24</f>
        <v>2.4999999999999998E-2</v>
      </c>
      <c r="R82" s="5">
        <f>R81+Планирование[[#This Row],[Сутки (цель)]]</f>
        <v>13.274433333333334</v>
      </c>
      <c r="S82" s="551">
        <f>Планирование[[#This Row],[Начало (цель)]]</f>
        <v>46171.043333333262</v>
      </c>
      <c r="T82" s="4">
        <f>Планирование[[#This Row],[Начало (план)]]+Планирование[[#This Row],[Сутки (план)]]</f>
        <v>46171.068333333264</v>
      </c>
      <c r="U82" s="233">
        <f>Планирование[[#This Row],[Часы (цель)]]</f>
        <v>0.6</v>
      </c>
      <c r="V82" s="233">
        <f>Планирование[[#This Row],[Забой, м (цель)]]</f>
        <v>0</v>
      </c>
      <c r="W82" s="5">
        <f>Планирование[[#This Row],[Часы (план)]]/24</f>
        <v>2.4999999999999998E-2</v>
      </c>
      <c r="X82" s="5"/>
      <c r="Y82" s="551">
        <f t="array" ref="Y82">IFERROR(
    INDEX(Хронология[Начало], MATCH(1, (Хронология[Ключ]=Планирование[[#This Row],[Ключ]]) * (Хронология[Подытог за операцию]=MIN(IF(Хронология[Ключ]=Планирование[[#This Row],[Ключ]], Хронология[Подытог за операцию]))), 0)),
    Z81
)</f>
        <v>46174.770833333263</v>
      </c>
      <c r="Z82" s="4">
        <f t="array" aca="1" ref="Z82" ca="1">MAX(IFERROR(
    INDEX(Хронология[Окончание], MATCH(1, (Хронология[Ключ]=Планирование[[#This Row],[Ключ]]) * (Хронология[Подытог за операцию]=MAX(IF(Хронология[Ключ]=Планирование[[#This Row],[Ключ]], Хронология[Подытог за операцию]))), 0)),
    Y82+AC82
), Планирование[[#This Row],[Начало (факт)]]+Планирование[[#This Row],[Сутки (факт)]])</f>
        <v>46174.795833333264</v>
      </c>
      <c r="AA82" s="233">
        <f ca="1">IF(AND(Планирование[[#This Row],[Начало (факт)]]=Y83, Планирование[[#This Row],[Забой, м (факт)]]=0), 0, Планирование[[#This Row],[Сутки (факт)]]*24)</f>
        <v>0.6</v>
      </c>
      <c r="AB82" s="233">
        <f ca="1">Планирование[[#This Row],[Часы (факт)]]-Планирование[[#This Row],[НПВ за операцию, часы]]-Планирование[[#This Row],[ПНВ, часы]]</f>
        <v>0.6</v>
      </c>
      <c r="AC82" s="5">
        <f t="array" aca="1" ref="AC82" ca="1">IFERROR(
  IF(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окончены",
    MAX(IF(Хронология[Ключ]=Планирование[[#This Row],[Ключ]], Хронология[Подытог за операцию])),
    IF(
      Планирование[[#This Row],[Событие]]="Мех. бурение",
      (MAX(Хронология[Окончание]) - Планирование[[#This Row],[Начало (факт)]]) +
      (Планирование[[#This Row],[Забой, м (план)]] - Планирование[[#This Row],[Забой, м (факт)]]) /
      ((Планирование[[#This Row],[Забой, м (план)]] - V81)/Планирование[[#This Row],[Сутки (план)]]),
      IF(
        AND(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продолжаются",
          Планирование[[#This Row],[Начало (факт)]]&gt;0
        ),
        (TODAY()-Планирование[[#This Row],[Начало (факт)]]),
        IF(
          AND(Планирование[[#This Row],[Начало (факт)]]=0,
            Планирование[[#This Row],[Начало (план)]] &gt; MAX(Хронология[Начало])),
          Планирование[[#This Row],[Сутки (план)]],
          IF(
            AND((TODAY()-Планирование[[#This Row],[Начало (план)]])&gt;1,
              ISERR(MATCH(Планирование[[#This Row],[Ключ]], Хронология[Ключ], 0))),
            0,
            Планирование[[#This Row],[Сутки (план)]]
          )
        )
      )
    )
  ),
  Планирование[[#This Row],[Сутки (план)]]
)</f>
        <v>2.4999999999999998E-2</v>
      </c>
      <c r="AD82" s="5">
        <f ca="1">Планирование[[#This Row],[Сутки (факт)]]</f>
        <v>2.4999999999999998E-2</v>
      </c>
      <c r="AE82" s="566">
        <f t="array" ref="AE82">MAX(IF(Хронология[Ключ]=Планирование[[#This Row],[Ключ]], Хронология[Забой, м]))</f>
        <v>0</v>
      </c>
      <c r="AF82" s="233">
        <f ca="1">IFERROR(
    SUMIFS(
        Хронология[Часы],
        Хронология[Результат], "НПВ: нет в ГГД",
        Хронология[Начало], "&gt;=" &amp; Планирование[[#This Row],[Начало (факт)]],
        Хронология[Окончание], "&lt;=" &amp; Планирование[[#This Row],[Конец (факт, прогноз)]]
    ),
    0
)</f>
        <v>0</v>
      </c>
      <c r="AG82" s="233">
        <f ca="1">IFERROR(
    SUMIFS(
        Хронология[Часы],
        Хронология[Результат], "НПВ: нет в ГГД",
        Хронология[Начало], "&gt;=" &amp; Планирование[[#This Row],[Конец (факт, прогноз)]],
        Хронология[Окончание], "&lt;=" &amp; Y83
    ),
    0
)</f>
        <v>0</v>
      </c>
      <c r="AH82" s="550">
        <f ca="1">ROUND(IF(Планирование[[#This Row],[Часы (факт)]]-Планирование[[#This Row],[НПВ за операцию, часы]]-Планирование[[#This Row],[Часы (план)]] &lt;0, 0, Планирование[[#This Row],[Часы (факт)]]-Планирование[[#This Row],[НПВ за операцию, часы]]-Планирование[[#This Row],[Часы (план)]]), 2)</f>
        <v>0</v>
      </c>
      <c r="AI82" s="567" t="s">
        <v>1060</v>
      </c>
      <c r="AJ82" s="568">
        <f ca="1">Планирование[[#This Row],[Конец (план)]]-Планирование[[#This Row],[Конец (факт, прогноз)]]</f>
        <v>-3.7275000000008731</v>
      </c>
    </row>
    <row r="83" spans="1:36" ht="30" customHeight="1">
      <c r="A83" s="508" t="s">
        <v>522</v>
      </c>
      <c r="B83" s="577">
        <v>851</v>
      </c>
      <c r="C83" s="543"/>
      <c r="D83" s="585" t="s">
        <v>57</v>
      </c>
      <c r="E83" s="543" t="s">
        <v>58</v>
      </c>
      <c r="F83" s="543"/>
      <c r="G83" s="543" t="s">
        <v>69</v>
      </c>
      <c r="H83" s="543" t="s">
        <v>108</v>
      </c>
      <c r="I83" s="543" t="s">
        <v>61</v>
      </c>
      <c r="J83" s="543" t="s">
        <v>62</v>
      </c>
      <c r="K83" s="543"/>
      <c r="L83" s="9" t="str">
        <f>IF(Планирование[[#This Row],[Контекст простоя]]="Штатно", Планирование[[#This Row],[Скважина]] &amp; " " &amp; "ОК–" &amp;Планирование[[#This Row],[ОК]] &amp; " "  &amp; Планирование[[#This Row],[Этап]] &amp; " " &amp; Планирование[[#This Row],[Вид работ]] &amp; " " &amp; Планирование[[#This Row],[Объект работ]] &amp; " " &amp; Планирование[[#This Row],[Рейс]], Планирование[[#This Row],[Скважина]] &amp; " " &amp; "ОК–" &amp;Планирование[[#This Row],[ОК]] &amp; " " &amp; Планирование[[#This Row],[Этап]] &amp; " " &amp; Планирование[[#This Row],[Контекст простоя]] &amp; " " &amp; Планирование[[#This Row],[Событие]] &amp; " " &amp; Планирование[[#This Row],[Вид работ]] &amp; " " &amp; Планирование[[#This Row],[Объект работ]] &amp; " " &amp; Планирование[[#This Row],[Рейс]])</f>
        <v xml:space="preserve">851 ОК– ДПМ Демонтаж УПА </v>
      </c>
      <c r="M83" s="551">
        <f>IF(Планирование[[#This Row],[Скважина]]&lt;&gt;B82, Планирование[[#This Row],[Начало (факт)]], N82)</f>
        <v>46171.068333333264</v>
      </c>
      <c r="N83" s="4">
        <f>Планирование[[#This Row],[Начало (цель)]]+Планирование[[#This Row],[Сутки (цель)]]</f>
        <v>46171.259166666598</v>
      </c>
      <c r="O83" s="233">
        <v>4.58</v>
      </c>
      <c r="P83" s="233"/>
      <c r="Q83" s="5">
        <f>Планирование[[#This Row],[Часы (цель)]]/24</f>
        <v>0.19083333333333333</v>
      </c>
      <c r="R83" s="5">
        <f>R82+Планирование[[#This Row],[Сутки (цель)]]</f>
        <v>13.465266666666668</v>
      </c>
      <c r="S83" s="551">
        <f>Планирование[[#This Row],[Начало (цель)]]</f>
        <v>46171.068333333264</v>
      </c>
      <c r="T83" s="4">
        <f>Планирование[[#This Row],[Начало (план)]]+Планирование[[#This Row],[Сутки (план)]]</f>
        <v>46171.259166666598</v>
      </c>
      <c r="U83" s="233">
        <f>Планирование[[#This Row],[Часы (цель)]]</f>
        <v>4.58</v>
      </c>
      <c r="V83" s="233">
        <f>Планирование[[#This Row],[Забой, м (цель)]]</f>
        <v>0</v>
      </c>
      <c r="W83" s="5">
        <f>Планирование[[#This Row],[Часы (план)]]/24</f>
        <v>0.19083333333333333</v>
      </c>
      <c r="X83" s="5"/>
      <c r="Y83" s="551">
        <f t="array" ref="Y83">IFERROR(
    INDEX(Хронология[Начало], MATCH(1, (Хронология[Ключ]=Планирование[[#This Row],[Ключ]]) * (Хронология[Подытог за операцию]=MIN(IF(Хронология[Ключ]=Планирование[[#This Row],[Ключ]], Хронология[Подытог за операцию]))), 0)),
    Z82
)</f>
        <v>46174.666666666599</v>
      </c>
      <c r="Z83" s="4">
        <f t="array" aca="1" ref="Z83" ca="1">MAX(IFERROR(
    INDEX(Хронология[Окончание], MATCH(1, (Хронология[Ключ]=Планирование[[#This Row],[Ключ]]) * (Хронология[Подытог за операцию]=MAX(IF(Хронология[Ключ]=Планирование[[#This Row],[Ключ]], Хронология[Подытог за операцию]))), 0)),
    Y83+AC83
), Планирование[[#This Row],[Начало (факт)]]+Планирование[[#This Row],[Сутки (факт)]])</f>
        <v>46174.857499999933</v>
      </c>
      <c r="AA83" s="233">
        <f ca="1">IF(AND(Планирование[[#This Row],[Начало (факт)]]=Y84, Планирование[[#This Row],[Забой, м (факт)]]=0), 0, Планирование[[#This Row],[Сутки (факт)]]*24)</f>
        <v>4.58</v>
      </c>
      <c r="AB83" s="233">
        <f ca="1">Планирование[[#This Row],[Часы (факт)]]-Планирование[[#This Row],[НПВ за операцию, часы]]-Планирование[[#This Row],[ПНВ, часы]]</f>
        <v>4.58</v>
      </c>
      <c r="AC83" s="5">
        <f t="array" aca="1" ref="AC83" ca="1">IFERROR(
  IF(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окончены",
    MAX(IF(Хронология[Ключ]=Планирование[[#This Row],[Ключ]], Хронология[Подытог за операцию])),
    IF(
      Планирование[[#This Row],[Событие]]="Мех. бурение",
      (MAX(Хронология[Окончание]) - Планирование[[#This Row],[Начало (факт)]]) +
      (Планирование[[#This Row],[Забой, м (план)]] - Планирование[[#This Row],[Забой, м (факт)]]) /
      ((Планирование[[#This Row],[Забой, м (план)]] - V82)/Планирование[[#This Row],[Сутки (план)]]),
      IF(
        AND(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продолжаются",
          Планирование[[#This Row],[Начало (факт)]]&gt;0
        ),
        (TODAY()-Планирование[[#This Row],[Начало (факт)]]),
        IF(
          AND(Планирование[[#This Row],[Начало (факт)]]=0,
            Планирование[[#This Row],[Начало (план)]] &gt; MAX(Хронология[Начало])),
          Планирование[[#This Row],[Сутки (план)]],
          IF(
            AND((TODAY()-Планирование[[#This Row],[Начало (план)]])&gt;1,
              ISERR(MATCH(Планирование[[#This Row],[Ключ]], Хронология[Ключ], 0))),
            0,
            Планирование[[#This Row],[Сутки (план)]]
          )
        )
      )
    )
  ),
  Планирование[[#This Row],[Сутки (план)]]
)</f>
        <v>0.19083333333333333</v>
      </c>
      <c r="AD83" s="5">
        <f ca="1">Планирование[[#This Row],[Сутки (факт)]]</f>
        <v>0.19083333333333333</v>
      </c>
      <c r="AE83" s="566">
        <f t="array" ref="AE83">MAX(IF(Хронология[Ключ]=Планирование[[#This Row],[Ключ]], Хронология[Забой, м]))</f>
        <v>0</v>
      </c>
      <c r="AF83" s="233">
        <f ca="1">IFERROR(
    SUMIFS(
        Хронология[Часы],
        Хронология[Результат], "НПВ: нет в ГГД",
        Хронология[Начало], "&gt;=" &amp; Планирование[[#This Row],[Начало (факт)]],
        Хронология[Окончание], "&lt;=" &amp; Планирование[[#This Row],[Конец (факт, прогноз)]]
    ),
    0
)</f>
        <v>0</v>
      </c>
      <c r="AG83" s="233">
        <f ca="1">IFERROR(
    SUMIFS(
        Хронология[Часы],
        Хронология[Результат], "НПВ: нет в ГГД",
        Хронология[Начало], "&gt;=" &amp; Планирование[[#This Row],[Конец (факт, прогноз)]],
        Хронология[Окончание], "&lt;=" &amp; Y84
    ),
    0
)</f>
        <v>0</v>
      </c>
      <c r="AH83" s="550">
        <f ca="1">ROUND(IF(Планирование[[#This Row],[Часы (факт)]]-Планирование[[#This Row],[НПВ за операцию, часы]]-Планирование[[#This Row],[Часы (план)]] &lt;0, 0, Планирование[[#This Row],[Часы (факт)]]-Планирование[[#This Row],[НПВ за операцию, часы]]-Планирование[[#This Row],[Часы (план)]]), 2)</f>
        <v>0</v>
      </c>
      <c r="AI83" s="567" t="s">
        <v>1060</v>
      </c>
      <c r="AJ83" s="568">
        <f ca="1">Планирование[[#This Row],[Конец (план)]]-Планирование[[#This Row],[Конец (факт, прогноз)]]</f>
        <v>-3.5983333333351766</v>
      </c>
    </row>
    <row r="84" spans="1:36" ht="30" customHeight="1">
      <c r="A84" s="508" t="s">
        <v>523</v>
      </c>
      <c r="B84" s="577">
        <v>851</v>
      </c>
      <c r="C84" s="543"/>
      <c r="D84" s="585" t="s">
        <v>57</v>
      </c>
      <c r="E84" s="543" t="s">
        <v>58</v>
      </c>
      <c r="F84" s="543"/>
      <c r="G84" s="543" t="s">
        <v>69</v>
      </c>
      <c r="H84" s="543" t="s">
        <v>108</v>
      </c>
      <c r="I84" s="543" t="s">
        <v>61</v>
      </c>
      <c r="J84" s="543" t="s">
        <v>71</v>
      </c>
      <c r="K84" s="543"/>
      <c r="L84" s="9" t="str">
        <f>IF(Планирование[[#This Row],[Контекст простоя]]="Штатно", Планирование[[#This Row],[Скважина]] &amp; " " &amp; "ОК–" &amp;Планирование[[#This Row],[ОК]] &amp; " "  &amp; Планирование[[#This Row],[Этап]] &amp; " " &amp; Планирование[[#This Row],[Вид работ]] &amp; " " &amp; Планирование[[#This Row],[Объект работ]] &amp; " " &amp; Планирование[[#This Row],[Рейс]], Планирование[[#This Row],[Скважина]] &amp; " " &amp; "ОК–" &amp;Планирование[[#This Row],[ОК]] &amp; " " &amp; Планирование[[#This Row],[Этап]] &amp; " " &amp; Планирование[[#This Row],[Контекст простоя]] &amp; " " &amp; Планирование[[#This Row],[Событие]] &amp; " " &amp; Планирование[[#This Row],[Вид работ]] &amp; " " &amp; Планирование[[#This Row],[Объект работ]] &amp; " " &amp; Планирование[[#This Row],[Рейс]])</f>
        <v xml:space="preserve">851 ОК– ДПМ Демонтаж БО </v>
      </c>
      <c r="M84" s="551">
        <f>IF(Планирование[[#This Row],[Скважина]]&lt;&gt;B83, Планирование[[#This Row],[Начало (факт)]], N83)</f>
        <v>46171.259166666598</v>
      </c>
      <c r="N84" s="4">
        <f>Планирование[[#This Row],[Начало (цель)]]+Планирование[[#This Row],[Сутки (цель)]]</f>
        <v>46171.37749999993</v>
      </c>
      <c r="O84" s="233">
        <v>2.84</v>
      </c>
      <c r="P84" s="233"/>
      <c r="Q84" s="5">
        <f>Планирование[[#This Row],[Часы (цель)]]/24</f>
        <v>0.11833333333333333</v>
      </c>
      <c r="R84" s="5">
        <f>R83+Планирование[[#This Row],[Сутки (цель)]]</f>
        <v>13.583600000000002</v>
      </c>
      <c r="S84" s="551">
        <f>Планирование[[#This Row],[Начало (цель)]]</f>
        <v>46171.259166666598</v>
      </c>
      <c r="T84" s="4">
        <f>Планирование[[#This Row],[Начало (план)]]+Планирование[[#This Row],[Сутки (план)]]</f>
        <v>46171.37749999993</v>
      </c>
      <c r="U84" s="233">
        <f>Планирование[[#This Row],[Часы (цель)]]</f>
        <v>2.84</v>
      </c>
      <c r="V84" s="233">
        <f>Планирование[[#This Row],[Забой, м (цель)]]</f>
        <v>0</v>
      </c>
      <c r="W84" s="5">
        <f>Планирование[[#This Row],[Часы (план)]]/24</f>
        <v>0.11833333333333333</v>
      </c>
      <c r="X84" s="5"/>
      <c r="Y84" s="551">
        <f t="array" ref="Y84">IFERROR(
    INDEX(Хронология[Начало], MATCH(1, (Хронология[Ключ]=Планирование[[#This Row],[Ключ]]) * (Хронология[Подытог за операцию]=MIN(IF(Хронология[Ключ]=Планирование[[#This Row],[Ключ]], Хронология[Подытог за операцию]))), 0)),
    Z83
)</f>
        <v>46174.916666666599</v>
      </c>
      <c r="Z84" s="4">
        <f t="array" aca="1" ref="Z84" ca="1">MAX(IFERROR(
    INDEX(Хронология[Окончание], MATCH(1, (Хронология[Ключ]=Планирование[[#This Row],[Ключ]]) * (Хронология[Подытог за операцию]=MAX(IF(Хронология[Ключ]=Планирование[[#This Row],[Ключ]], Хронология[Подытог за операцию]))), 0)),
    Y84+AC84
), Планирование[[#This Row],[Начало (факт)]]+Планирование[[#This Row],[Сутки (факт)]])</f>
        <v>46175.034999999931</v>
      </c>
      <c r="AA84" s="233">
        <f ca="1">IF(AND(Планирование[[#This Row],[Начало (факт)]]=Y85, Планирование[[#This Row],[Забой, м (факт)]]=0), 0, Планирование[[#This Row],[Сутки (факт)]]*24)</f>
        <v>2.84</v>
      </c>
      <c r="AB84" s="233">
        <f ca="1">Планирование[[#This Row],[Часы (факт)]]-Планирование[[#This Row],[НПВ за операцию, часы]]-Планирование[[#This Row],[ПНВ, часы]]</f>
        <v>2.84</v>
      </c>
      <c r="AC84" s="5">
        <f t="array" aca="1" ref="AC84" ca="1">IFERROR(
  IF(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окончены",
    MAX(IF(Хронология[Ключ]=Планирование[[#This Row],[Ключ]], Хронология[Подытог за операцию])),
    IF(
      Планирование[[#This Row],[Событие]]="Мех. бурение",
      (MAX(Хронология[Окончание]) - Планирование[[#This Row],[Начало (факт)]]) +
      (Планирование[[#This Row],[Забой, м (план)]] - Планирование[[#This Row],[Забой, м (факт)]]) /
      ((Планирование[[#This Row],[Забой, м (план)]] - V83)/Планирование[[#This Row],[Сутки (план)]]),
      IF(
        AND(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продолжаются",
          Планирование[[#This Row],[Начало (факт)]]&gt;0
        ),
        (TODAY()-Планирование[[#This Row],[Начало (факт)]]),
        IF(
          AND(Планирование[[#This Row],[Начало (факт)]]=0,
            Планирование[[#This Row],[Начало (план)]] &gt; MAX(Хронология[Начало])),
          Планирование[[#This Row],[Сутки (план)]],
          IF(
            AND((TODAY()-Планирование[[#This Row],[Начало (план)]])&gt;1,
              ISERR(MATCH(Планирование[[#This Row],[Ключ]], Хронология[Ключ], 0))),
            0,
            Планирование[[#This Row],[Сутки (план)]]
          )
        )
      )
    )
  ),
  Планирование[[#This Row],[Сутки (план)]]
)</f>
        <v>0.11833333333333333</v>
      </c>
      <c r="AD84" s="5">
        <f ca="1">Планирование[[#This Row],[Сутки (факт)]]</f>
        <v>0.11833333333333333</v>
      </c>
      <c r="AE84" s="566">
        <f t="array" ref="AE84">MAX(IF(Хронология[Ключ]=Планирование[[#This Row],[Ключ]], Хронология[Забой, м]))</f>
        <v>0</v>
      </c>
      <c r="AF84" s="233">
        <f ca="1">IFERROR(
    SUMIFS(
        Хронология[Часы],
        Хронология[Результат], "НПВ: нет в ГГД",
        Хронология[Начало], "&gt;=" &amp; Планирование[[#This Row],[Начало (факт)]],
        Хронология[Окончание], "&lt;=" &amp; Планирование[[#This Row],[Конец (факт, прогноз)]]
    ),
    0
)</f>
        <v>0</v>
      </c>
      <c r="AG84" s="233">
        <f ca="1">IFERROR(
    SUMIFS(
        Хронология[Часы],
        Хронология[Результат], "НПВ: нет в ГГД",
        Хронология[Начало], "&gt;=" &amp; Планирование[[#This Row],[Конец (факт, прогноз)]],
        Хронология[Окончание], "&lt;=" &amp; Y85
    ),
    0
)</f>
        <v>0</v>
      </c>
      <c r="AH84" s="550">
        <f ca="1">ROUND(IF(Планирование[[#This Row],[Часы (факт)]]-Планирование[[#This Row],[НПВ за операцию, часы]]-Планирование[[#This Row],[Часы (план)]] &lt;0, 0, Планирование[[#This Row],[Часы (факт)]]-Планирование[[#This Row],[НПВ за операцию, часы]]-Планирование[[#This Row],[Часы (план)]]), 2)</f>
        <v>0</v>
      </c>
      <c r="AI84" s="567" t="s">
        <v>1060</v>
      </c>
      <c r="AJ84" s="568">
        <f ca="1">Планирование[[#This Row],[Конец (план)]]-Планирование[[#This Row],[Конец (факт, прогноз)]]</f>
        <v>-3.6575000000011642</v>
      </c>
    </row>
    <row r="85" spans="1:36" s="915" customFormat="1" ht="30" customHeight="1">
      <c r="A85" s="909" t="s">
        <v>1099</v>
      </c>
      <c r="B85" s="910" t="s">
        <v>266</v>
      </c>
      <c r="C85" s="911"/>
      <c r="D85" s="911" t="s">
        <v>59</v>
      </c>
      <c r="E85" s="911" t="s">
        <v>58</v>
      </c>
      <c r="F85" s="911"/>
      <c r="G85" s="911" t="s">
        <v>78</v>
      </c>
      <c r="H85" s="911" t="s">
        <v>1100</v>
      </c>
      <c r="I85" s="911" t="s">
        <v>61</v>
      </c>
      <c r="J85" s="911" t="s">
        <v>286</v>
      </c>
      <c r="K85" s="911"/>
      <c r="L85" s="911" t="str">
        <f>IF(Планирование[[#This Row],[Контекст простоя]]="Штатно", Планирование[[#This Row],[Скважина]] &amp; " " &amp; "ОК–" &amp;Планирование[[#This Row],[ОК]] &amp; " "  &amp; Планирование[[#This Row],[Этап]] &amp; " " &amp; Планирование[[#This Row],[Вид работ]] &amp; " " &amp; Планирование[[#This Row],[Объект работ]] &amp; " " &amp; Планирование[[#This Row],[Рейс]], Планирование[[#This Row],[Скважина]] &amp; " " &amp; "ОК–" &amp;Планирование[[#This Row],[ОК]] &amp; " " &amp; Планирование[[#This Row],[Этап]] &amp; " " &amp; Планирование[[#This Row],[Контекст простоя]] &amp; " " &amp; Планирование[[#This Row],[Событие]] &amp; " " &amp; Планирование[[#This Row],[Вид работ]] &amp; " " &amp; Планирование[[#This Row],[Объект работ]] &amp; " " &amp; Планирование[[#This Row],[Рейс]])</f>
        <v xml:space="preserve">600 ОК– ПР Согласование Бригада КРС </v>
      </c>
      <c r="M85" s="912">
        <f ca="1">IF(Планирование[[#This Row],[Скважина]]&lt;&gt;B84,Планирование[[#This Row],[Начало (факт)]],N84)</f>
        <v>46174.857499999933</v>
      </c>
      <c r="N85" s="913">
        <f ca="1">Планирование[[#This Row],[Начало (цель)]]+Планирование[[#This Row],[Сутки (цель)]]</f>
        <v>46174.857499999933</v>
      </c>
      <c r="O85" s="914">
        <v>0</v>
      </c>
      <c r="Q85" s="916">
        <f>Планирование[[#This Row],[Часы (цель)]]/24</f>
        <v>0</v>
      </c>
      <c r="R85" s="916">
        <f>Планирование[[#This Row],[Сутки (цель)]]</f>
        <v>0</v>
      </c>
      <c r="S85" s="917">
        <f ca="1">Планирование[[#This Row],[Начало (цель)]]</f>
        <v>46174.857499999933</v>
      </c>
      <c r="T85" s="913">
        <f ca="1">Планирование[[#This Row],[Начало (план)]]+Планирование[[#This Row],[Сутки (план)]]</f>
        <v>46174.857499999933</v>
      </c>
      <c r="U85" s="914">
        <f>Планирование[[#This Row],[Часы (цель)]]</f>
        <v>0</v>
      </c>
      <c r="V85" s="918">
        <f>Планирование[[#This Row],[Забой, м (цель)]]</f>
        <v>0</v>
      </c>
      <c r="W85" s="916">
        <f>Планирование[[#This Row],[Часы (план)]]/24</f>
        <v>0</v>
      </c>
      <c r="X85" s="919">
        <f>Планирование[[#This Row],[Сутки (план)]]</f>
        <v>0</v>
      </c>
      <c r="Y85" s="912">
        <f t="array" aca="1" ref="Y85" ca="1">IFERROR(
    INDEX(Хронология[Начало], MATCH(1, (Хронология[Ключ]=Планирование[[#This Row],[Ключ]]) * (Хронология[Подытог за операцию]=MIN(IF(Хронология[Ключ]=Планирование[[#This Row],[Ключ]], Хронология[Подытог за операцию]))), 0)),
    Z83
)</f>
        <v>46174.857499999933</v>
      </c>
      <c r="Z85" s="920">
        <f t="array" aca="1" ref="Z85" ca="1">MAX(IFERROR(
    INDEX(Хронология[Окончание], MATCH(1, (Хронология[Ключ]=Планирование[[#This Row],[Ключ]]) * (Хронология[Подытог за операцию]=MAX(IF(Хронология[Ключ]=Планирование[[#This Row],[Ключ]], Хронология[Подытог за операцию]))), 0)),
    Y84+AC84
), Планирование[[#This Row],[Начало (факт)]]+Планирование[[#This Row],[Сутки (факт)]])</f>
        <v>46175.034999999931</v>
      </c>
      <c r="AA85" s="921">
        <f ca="1">IF(AND(Планирование[[#This Row],[Начало (факт)]]=Y86,Планирование[[#This Row],[Забой, м (факт)]]=AE86),0,Планирование[[#This Row],[Конец (факт, прогноз)]]-Планирование[[#This Row],[Начало (факт)]])</f>
        <v>0.17749999999796273</v>
      </c>
      <c r="AB85" s="921">
        <f ca="1">Планирование[[#This Row],[Часы (факт)]]-Планирование[[#This Row],[НПВ за операцию, часы]]-Планирование[[#This Row],[ПНВ, часы]]</f>
        <v>-2.5000000020372615E-3</v>
      </c>
      <c r="AC85" s="922">
        <f t="array" aca="1" ref="AC85" ca="1">IFERROR(
  IF(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окончены",
    MAX(IF(Хронология[Ключ]=Планирование[[#This Row],[Ключ]], Хронология[Подытог за операцию])),
    IF(
      Планирование[[#This Row],[Событие]]="Мех. бурение",
      (MAX(Хронология[Окончание]) - Планирование[[#This Row],[Начало (факт)]]) +
      (Планирование[[#This Row],[Забой, м (план)]] - Планирование[[#This Row],[Забой, м (факт)]]) /
      ((Планирование[[#This Row],[Забой, м (план)]] - V83)/Планирование[[#This Row],[Сутки (план)]]),
      IF(
        AND(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продолжаются",
          Планирование[[#This Row],[Начало (факт)]]&gt;0
        ),
        (TODAY()-Планирование[[#This Row],[Начало (факт)]]),
        IF(
          AND(Планирование[[#This Row],[Начало (факт)]]=0,
            Планирование[[#This Row],[Начало (план)]] &gt; MAX(Хронология[Начало])),
          Планирование[[#This Row],[Сутки (план)]],
          IF(
            AND((TODAY()-Планирование[[#This Row],[Начало (план)]])&gt;1,
              ISERR(MATCH(Планирование[[#This Row],[Ключ]], Хронология[Ключ], 0))),
            0,
            Планирование[[#This Row],[Сутки (план)]]
          )
        )
      )
    )
  ),
  Планирование[[#This Row],[Сутки (план)]]
)</f>
        <v>0</v>
      </c>
      <c r="AD85" s="922">
        <f ca="1">Планирование[[#This Row],[Сутки (факт)]]</f>
        <v>0</v>
      </c>
      <c r="AE85" s="923">
        <f t="array" ref="AE85">MAX(IF(Хронология[Ключ]=Планирование[[#This Row],[Ключ]], Хронология[Забой, м]))</f>
        <v>0</v>
      </c>
      <c r="AF85" s="914">
        <f ca="1">IFERROR(
    SUMIFS(
        Хронология[Часы],
        Хронология[Результат], "НПВ: нет в ГГД",
        Хронология[Начало], "&gt;=" &amp; Планирование[[#This Row],[Начало (факт)]],
        Хронология[Окончание], "&lt;=" &amp; Планирование[[#This Row],[Конец (факт, прогноз)]]
    ),
    0
)</f>
        <v>0</v>
      </c>
      <c r="AG85" s="914">
        <f ca="1">IFERROR(
    SUMIFS(
        Хронология[Часы],
        Хронология[Результат], "НПВ: нет в ГГД",
        Хронология[Начало], "&gt;=" &amp; Планирование[[#This Row],[Конец (факт, прогноз)]],
        Хронология[Окончание], "&lt;=" &amp; Y85
    ),
    0
)</f>
        <v>0</v>
      </c>
      <c r="AH85" s="919">
        <f ca="1">ROUND(IF(Планирование[[#This Row],[Часы (факт)]]-Планирование[[#This Row],[НПВ за операцию, часы]]-Планирование[[#This Row],[Часы (план)]] &lt;0, 0, Планирование[[#This Row],[Часы (факт)]]-Планирование[[#This Row],[НПВ за операцию, часы]]-Планирование[[#This Row],[Часы (план)]]), 2)</f>
        <v>0.18</v>
      </c>
      <c r="AI85" s="918" t="s">
        <v>1060</v>
      </c>
      <c r="AJ85" s="924">
        <f ca="1">Планирование[[#This Row],[Конец (план)]]-Планирование[[#This Row],[Конец (факт, прогноз)]]</f>
        <v>-0.17749999999796273</v>
      </c>
    </row>
    <row r="86" spans="1:36" s="915" customFormat="1" ht="30" customHeight="1">
      <c r="A86" s="909" t="s">
        <v>271</v>
      </c>
      <c r="B86" s="910" t="s">
        <v>266</v>
      </c>
      <c r="C86" s="911"/>
      <c r="D86" s="911" t="s">
        <v>57</v>
      </c>
      <c r="E86" s="911" t="s">
        <v>58</v>
      </c>
      <c r="F86" s="911"/>
      <c r="G86" s="911" t="s">
        <v>69</v>
      </c>
      <c r="H86" s="911" t="s">
        <v>269</v>
      </c>
      <c r="I86" s="911" t="s">
        <v>61</v>
      </c>
      <c r="J86" s="911" t="s">
        <v>270</v>
      </c>
      <c r="K86" s="911"/>
      <c r="L86" s="911" t="str">
        <f>IF(Планирование[[#This Row],[Контекст простоя]]="Штатно", Планирование[[#This Row],[Скважина]] &amp; " " &amp; "ОК–" &amp;Планирование[[#This Row],[ОК]] &amp; " "  &amp; Планирование[[#This Row],[Этап]] &amp; " " &amp; Планирование[[#This Row],[Вид работ]] &amp; " " &amp; Планирование[[#This Row],[Объект работ]] &amp; " " &amp; Планирование[[#This Row],[Рейс]], Планирование[[#This Row],[Скважина]] &amp; " " &amp; "ОК–" &amp;Планирование[[#This Row],[ОК]] &amp; " " &amp; Планирование[[#This Row],[Этап]] &amp; " " &amp; Планирование[[#This Row],[Контекст простоя]] &amp; " " &amp; Планирование[[#This Row],[Событие]] &amp; " " &amp; Планирование[[#This Row],[Вид работ]] &amp; " " &amp; Планирование[[#This Row],[Объект работ]] &amp; " " &amp; Планирование[[#This Row],[Рейс]])</f>
        <v xml:space="preserve">600 ОК– ДПМ Переезд Буровая установка </v>
      </c>
      <c r="M86" s="912">
        <f ca="1">IF(Планирование[[#This Row],[Скважина]]&lt;&gt;B85,Планирование[[#This Row],[Начало (факт)]],N85)</f>
        <v>46174.857499999933</v>
      </c>
      <c r="N86" s="913">
        <f ca="1">Планирование[[#This Row],[Начало (цель)]]+Планирование[[#This Row],[Сутки (цель)]]</f>
        <v>46175.662916666603</v>
      </c>
      <c r="O86" s="914">
        <v>19.329999999999998</v>
      </c>
      <c r="Q86" s="916">
        <f>Планирование[[#This Row],[Часы (цель)]]/24</f>
        <v>0.80541666666666656</v>
      </c>
      <c r="R86" s="916">
        <f>R85+Планирование[[#This Row],[Сутки (цель)]]</f>
        <v>0.80541666666666656</v>
      </c>
      <c r="S86" s="917">
        <f ca="1">Планирование[[#This Row],[Начало (цель)]]</f>
        <v>46174.857499999933</v>
      </c>
      <c r="T86" s="913">
        <f ca="1">Планирование[[#This Row],[Начало (план)]]+Планирование[[#This Row],[Сутки (план)]]</f>
        <v>46175.662916666603</v>
      </c>
      <c r="U86" s="914">
        <f>Планирование[[#This Row],[Часы (цель)]]</f>
        <v>19.329999999999998</v>
      </c>
      <c r="V86" s="918">
        <f>Планирование[[#This Row],[Забой, м (цель)]]</f>
        <v>0</v>
      </c>
      <c r="W86" s="916">
        <f>Планирование[[#This Row],[Часы (план)]]/24</f>
        <v>0.80541666666666656</v>
      </c>
      <c r="X86" s="919">
        <f>X85+Планирование[[#This Row],[Сутки (план)]]</f>
        <v>0.80541666666666656</v>
      </c>
      <c r="Y86" s="912">
        <f t="array" ref="Y86">IFERROR(
    INDEX(Хронология[Начало], MATCH(1, (Хронология[Ключ]=Планирование[[#This Row],[Ключ]]) * (Хронология[Подытог за операцию]=MIN(IF(Хронология[Ключ]=Планирование[[#This Row],[Ключ]], Хронология[Подытог за операцию]))), 0)),
    Z83
)</f>
        <v>46175.291666666599</v>
      </c>
      <c r="Z86" s="920">
        <f t="array" aca="1" ref="Z86" ca="1">MAX(IFERROR(
    INDEX(Хронология[Окончание], MATCH(1, (Хронология[Ключ]=Планирование[[#This Row],[Ключ]]) * (Хронология[Подытог за операцию]=MAX(IF(Хронология[Ключ]=Планирование[[#This Row],[Ключ]], Хронология[Подытог за операцию]))), 0)),
    Y84+AC84
), Планирование[[#This Row],[Начало (факт)]]+Планирование[[#This Row],[Сутки (факт)]])</f>
        <v>46176.291666666599</v>
      </c>
      <c r="AA86" s="921">
        <f ca="1">IF(AND(Планирование[[#This Row],[Начало (факт)]]=Y87,Планирование[[#This Row],[Забой, м (факт)]]=AE87),0,Планирование[[#This Row],[Конец (факт, прогноз)]]-Планирование[[#This Row],[Начало (факт)]])</f>
        <v>1</v>
      </c>
      <c r="AB86" s="921">
        <f ca="1">Планирование[[#This Row],[Часы (факт)]]-Планирование[[#This Row],[НПВ за операцию, часы]]-Планирование[[#This Row],[ПНВ, часы]]</f>
        <v>1</v>
      </c>
      <c r="AC86" s="922">
        <f t="array" aca="1" ref="AC86" ca="1">IFERROR(
  IF(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окончены",
    MAX(IF(Хронология[Ключ]=Планирование[[#This Row],[Ключ]], Хронология[Подытог за операцию])),
    IF(
      Планирование[[#This Row],[Событие]]="Мех. бурение",
      (MAX(Хронология[Окончание]) - Планирование[[#This Row],[Начало (факт)]]) +
      (Планирование[[#This Row],[Забой, м (план)]] - Планирование[[#This Row],[Забой, м (факт)]]) /
      ((Планирование[[#This Row],[Забой, м (план)]] - V83)/Планирование[[#This Row],[Сутки (план)]]),
      IF(
        AND(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продолжаются",
          Планирование[[#This Row],[Начало (факт)]]&gt;0
        ),
        (TODAY()-Планирование[[#This Row],[Начало (факт)]]),
        IF(
          AND(Планирование[[#This Row],[Начало (факт)]]=0,
            Планирование[[#This Row],[Начало (план)]] &gt; MAX(Хронология[Начало])),
          Планирование[[#This Row],[Сутки (план)]],
          IF(
            AND((TODAY()-Планирование[[#This Row],[Начало (план)]])&gt;1,
              ISERR(MATCH(Планирование[[#This Row],[Ключ]], Хронология[Ключ], 0))),
            0,
            Планирование[[#This Row],[Сутки (план)]]
          )
        )
      )
    )
  ),
  Планирование[[#This Row],[Сутки (план)]]
)</f>
        <v>1</v>
      </c>
      <c r="AD86" s="922">
        <f ca="1">Планирование[[#This Row],[Сутки (факт)]]</f>
        <v>1</v>
      </c>
      <c r="AE86" s="923">
        <f t="array" ref="AE86">MAX(IF(Хронология[Ключ]=Планирование[[#This Row],[Ключ]], Хронология[Забой, м]))</f>
        <v>2758.16</v>
      </c>
      <c r="AF86" s="914">
        <f ca="1">IFERROR(
    SUMIFS(
        Хронология[Часы],
        Хронология[Результат], "НПВ: нет в ГГД",
        Хронология[Начало], "&gt;=" &amp; Планирование[[#This Row],[Начало (факт)]],
        Хронология[Окончание], "&lt;=" &amp; Планирование[[#This Row],[Конец (факт, прогноз)]]
    ),
    0
)</f>
        <v>0</v>
      </c>
      <c r="AG86" s="914">
        <f ca="1">IFERROR(
    SUMIFS(
        Хронология[Часы],
        Хронология[Результат], "НПВ: нет в ГГД",
        Хронология[Начало], "&gt;=" &amp; Планирование[[#This Row],[Конец (факт, прогноз)]],
        Хронология[Окончание], "&lt;=" &amp; Y85
    ),
    0
)</f>
        <v>0</v>
      </c>
      <c r="AH86" s="919">
        <f ca="1">ROUND(IF(Планирование[[#This Row],[Часы (факт)]]-Планирование[[#This Row],[НПВ за операцию, часы]]-Планирование[[#This Row],[Часы (план)]] &lt;0, 0, Планирование[[#This Row],[Часы (факт)]]-Планирование[[#This Row],[НПВ за операцию, часы]]-Планирование[[#This Row],[Часы (план)]]), 2)</f>
        <v>0</v>
      </c>
      <c r="AI86" s="918" t="s">
        <v>1060</v>
      </c>
      <c r="AJ86" s="924">
        <f ca="1">Планирование[[#This Row],[Конец (план)]]-Планирование[[#This Row],[Конец (факт, прогноз)]]</f>
        <v>-0.6287499999962165</v>
      </c>
    </row>
    <row r="87" spans="1:36" s="915" customFormat="1" ht="30" customHeight="1">
      <c r="A87" s="909" t="s">
        <v>1101</v>
      </c>
      <c r="B87" s="910" t="s">
        <v>266</v>
      </c>
      <c r="C87" s="911"/>
      <c r="D87" s="911" t="s">
        <v>57</v>
      </c>
      <c r="E87" s="911" t="s">
        <v>58</v>
      </c>
      <c r="F87" s="911"/>
      <c r="G87" s="911" t="s">
        <v>69</v>
      </c>
      <c r="H87" s="911" t="s">
        <v>70</v>
      </c>
      <c r="I87" s="911" t="s">
        <v>61</v>
      </c>
      <c r="J87" s="911" t="s">
        <v>270</v>
      </c>
      <c r="K87" s="911"/>
      <c r="L87" s="911" t="str">
        <f>IF(Планирование[[#This Row],[Контекст простоя]]="Штатно", Планирование[[#This Row],[Скважина]] &amp; " " &amp; "ОК–" &amp;Планирование[[#This Row],[ОК]] &amp; " "  &amp; Планирование[[#This Row],[Этап]] &amp; " " &amp; Планирование[[#This Row],[Вид работ]] &amp; " " &amp; Планирование[[#This Row],[Объект работ]] &amp; " " &amp; Планирование[[#This Row],[Рейс]], Планирование[[#This Row],[Скважина]] &amp; " " &amp; "ОК–" &amp;Планирование[[#This Row],[ОК]] &amp; " " &amp; Планирование[[#This Row],[Этап]] &amp; " " &amp; Планирование[[#This Row],[Контекст простоя]] &amp; " " &amp; Планирование[[#This Row],[Событие]] &amp; " " &amp; Планирование[[#This Row],[Вид работ]] &amp; " " &amp; Планирование[[#This Row],[Объект работ]] &amp; " " &amp; Планирование[[#This Row],[Рейс]])</f>
        <v xml:space="preserve">600 ОК– ДПМ Монтаж Буровая установка </v>
      </c>
      <c r="M87" s="912">
        <f ca="1">IF(Планирование[[#This Row],[Скважина]]&lt;&gt;B86,Планирование[[#This Row],[Начало (факт)]],N86)</f>
        <v>46175.662916666603</v>
      </c>
      <c r="N87" s="913">
        <f ca="1">Планирование[[#This Row],[Начало (цель)]]+Планирование[[#This Row],[Сутки (цель)]]</f>
        <v>46175.672083333266</v>
      </c>
      <c r="O87" s="914">
        <v>0.22</v>
      </c>
      <c r="Q87" s="916">
        <f>Планирование[[#This Row],[Часы (цель)]]/24</f>
        <v>9.1666666666666667E-3</v>
      </c>
      <c r="R87" s="916">
        <f>R86+Планирование[[#This Row],[Сутки (цель)]]</f>
        <v>0.81458333333333321</v>
      </c>
      <c r="S87" s="917">
        <f ca="1">Планирование[[#This Row],[Начало (цель)]]</f>
        <v>46175.662916666603</v>
      </c>
      <c r="T87" s="913">
        <f ca="1">Планирование[[#This Row],[Начало (план)]]+Планирование[[#This Row],[Сутки (план)]]</f>
        <v>46175.672083333266</v>
      </c>
      <c r="U87" s="914">
        <f>Планирование[[#This Row],[Часы (цель)]]</f>
        <v>0.22</v>
      </c>
      <c r="V87" s="918">
        <f>Планирование[[#This Row],[Забой, м (цель)]]</f>
        <v>0</v>
      </c>
      <c r="W87" s="916">
        <f>Планирование[[#This Row],[Часы (план)]]/24</f>
        <v>9.1666666666666667E-3</v>
      </c>
      <c r="X87" s="919">
        <f>X86+Планирование[[#This Row],[Сутки (план)]]</f>
        <v>0.81458333333333321</v>
      </c>
      <c r="Y87" s="912">
        <f t="array" aca="1" ref="Y87" ca="1">IFERROR(
    INDEX(Хронология[Начало], MATCH(1, (Хронология[Ключ]=Планирование[[#This Row],[Ключ]]) * (Хронология[Подытог за операцию]=MIN(IF(Хронология[Ключ]=Планирование[[#This Row],[Ключ]], Хронология[Подытог за операцию]))), 0)),
    Z83
)</f>
        <v>46174.857499999933</v>
      </c>
      <c r="Z87" s="920">
        <f t="array" aca="1" ref="Z87" ca="1">MAX(IFERROR(
    INDEX(Хронология[Окончание], MATCH(1, (Хронология[Ключ]=Планирование[[#This Row],[Ключ]]) * (Хронология[Подытог за операцию]=MAX(IF(Хронология[Ключ]=Планирование[[#This Row],[Ключ]], Хронология[Подытог за операцию]))), 0)),
    Y84+AC84
), Планирование[[#This Row],[Начало (факт)]]+Планирование[[#This Row],[Сутки (факт)]])</f>
        <v>46175.034999999931</v>
      </c>
      <c r="AA87" s="921">
        <f ca="1">IF(AND(Планирование[[#This Row],[Начало (факт)]]=Y88,Планирование[[#This Row],[Забой, м (факт)]]=AE88),0,Планирование[[#This Row],[Конец (факт, прогноз)]]-Планирование[[#This Row],[Начало (факт)]])</f>
        <v>0</v>
      </c>
      <c r="AB87" s="921">
        <f ca="1">Планирование[[#This Row],[Часы (факт)]]-Планирование[[#This Row],[НПВ за операцию, часы]]-Планирование[[#This Row],[ПНВ, часы]]</f>
        <v>0</v>
      </c>
      <c r="AC87" s="922">
        <f t="array" aca="1" ref="AC87" ca="1">IFERROR(
  IF(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окончены",
    MAX(IF(Хронология[Ключ]=Планирование[[#This Row],[Ключ]], Хронология[Подытог за операцию])),
    IF(
      Планирование[[#This Row],[Событие]]="Мех. бурение",
      (MAX(Хронология[Окончание]) - Планирование[[#This Row],[Начало (факт)]]) +
      (Планирование[[#This Row],[Забой, м (план)]] - Планирование[[#This Row],[Забой, м (факт)]]) /
      ((Планирование[[#This Row],[Забой, м (план)]] - V83)/Планирование[[#This Row],[Сутки (план)]]),
      IF(
        AND(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продолжаются",
          Планирование[[#This Row],[Начало (факт)]]&gt;0
        ),
        (TODAY()-Планирование[[#This Row],[Начало (факт)]]),
        IF(
          AND(Планирование[[#This Row],[Начало (факт)]]=0,
            Планирование[[#This Row],[Начало (план)]] &gt; MAX(Хронология[Начало])),
          Планирование[[#This Row],[Сутки (план)]],
          IF(
            AND((TODAY()-Планирование[[#This Row],[Начало (план)]])&gt;1,
              ISERR(MATCH(Планирование[[#This Row],[Ключ]], Хронология[Ключ], 0))),
            0,
            Планирование[[#This Row],[Сутки (план)]]
          )
        )
      )
    )
  ),
  Планирование[[#This Row],[Сутки (план)]]
)</f>
        <v>9.1666666666666667E-3</v>
      </c>
      <c r="AD87" s="922">
        <f ca="1">Планирование[[#This Row],[Сутки (факт)]]</f>
        <v>9.1666666666666667E-3</v>
      </c>
      <c r="AE87" s="923">
        <f t="array" ref="AE87">MAX(IF(Хронология[Ключ]=Планирование[[#This Row],[Ключ]], Хронология[Забой, м]))</f>
        <v>0</v>
      </c>
      <c r="AF87" s="914">
        <f ca="1">IFERROR(
    SUMIFS(
        Хронология[Часы],
        Хронология[Результат], "НПВ: нет в ГГД",
        Хронология[Начало], "&gt;=" &amp; Планирование[[#This Row],[Начало (факт)]],
        Хронология[Окончание], "&lt;=" &amp; Планирование[[#This Row],[Конец (факт, прогноз)]]
    ),
    0
)</f>
        <v>0</v>
      </c>
      <c r="AG87" s="914">
        <f ca="1">IFERROR(
    SUMIFS(
        Хронология[Часы],
        Хронология[Результат], "НПВ: нет в ГГД",
        Хронология[Начало], "&gt;=" &amp; Планирование[[#This Row],[Конец (факт, прогноз)]],
        Хронология[Окончание], "&lt;=" &amp; Y85
    ),
    0
)</f>
        <v>0</v>
      </c>
      <c r="AH87" s="919">
        <f ca="1">ROUND(IF(Планирование[[#This Row],[Часы (факт)]]-Планирование[[#This Row],[НПВ за операцию, часы]]-Планирование[[#This Row],[Часы (план)]] &lt;0, 0, Планирование[[#This Row],[Часы (факт)]]-Планирование[[#This Row],[НПВ за операцию, часы]]-Планирование[[#This Row],[Часы (план)]]), 2)</f>
        <v>0</v>
      </c>
      <c r="AI87" s="918" t="s">
        <v>1060</v>
      </c>
      <c r="AJ87" s="924">
        <f ca="1">Планирование[[#This Row],[Конец (план)]]-Планирование[[#This Row],[Конец (факт, прогноз)]]</f>
        <v>0.63708333333488554</v>
      </c>
    </row>
    <row r="88" spans="1:36" s="915" customFormat="1" ht="30" customHeight="1">
      <c r="A88" s="909" t="s">
        <v>1102</v>
      </c>
      <c r="B88" s="910" t="s">
        <v>266</v>
      </c>
      <c r="C88" s="911"/>
      <c r="D88" s="911" t="s">
        <v>59</v>
      </c>
      <c r="E88" s="911" t="s">
        <v>58</v>
      </c>
      <c r="F88" s="911"/>
      <c r="G88" s="911" t="s">
        <v>169</v>
      </c>
      <c r="H88" s="911" t="s">
        <v>150</v>
      </c>
      <c r="I88" s="911" t="s">
        <v>86</v>
      </c>
      <c r="J88" s="911" t="s">
        <v>1103</v>
      </c>
      <c r="K88" s="911"/>
      <c r="L88" s="911" t="str">
        <f>IF(Планирование[[#This Row],[Контекст простоя]]="Штатно", Планирование[[#This Row],[Скважина]] &amp; " " &amp; "ОК–" &amp;Планирование[[#This Row],[ОК]] &amp; " "  &amp; Планирование[[#This Row],[Этап]] &amp; " " &amp; Планирование[[#This Row],[Вид работ]] &amp; " " &amp; Планирование[[#This Row],[Объект работ]] &amp; " " &amp; Планирование[[#This Row],[Рейс]], Планирование[[#This Row],[Скважина]] &amp; " " &amp; "ОК–" &amp;Планирование[[#This Row],[ОК]] &amp; " " &amp; Планирование[[#This Row],[Этап]] &amp; " " &amp; Планирование[[#This Row],[Контекст простоя]] &amp; " " &amp; Планирование[[#This Row],[Событие]] &amp; " " &amp; Планирование[[#This Row],[Вид работ]] &amp; " " &amp; Планирование[[#This Row],[Объект работ]] &amp; " " &amp; Планирование[[#This Row],[Рейс]])</f>
        <v xml:space="preserve">600 ОК– ПР Опрессовка Межколонное пространство </v>
      </c>
      <c r="M88" s="912">
        <f ca="1">IF(Планирование[[#This Row],[Скважина]]&lt;&gt;B87,Планирование[[#This Row],[Начало (факт)]],N87)</f>
        <v>46175.672083333266</v>
      </c>
      <c r="N88" s="913">
        <f ca="1">Планирование[[#This Row],[Начало (цель)]]+Планирование[[#This Row],[Сутки (цель)]]</f>
        <v>46175.672083333266</v>
      </c>
      <c r="O88" s="914">
        <v>0</v>
      </c>
      <c r="Q88" s="916">
        <f>Планирование[[#This Row],[Часы (цель)]]/24</f>
        <v>0</v>
      </c>
      <c r="R88" s="916">
        <f>R87+Планирование[[#This Row],[Сутки (цель)]]</f>
        <v>0.81458333333333321</v>
      </c>
      <c r="S88" s="917">
        <f ca="1">Планирование[[#This Row],[Начало (цель)]]</f>
        <v>46175.672083333266</v>
      </c>
      <c r="T88" s="913">
        <f ca="1">Планирование[[#This Row],[Начало (план)]]+Планирование[[#This Row],[Сутки (план)]]</f>
        <v>46175.672083333266</v>
      </c>
      <c r="U88" s="914">
        <f>Планирование[[#This Row],[Часы (цель)]]</f>
        <v>0</v>
      </c>
      <c r="V88" s="918">
        <f>Планирование[[#This Row],[Забой, м (цель)]]</f>
        <v>0</v>
      </c>
      <c r="W88" s="916">
        <f>Планирование[[#This Row],[Часы (план)]]/24</f>
        <v>0</v>
      </c>
      <c r="X88" s="919">
        <f>X87+Планирование[[#This Row],[Сутки (план)]]</f>
        <v>0.81458333333333321</v>
      </c>
      <c r="Y88" s="912">
        <f t="array" aca="1" ref="Y88" ca="1">IFERROR(
    INDEX(Хронология[Начало], MATCH(1, (Хронология[Ключ]=Планирование[[#This Row],[Ключ]]) * (Хронология[Подытог за операцию]=MIN(IF(Хронология[Ключ]=Планирование[[#This Row],[Ключ]], Хронология[Подытог за операцию]))), 0)),
    Z83
)</f>
        <v>46174.857499999933</v>
      </c>
      <c r="Z88" s="920">
        <f t="array" aca="1" ref="Z88" ca="1">MAX(IFERROR(
    INDEX(Хронология[Окончание], MATCH(1, (Хронология[Ключ]=Планирование[[#This Row],[Ключ]]) * (Хронология[Подытог за операцию]=MAX(IF(Хронология[Ключ]=Планирование[[#This Row],[Ключ]], Хронология[Подытог за операцию]))), 0)),
    Y84+AC84
), Планирование[[#This Row],[Начало (факт)]]+Планирование[[#This Row],[Сутки (факт)]])</f>
        <v>46175.034999999931</v>
      </c>
      <c r="AA88" s="921">
        <f ca="1">IF(AND(Планирование[[#This Row],[Начало (факт)]]=Y89,Планирование[[#This Row],[Забой, м (факт)]]=AE89),0,Планирование[[#This Row],[Конец (факт, прогноз)]]-Планирование[[#This Row],[Начало (факт)]])</f>
        <v>0.17749999999796273</v>
      </c>
      <c r="AB88" s="921">
        <f ca="1">Планирование[[#This Row],[Часы (факт)]]-Планирование[[#This Row],[НПВ за операцию, часы]]-Планирование[[#This Row],[ПНВ, часы]]</f>
        <v>-2.5000000020372615E-3</v>
      </c>
      <c r="AC88" s="922">
        <f t="array" aca="1" ref="AC88" ca="1">IFERROR(
  IF(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окончены",
    MAX(IF(Хронология[Ключ]=Планирование[[#This Row],[Ключ]], Хронология[Подытог за операцию])),
    IF(
      Планирование[[#This Row],[Событие]]="Мех. бурение",
      (MAX(Хронология[Окончание]) - Планирование[[#This Row],[Начало (факт)]]) +
      (Планирование[[#This Row],[Забой, м (план)]] - Планирование[[#This Row],[Забой, м (факт)]]) /
      ((Планирование[[#This Row],[Забой, м (план)]] - V83)/Планирование[[#This Row],[Сутки (план)]]),
      IF(
        AND(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продолжаются",
          Планирование[[#This Row],[Начало (факт)]]&gt;0
        ),
        (TODAY()-Планирование[[#This Row],[Начало (факт)]]),
        IF(
          AND(Планирование[[#This Row],[Начало (факт)]]=0,
            Планирование[[#This Row],[Начало (план)]] &gt; MAX(Хронология[Начало])),
          Планирование[[#This Row],[Сутки (план)]],
          IF(
            AND((TODAY()-Планирование[[#This Row],[Начало (план)]])&gt;1,
              ISERR(MATCH(Планирование[[#This Row],[Ключ]], Хронология[Ключ], 0))),
            0,
            Планирование[[#This Row],[Сутки (план)]]
          )
        )
      )
    )
  ),
  Планирование[[#This Row],[Сутки (план)]]
)</f>
        <v>0</v>
      </c>
      <c r="AD88" s="922">
        <f ca="1">Планирование[[#This Row],[Сутки (факт)]]</f>
        <v>0</v>
      </c>
      <c r="AE88" s="923">
        <f t="array" ref="AE88">MAX(IF(Хронология[Ключ]=Планирование[[#This Row],[Ключ]], Хронология[Забой, м]))</f>
        <v>0</v>
      </c>
      <c r="AF88" s="914">
        <f ca="1">IFERROR(
    SUMIFS(
        Хронология[Часы],
        Хронология[Результат], "НПВ: нет в ГГД",
        Хронология[Начало], "&gt;=" &amp; Планирование[[#This Row],[Начало (факт)]],
        Хронология[Окончание], "&lt;=" &amp; Планирование[[#This Row],[Конец (факт, прогноз)]]
    ),
    0
)</f>
        <v>0</v>
      </c>
      <c r="AG88" s="914">
        <f ca="1">IFERROR(
    SUMIFS(
        Хронология[Часы],
        Хронология[Результат], "НПВ: нет в ГГД",
        Хронология[Начало], "&gt;=" &amp; Планирование[[#This Row],[Конец (факт, прогноз)]],
        Хронология[Окончание], "&lt;=" &amp; Y85
    ),
    0
)</f>
        <v>0</v>
      </c>
      <c r="AH88" s="919">
        <f ca="1">ROUND(IF(Планирование[[#This Row],[Часы (факт)]]-Планирование[[#This Row],[НПВ за операцию, часы]]-Планирование[[#This Row],[Часы (план)]] &lt;0, 0, Планирование[[#This Row],[Часы (факт)]]-Планирование[[#This Row],[НПВ за операцию, часы]]-Планирование[[#This Row],[Часы (план)]]), 2)</f>
        <v>0.18</v>
      </c>
      <c r="AI88" s="918" t="s">
        <v>1060</v>
      </c>
      <c r="AJ88" s="924">
        <f ca="1">Планирование[[#This Row],[Конец (план)]]-Планирование[[#This Row],[Конец (факт, прогноз)]]</f>
        <v>0.63708333333488554</v>
      </c>
    </row>
    <row r="89" spans="1:36" s="915" customFormat="1" ht="30" customHeight="1">
      <c r="A89" s="909" t="s">
        <v>360</v>
      </c>
      <c r="B89" s="910" t="s">
        <v>266</v>
      </c>
      <c r="C89" s="911"/>
      <c r="D89" s="911" t="s">
        <v>59</v>
      </c>
      <c r="E89" s="911" t="s">
        <v>58</v>
      </c>
      <c r="F89" s="911"/>
      <c r="G89" s="911" t="s">
        <v>169</v>
      </c>
      <c r="H89" s="911" t="s">
        <v>150</v>
      </c>
      <c r="I89" s="911" t="s">
        <v>86</v>
      </c>
      <c r="J89" s="911" t="s">
        <v>161</v>
      </c>
      <c r="K89" s="911"/>
      <c r="L89" s="911" t="str">
        <f>IF(Планирование[[#This Row],[Контекст простоя]]="Штатно", Планирование[[#This Row],[Скважина]] &amp; " " &amp; "ОК–" &amp;Планирование[[#This Row],[ОК]] &amp; " "  &amp; Планирование[[#This Row],[Этап]] &amp; " " &amp; Планирование[[#This Row],[Вид работ]] &amp; " " &amp; Планирование[[#This Row],[Объект работ]] &amp; " " &amp; Планирование[[#This Row],[Рейс]], Планирование[[#This Row],[Скважина]] &amp; " " &amp; "ОК–" &amp;Планирование[[#This Row],[ОК]] &amp; " " &amp; Планирование[[#This Row],[Этап]] &amp; " " &amp; Планирование[[#This Row],[Контекст простоя]] &amp; " " &amp; Планирование[[#This Row],[Событие]] &amp; " " &amp; Планирование[[#This Row],[Вид работ]] &amp; " " &amp; Планирование[[#This Row],[Объект работ]] &amp; " " &amp; Планирование[[#This Row],[Рейс]])</f>
        <v xml:space="preserve">600 ОК– ПР Опрессовка ПВО </v>
      </c>
      <c r="M89" s="912">
        <f ca="1">IF(Планирование[[#This Row],[Скважина]]&lt;&gt;B88,Планирование[[#This Row],[Начало (факт)]],N88)</f>
        <v>46175.672083333266</v>
      </c>
      <c r="N89" s="913">
        <f ca="1">Планирование[[#This Row],[Начало (цель)]]+Планирование[[#This Row],[Сутки (цель)]]</f>
        <v>46175.672083333266</v>
      </c>
      <c r="O89" s="914">
        <v>0</v>
      </c>
      <c r="Q89" s="916">
        <f>Планирование[[#This Row],[Часы (цель)]]/24</f>
        <v>0</v>
      </c>
      <c r="R89" s="916">
        <f>R88+Планирование[[#This Row],[Сутки (цель)]]</f>
        <v>0.81458333333333321</v>
      </c>
      <c r="S89" s="917">
        <f ca="1">Планирование[[#This Row],[Начало (цель)]]</f>
        <v>46175.672083333266</v>
      </c>
      <c r="T89" s="913">
        <f ca="1">Планирование[[#This Row],[Начало (план)]]+Планирование[[#This Row],[Сутки (план)]]</f>
        <v>46175.672083333266</v>
      </c>
      <c r="U89" s="914">
        <f>Планирование[[#This Row],[Часы (цель)]]</f>
        <v>0</v>
      </c>
      <c r="V89" s="918">
        <f>Планирование[[#This Row],[Забой, м (цель)]]</f>
        <v>0</v>
      </c>
      <c r="W89" s="916">
        <f>Планирование[[#This Row],[Часы (план)]]/24</f>
        <v>0</v>
      </c>
      <c r="X89" s="919">
        <f>X88+Планирование[[#This Row],[Сутки (план)]]</f>
        <v>0.81458333333333321</v>
      </c>
      <c r="Y89" s="912">
        <f t="array" ref="Y89">IFERROR(
    INDEX(Хронология[Начало], MATCH(1, (Хронология[Ключ]=Планирование[[#This Row],[Ключ]]) * (Хронология[Подытог за операцию]=MIN(IF(Хронология[Ключ]=Планирование[[#This Row],[Ключ]], Хронология[Подытог за операцию]))), 0)),
    Z83
)</f>
        <v>46184.499999999869</v>
      </c>
      <c r="Z89" s="920">
        <f t="array" aca="1" ref="Z89" ca="1">MAX(IFERROR(
    INDEX(Хронология[Окончание], MATCH(1, (Хронология[Ключ]=Планирование[[#This Row],[Ключ]]) * (Хронология[Подытог за операцию]=MAX(IF(Хронология[Ключ]=Планирование[[#This Row],[Ключ]], Хронология[Подытог за операцию]))), 0)),
    Y84+AC84
), Планирование[[#This Row],[Начало (факт)]]+Планирование[[#This Row],[Сутки (факт)]])</f>
        <v>46184.666666666533</v>
      </c>
      <c r="AA89" s="921">
        <f ca="1">IF(AND(Планирование[[#This Row],[Начало (факт)]]=Y90,Планирование[[#This Row],[Забой, м (факт)]]=AE90),0,Планирование[[#This Row],[Конец (факт, прогноз)]]-Планирование[[#This Row],[Начало (факт)]])</f>
        <v>0.16666666666424135</v>
      </c>
      <c r="AB89" s="921">
        <f ca="1">Планирование[[#This Row],[Часы (факт)]]-Планирование[[#This Row],[НПВ за операцию, часы]]-Планирование[[#This Row],[ПНВ, часы]]</f>
        <v>-3.3333333357586648E-3</v>
      </c>
      <c r="AC89" s="922">
        <f t="array" aca="1" ref="AC89" ca="1">IFERROR(
  IF(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окончены",
    MAX(IF(Хронология[Ключ]=Планирование[[#This Row],[Ключ]], Хронология[Подытог за операцию])),
    IF(
      Планирование[[#This Row],[Событие]]="Мех. бурение",
      (MAX(Хронология[Окончание]) - Планирование[[#This Row],[Начало (факт)]]) +
      (Планирование[[#This Row],[Забой, м (план)]] - Планирование[[#This Row],[Забой, м (факт)]]) /
      ((Планирование[[#This Row],[Забой, м (план)]] - V83)/Планирование[[#This Row],[Сутки (план)]]),
      IF(
        AND(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продолжаются",
          Планирование[[#This Row],[Начало (факт)]]&gt;0
        ),
        (TODAY()-Планирование[[#This Row],[Начало (факт)]]),
        IF(
          AND(Планирование[[#This Row],[Начало (факт)]]=0,
            Планирование[[#This Row],[Начало (план)]] &gt; MAX(Хронология[Начало])),
          Планирование[[#This Row],[Сутки (план)]],
          IF(
            AND((TODAY()-Планирование[[#This Row],[Начало (план)]])&gt;1,
              ISERR(MATCH(Планирование[[#This Row],[Ключ]], Хронология[Ключ], 0))),
            0,
            Планирование[[#This Row],[Сутки (план)]]
          )
        )
      )
    )
  ),
  Планирование[[#This Row],[Сутки (план)]]
)</f>
        <v>0.16666666666666666</v>
      </c>
      <c r="AD89" s="922">
        <f ca="1">Планирование[[#This Row],[Сутки (факт)]]</f>
        <v>0.16666666666666666</v>
      </c>
      <c r="AE89" s="923">
        <f t="array" ref="AE89">MAX(IF(Хронология[Ключ]=Планирование[[#This Row],[Ключ]], Хронология[Забой, м]))</f>
        <v>2758.16</v>
      </c>
      <c r="AF89" s="914">
        <f ca="1">IFERROR(
    SUMIFS(
        Хронология[Часы],
        Хронология[Результат], "НПВ: нет в ГГД",
        Хронология[Начало], "&gt;=" &amp; Планирование[[#This Row],[Начало (факт)]],
        Хронология[Окончание], "&lt;=" &amp; Планирование[[#This Row],[Конец (факт, прогноз)]]
    ),
    0
)</f>
        <v>0</v>
      </c>
      <c r="AG89" s="914">
        <f ca="1">IFERROR(
    SUMIFS(
        Хронология[Часы],
        Хронология[Результат], "НПВ: нет в ГГД",
        Хронология[Начало], "&gt;=" &amp; Планирование[[#This Row],[Конец (факт, прогноз)]],
        Хронология[Окончание], "&lt;=" &amp; Y85
    ),
    0
)</f>
        <v>0</v>
      </c>
      <c r="AH89" s="919">
        <f ca="1">ROUND(IF(Планирование[[#This Row],[Часы (факт)]]-Планирование[[#This Row],[НПВ за операцию, часы]]-Планирование[[#This Row],[Часы (план)]] &lt;0, 0, Планирование[[#This Row],[Часы (факт)]]-Планирование[[#This Row],[НПВ за операцию, часы]]-Планирование[[#This Row],[Часы (план)]]), 2)</f>
        <v>0.17</v>
      </c>
      <c r="AI89" s="918" t="s">
        <v>1060</v>
      </c>
      <c r="AJ89" s="924">
        <f ca="1">Планирование[[#This Row],[Конец (план)]]-Планирование[[#This Row],[Конец (факт, прогноз)]]</f>
        <v>-8.9945833332676557</v>
      </c>
    </row>
    <row r="90" spans="1:36" s="915" customFormat="1" ht="30" customHeight="1">
      <c r="A90" s="909" t="s">
        <v>295</v>
      </c>
      <c r="B90" s="910" t="s">
        <v>266</v>
      </c>
      <c r="C90" s="911"/>
      <c r="D90" s="911" t="s">
        <v>59</v>
      </c>
      <c r="E90" s="911" t="s">
        <v>58</v>
      </c>
      <c r="F90" s="911"/>
      <c r="G90" s="911" t="s">
        <v>169</v>
      </c>
      <c r="H90" s="911" t="s">
        <v>293</v>
      </c>
      <c r="I90" s="911" t="s">
        <v>137</v>
      </c>
      <c r="J90" s="911" t="s">
        <v>294</v>
      </c>
      <c r="K90" s="911"/>
      <c r="L90" s="911" t="str">
        <f>IF(Планирование[[#This Row],[Контекст простоя]]="Штатно", Планирование[[#This Row],[Скважина]] &amp; " " &amp; "ОК–" &amp;Планирование[[#This Row],[ОК]] &amp; " "  &amp; Планирование[[#This Row],[Этап]] &amp; " " &amp; Планирование[[#This Row],[Вид работ]] &amp; " " &amp; Планирование[[#This Row],[Объект работ]] &amp; " " &amp; Планирование[[#This Row],[Рейс]], Планирование[[#This Row],[Скважина]] &amp; " " &amp; "ОК–" &amp;Планирование[[#This Row],[ОК]] &amp; " " &amp; Планирование[[#This Row],[Этап]] &amp; " " &amp; Планирование[[#This Row],[Контекст простоя]] &amp; " " &amp; Планирование[[#This Row],[Событие]] &amp; " " &amp; Планирование[[#This Row],[Вид работ]] &amp; " " &amp; Планирование[[#This Row],[Объект работ]] &amp; " " &amp; Планирование[[#This Row],[Рейс]])</f>
        <v xml:space="preserve">600 ОК– ПР Приготовление раствора Раствор глушения </v>
      </c>
      <c r="M90" s="912">
        <f ca="1">IF(Планирование[[#This Row],[Скважина]]&lt;&gt;B89,Планирование[[#This Row],[Начало (факт)]],N89)</f>
        <v>46175.672083333266</v>
      </c>
      <c r="N90" s="913">
        <f ca="1">Планирование[[#This Row],[Начало (цель)]]+Планирование[[#This Row],[Сутки (цель)]]</f>
        <v>46177.866666666596</v>
      </c>
      <c r="O90" s="914">
        <v>52.67</v>
      </c>
      <c r="Q90" s="916">
        <f>Планирование[[#This Row],[Часы (цель)]]/24</f>
        <v>2.1945833333333336</v>
      </c>
      <c r="R90" s="916">
        <f>R89+Планирование[[#This Row],[Сутки (цель)]]</f>
        <v>3.0091666666666668</v>
      </c>
      <c r="S90" s="917">
        <f ca="1">Планирование[[#This Row],[Начало (цель)]]</f>
        <v>46175.672083333266</v>
      </c>
      <c r="T90" s="913">
        <f ca="1">Планирование[[#This Row],[Начало (план)]]+Планирование[[#This Row],[Сутки (план)]]</f>
        <v>46177.866666666596</v>
      </c>
      <c r="U90" s="914">
        <f>Планирование[[#This Row],[Часы (цель)]]</f>
        <v>52.67</v>
      </c>
      <c r="V90" s="918">
        <f>Планирование[[#This Row],[Забой, м (цель)]]</f>
        <v>0</v>
      </c>
      <c r="W90" s="916">
        <f>Планирование[[#This Row],[Часы (план)]]/24</f>
        <v>2.1945833333333336</v>
      </c>
      <c r="X90" s="919">
        <f>X89+Планирование[[#This Row],[Сутки (план)]]</f>
        <v>3.0091666666666668</v>
      </c>
      <c r="Y90" s="912">
        <f t="array" ref="Y90">IFERROR(
    INDEX(Хронология[Начало], MATCH(1, (Хронология[Ключ]=Планирование[[#This Row],[Ключ]]) * (Хронология[Подытог за операцию]=MIN(IF(Хронология[Ключ]=Планирование[[#This Row],[Ключ]], Хронология[Подытог за операцию]))), 0)),
    Z83
)</f>
        <v>46176.99999999992</v>
      </c>
      <c r="Z90" s="920">
        <f t="array" aca="1" ref="Z90" ca="1">MAX(IFERROR(
    INDEX(Хронология[Окончание], MATCH(1, (Хронология[Ключ]=Планирование[[#This Row],[Ключ]]) * (Хронология[Подытог за операцию]=MAX(IF(Хронология[Ключ]=Планирование[[#This Row],[Ключ]], Хронология[Подытог за операцию]))), 0)),
    Y84+AC84
), Планирование[[#This Row],[Начало (факт)]]+Планирование[[#This Row],[Сутки (факт)]])</f>
        <v>46185.83333333319</v>
      </c>
      <c r="AA90" s="921">
        <f ca="1">IF(AND(Планирование[[#This Row],[Начало (факт)]]=Y91,Планирование[[#This Row],[Забой, м (факт)]]=AE91),0,Планирование[[#This Row],[Конец (факт, прогноз)]]-Планирование[[#This Row],[Начало (факт)]])</f>
        <v>8.833333333270275</v>
      </c>
      <c r="AB90" s="921">
        <f ca="1">Планирование[[#This Row],[Часы (факт)]]-Планирование[[#This Row],[НПВ за операцию, часы]]-Планирование[[#This Row],[ПНВ, часы]]</f>
        <v>8.833333333270275</v>
      </c>
      <c r="AC90" s="922">
        <f t="array" aca="1" ref="AC90" ca="1">IFERROR(
  IF(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окончены",
    MAX(IF(Хронология[Ключ]=Планирование[[#This Row],[Ключ]], Хронология[Подытог за операцию])),
    IF(
      Планирование[[#This Row],[Событие]]="Мех. бурение",
      (MAX(Хронология[Окончание]) - Планирование[[#This Row],[Начало (факт)]]) +
      (Планирование[[#This Row],[Забой, м (план)]] - Планирование[[#This Row],[Забой, м (факт)]]) /
      ((Планирование[[#This Row],[Забой, м (план)]] - V83)/Планирование[[#This Row],[Сутки (план)]]),
      IF(
        AND(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продолжаются",
          Планирование[[#This Row],[Начало (факт)]]&gt;0
        ),
        (TODAY()-Планирование[[#This Row],[Начало (факт)]]),
        IF(
          AND(Планирование[[#This Row],[Начало (факт)]]=0,
            Планирование[[#This Row],[Начало (план)]] &gt; MAX(Хронология[Начало])),
          Планирование[[#This Row],[Сутки (план)]],
          IF(
            AND((TODAY()-Планирование[[#This Row],[Начало (план)]])&gt;1,
              ISERR(MATCH(Планирование[[#This Row],[Ключ]], Хронология[Ключ], 0))),
            0,
            Планирование[[#This Row],[Сутки (план)]]
          )
        )
      )
    )
  ),
  Планирование[[#This Row],[Сутки (план)]]
)</f>
        <v>2.4999999999999996</v>
      </c>
      <c r="AD90" s="922">
        <f ca="1">Планирование[[#This Row],[Сутки (факт)]]</f>
        <v>2.4999999999999996</v>
      </c>
      <c r="AE90" s="923">
        <f t="array" ref="AE90">MAX(IF(Хронология[Ключ]=Планирование[[#This Row],[Ключ]], Хронология[Забой, м]))</f>
        <v>2758.16</v>
      </c>
      <c r="AF90" s="914">
        <f ca="1">IFERROR(
    SUMIFS(
        Хронология[Часы],
        Хронология[Результат], "НПВ: нет в ГГД",
        Хронология[Начало], "&gt;=" &amp; Планирование[[#This Row],[Начало (факт)]],
        Хронология[Окончание], "&lt;=" &amp; Планирование[[#This Row],[Конец (факт, прогноз)]]
    ),
    0
)</f>
        <v>0</v>
      </c>
      <c r="AG90" s="914">
        <f ca="1">IFERROR(
    SUMIFS(
        Хронология[Часы],
        Хронология[Результат], "НПВ: нет в ГГД",
        Хронология[Начало], "&gt;=" &amp; Планирование[[#This Row],[Конец (факт, прогноз)]],
        Хронология[Окончание], "&lt;=" &amp; Y85
    ),
    0
)</f>
        <v>0</v>
      </c>
      <c r="AH90" s="919">
        <f ca="1">ROUND(IF(Планирование[[#This Row],[Часы (факт)]]-Планирование[[#This Row],[НПВ за операцию, часы]]-Планирование[[#This Row],[Часы (план)]] &lt;0, 0, Планирование[[#This Row],[Часы (факт)]]-Планирование[[#This Row],[НПВ за операцию, часы]]-Планирование[[#This Row],[Часы (план)]]), 2)</f>
        <v>0</v>
      </c>
      <c r="AI90" s="918" t="s">
        <v>1060</v>
      </c>
      <c r="AJ90" s="924">
        <f ca="1">Планирование[[#This Row],[Конец (план)]]-Планирование[[#This Row],[Конец (факт, прогноз)]]</f>
        <v>-7.9666666665943922</v>
      </c>
    </row>
    <row r="91" spans="1:36" s="915" customFormat="1" ht="30" customHeight="1">
      <c r="A91" s="909" t="s">
        <v>1104</v>
      </c>
      <c r="B91" s="910" t="s">
        <v>266</v>
      </c>
      <c r="C91" s="911"/>
      <c r="D91" s="911" t="s">
        <v>59</v>
      </c>
      <c r="E91" s="911" t="s">
        <v>58</v>
      </c>
      <c r="F91" s="911"/>
      <c r="G91" s="911" t="s">
        <v>69</v>
      </c>
      <c r="H91" s="911" t="s">
        <v>70</v>
      </c>
      <c r="I91" s="911" t="s">
        <v>86</v>
      </c>
      <c r="J91" s="911" t="s">
        <v>1105</v>
      </c>
      <c r="K91" s="911"/>
      <c r="L91" s="911" t="str">
        <f>IF(Планирование[[#This Row],[Контекст простоя]]="Штатно", Планирование[[#This Row],[Скважина]] &amp; " " &amp; "ОК–" &amp;Планирование[[#This Row],[ОК]] &amp; " "  &amp; Планирование[[#This Row],[Этап]] &amp; " " &amp; Планирование[[#This Row],[Вид работ]] &amp; " " &amp; Планирование[[#This Row],[Объект работ]] &amp; " " &amp; Планирование[[#This Row],[Рейс]], Планирование[[#This Row],[Скважина]] &amp; " " &amp; "ОК–" &amp;Планирование[[#This Row],[ОК]] &amp; " " &amp; Планирование[[#This Row],[Этап]] &amp; " " &amp; Планирование[[#This Row],[Контекст простоя]] &amp; " " &amp; Планирование[[#This Row],[Событие]] &amp; " " &amp; Планирование[[#This Row],[Вид работ]] &amp; " " &amp; Планирование[[#This Row],[Объект работ]] &amp; " " &amp; Планирование[[#This Row],[Рейс]])</f>
        <v xml:space="preserve">600 ОК– ПР Монтаж Нагнетательные линии </v>
      </c>
      <c r="M91" s="912">
        <f ca="1">IF(Планирование[[#This Row],[Скважина]]&lt;&gt;B90,Планирование[[#This Row],[Начало (факт)]],N90)</f>
        <v>46177.866666666596</v>
      </c>
      <c r="N91" s="913">
        <f ca="1">Планирование[[#This Row],[Начало (цель)]]+Планирование[[#This Row],[Сутки (цель)]]</f>
        <v>46177.866666666596</v>
      </c>
      <c r="O91" s="914">
        <v>0</v>
      </c>
      <c r="Q91" s="916">
        <f>Планирование[[#This Row],[Часы (цель)]]/24</f>
        <v>0</v>
      </c>
      <c r="R91" s="916">
        <f>R90+Планирование[[#This Row],[Сутки (цель)]]</f>
        <v>3.0091666666666668</v>
      </c>
      <c r="S91" s="917">
        <f ca="1">Планирование[[#This Row],[Начало (цель)]]</f>
        <v>46177.866666666596</v>
      </c>
      <c r="T91" s="913">
        <f ca="1">Планирование[[#This Row],[Начало (план)]]+Планирование[[#This Row],[Сутки (план)]]</f>
        <v>46177.866666666596</v>
      </c>
      <c r="U91" s="914">
        <f>Планирование[[#This Row],[Часы (цель)]]</f>
        <v>0</v>
      </c>
      <c r="V91" s="918">
        <f>Планирование[[#This Row],[Забой, м (цель)]]</f>
        <v>0</v>
      </c>
      <c r="W91" s="916">
        <f>Планирование[[#This Row],[Часы (план)]]/24</f>
        <v>0</v>
      </c>
      <c r="X91" s="919">
        <f>X90+Планирование[[#This Row],[Сутки (план)]]</f>
        <v>3.0091666666666668</v>
      </c>
      <c r="Y91" s="912">
        <f t="array" aca="1" ref="Y91" ca="1">IFERROR(
    INDEX(Хронология[Начало], MATCH(1, (Хронология[Ключ]=Планирование[[#This Row],[Ключ]]) * (Хронология[Подытог за операцию]=MIN(IF(Хронология[Ключ]=Планирование[[#This Row],[Ключ]], Хронология[Подытог за операцию]))), 0)),
    Z83
)</f>
        <v>46174.857499999933</v>
      </c>
      <c r="Z91" s="920">
        <f t="array" aca="1" ref="Z91" ca="1">MAX(IFERROR(
    INDEX(Хронология[Окончание], MATCH(1, (Хронология[Ключ]=Планирование[[#This Row],[Ключ]]) * (Хронология[Подытог за операцию]=MAX(IF(Хронология[Ключ]=Планирование[[#This Row],[Ключ]], Хронология[Подытог за операцию]))), 0)),
    Y84+AC84
), Планирование[[#This Row],[Начало (факт)]]+Планирование[[#This Row],[Сутки (факт)]])</f>
        <v>46175.034999999931</v>
      </c>
      <c r="AA91" s="921">
        <f ca="1">IF(AND(Планирование[[#This Row],[Начало (факт)]]=Y92,Планирование[[#This Row],[Забой, м (факт)]]=AE92),0,Планирование[[#This Row],[Конец (факт, прогноз)]]-Планирование[[#This Row],[Начало (факт)]])</f>
        <v>0.17749999999796273</v>
      </c>
      <c r="AB91" s="921">
        <f ca="1">Планирование[[#This Row],[Часы (факт)]]-Планирование[[#This Row],[НПВ за операцию, часы]]-Планирование[[#This Row],[ПНВ, часы]]</f>
        <v>-2.5000000020372615E-3</v>
      </c>
      <c r="AC91" s="922">
        <f t="array" aca="1" ref="AC91" ca="1">IFERROR(
  IF(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окончены",
    MAX(IF(Хронология[Ключ]=Планирование[[#This Row],[Ключ]], Хронология[Подытог за операцию])),
    IF(
      Планирование[[#This Row],[Событие]]="Мех. бурение",
      (MAX(Хронология[Окончание]) - Планирование[[#This Row],[Начало (факт)]]) +
      (Планирование[[#This Row],[Забой, м (план)]] - Планирование[[#This Row],[Забой, м (факт)]]) /
      ((Планирование[[#This Row],[Забой, м (план)]] - V83)/Планирование[[#This Row],[Сутки (план)]]),
      IF(
        AND(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продолжаются",
          Планирование[[#This Row],[Начало (факт)]]&gt;0
        ),
        (TODAY()-Планирование[[#This Row],[Начало (факт)]]),
        IF(
          AND(Планирование[[#This Row],[Начало (факт)]]=0,
            Планирование[[#This Row],[Начало (план)]] &gt; MAX(Хронология[Начало])),
          Планирование[[#This Row],[Сутки (план)]],
          IF(
            AND((TODAY()-Планирование[[#This Row],[Начало (план)]])&gt;1,
              ISERR(MATCH(Планирование[[#This Row],[Ключ]], Хронология[Ключ], 0))),
            0,
            Планирование[[#This Row],[Сутки (план)]]
          )
        )
      )
    )
  ),
  Планирование[[#This Row],[Сутки (план)]]
)</f>
        <v>0</v>
      </c>
      <c r="AD91" s="922">
        <f ca="1">Планирование[[#This Row],[Сутки (факт)]]</f>
        <v>0</v>
      </c>
      <c r="AE91" s="923">
        <f t="array" ref="AE91">MAX(IF(Хронология[Ключ]=Планирование[[#This Row],[Ключ]], Хронология[Забой, м]))</f>
        <v>0</v>
      </c>
      <c r="AF91" s="914">
        <f ca="1">IFERROR(
    SUMIFS(
        Хронология[Часы],
        Хронология[Результат], "НПВ: нет в ГГД",
        Хронология[Начало], "&gt;=" &amp; Планирование[[#This Row],[Начало (факт)]],
        Хронология[Окончание], "&lt;=" &amp; Планирование[[#This Row],[Конец (факт, прогноз)]]
    ),
    0
)</f>
        <v>0</v>
      </c>
      <c r="AG91" s="914">
        <f ca="1">IFERROR(
    SUMIFS(
        Хронология[Часы],
        Хронология[Результат], "НПВ: нет в ГГД",
        Хронология[Начало], "&gt;=" &amp; Планирование[[#This Row],[Конец (факт, прогноз)]],
        Хронология[Окончание], "&lt;=" &amp; Y85
    ),
    0
)</f>
        <v>0</v>
      </c>
      <c r="AH91" s="919">
        <f ca="1">ROUND(IF(Планирование[[#This Row],[Часы (факт)]]-Планирование[[#This Row],[НПВ за операцию, часы]]-Планирование[[#This Row],[Часы (план)]] &lt;0, 0, Планирование[[#This Row],[Часы (факт)]]-Планирование[[#This Row],[НПВ за операцию, часы]]-Планирование[[#This Row],[Часы (план)]]), 2)</f>
        <v>0.18</v>
      </c>
      <c r="AI91" s="918" t="s">
        <v>1060</v>
      </c>
      <c r="AJ91" s="924">
        <f ca="1">Планирование[[#This Row],[Конец (план)]]-Планирование[[#This Row],[Конец (факт, прогноз)]]</f>
        <v>2.8316666666651145</v>
      </c>
    </row>
    <row r="92" spans="1:36" s="915" customFormat="1" ht="30" customHeight="1">
      <c r="A92" s="909" t="s">
        <v>322</v>
      </c>
      <c r="B92" s="910" t="s">
        <v>266</v>
      </c>
      <c r="C92" s="911"/>
      <c r="D92" s="911" t="s">
        <v>59</v>
      </c>
      <c r="E92" s="911" t="s">
        <v>58</v>
      </c>
      <c r="F92" s="911"/>
      <c r="G92" s="911" t="s">
        <v>69</v>
      </c>
      <c r="H92" s="911" t="s">
        <v>70</v>
      </c>
      <c r="I92" s="911" t="s">
        <v>86</v>
      </c>
      <c r="J92" s="911" t="s">
        <v>321</v>
      </c>
      <c r="K92" s="911"/>
      <c r="L92" s="911" t="str">
        <f>IF(Планирование[[#This Row],[Контекст простоя]]="Штатно", Планирование[[#This Row],[Скважина]] &amp; " " &amp; "ОК–" &amp;Планирование[[#This Row],[ОК]] &amp; " "  &amp; Планирование[[#This Row],[Этап]] &amp; " " &amp; Планирование[[#This Row],[Вид работ]] &amp; " " &amp; Планирование[[#This Row],[Объект работ]] &amp; " " &amp; Планирование[[#This Row],[Рейс]], Планирование[[#This Row],[Скважина]] &amp; " " &amp; "ОК–" &amp;Планирование[[#This Row],[ОК]] &amp; " " &amp; Планирование[[#This Row],[Этап]] &amp; " " &amp; Планирование[[#This Row],[Контекст простоя]] &amp; " " &amp; Планирование[[#This Row],[Событие]] &amp; " " &amp; Планирование[[#This Row],[Вид работ]] &amp; " " &amp; Планирование[[#This Row],[Объект работ]] &amp; " " &amp; Планирование[[#This Row],[Рейс]])</f>
        <v xml:space="preserve">600 ОК– ПР Монтаж Блок дросселирования </v>
      </c>
      <c r="M92" s="912">
        <f ca="1">IF(Планирование[[#This Row],[Скважина]]&lt;&gt;B91,Планирование[[#This Row],[Начало (факт)]],N91)</f>
        <v>46177.866666666596</v>
      </c>
      <c r="N92" s="913">
        <f ca="1">Планирование[[#This Row],[Начало (цель)]]+Планирование[[#This Row],[Сутки (цель)]]</f>
        <v>46178.534583333261</v>
      </c>
      <c r="O92" s="914">
        <v>16.03</v>
      </c>
      <c r="Q92" s="916">
        <f>Планирование[[#This Row],[Часы (цель)]]/24</f>
        <v>0.66791666666666671</v>
      </c>
      <c r="R92" s="916">
        <f>R91+Планирование[[#This Row],[Сутки (цель)]]</f>
        <v>3.6770833333333335</v>
      </c>
      <c r="S92" s="917">
        <f ca="1">Планирование[[#This Row],[Начало (цель)]]</f>
        <v>46177.866666666596</v>
      </c>
      <c r="T92" s="913">
        <f ca="1">Планирование[[#This Row],[Начало (план)]]+Планирование[[#This Row],[Сутки (план)]]</f>
        <v>46178.534583333261</v>
      </c>
      <c r="U92" s="914">
        <f>Планирование[[#This Row],[Часы (цель)]]</f>
        <v>16.03</v>
      </c>
      <c r="V92" s="918">
        <f>Планирование[[#This Row],[Забой, м (цель)]]</f>
        <v>0</v>
      </c>
      <c r="W92" s="916">
        <f>Планирование[[#This Row],[Часы (план)]]/24</f>
        <v>0.66791666666666671</v>
      </c>
      <c r="X92" s="919">
        <f>X91+Планирование[[#This Row],[Сутки (план)]]</f>
        <v>3.6770833333333335</v>
      </c>
      <c r="Y92" s="912">
        <f t="array" ref="Y92">IFERROR(
    INDEX(Хронология[Начало], MATCH(1, (Хронология[Ключ]=Планирование[[#This Row],[Ключ]]) * (Хронология[Подытог за операцию]=MIN(IF(Хронология[Ключ]=Планирование[[#This Row],[Ключ]], Хронология[Подытог за операцию]))), 0)),
    Z83
)</f>
        <v>46179.833333333234</v>
      </c>
      <c r="Z92" s="920">
        <f t="array" aca="1" ref="Z92" ca="1">MAX(IFERROR(
    INDEX(Хронология[Окончание], MATCH(1, (Хронология[Ключ]=Планирование[[#This Row],[Ключ]]) * (Хронология[Подытог за операцию]=MAX(IF(Хронология[Ключ]=Планирование[[#This Row],[Ключ]], Хронология[Подытог за операцию]))), 0)),
    Y84+AC84
), Планирование[[#This Row],[Начало (факт)]]+Планирование[[#This Row],[Сутки (факт)]])</f>
        <v>46182.833333333212</v>
      </c>
      <c r="AA92" s="921">
        <f ca="1">IF(AND(Планирование[[#This Row],[Начало (факт)]]=Y93,Планирование[[#This Row],[Забой, м (факт)]]=AE93),0,Планирование[[#This Row],[Конец (факт, прогноз)]]-Планирование[[#This Row],[Начало (факт)]])</f>
        <v>2.9999999999781721</v>
      </c>
      <c r="AB92" s="921">
        <f ca="1">Планирование[[#This Row],[Часы (факт)]]-Планирование[[#This Row],[НПВ за операцию, часы]]-Планирование[[#This Row],[ПНВ, часы]]</f>
        <v>2.9999999999781721</v>
      </c>
      <c r="AC92" s="922">
        <f t="array" aca="1" ref="AC92" ca="1">IFERROR(
  IF(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окончены",
    MAX(IF(Хронология[Ключ]=Планирование[[#This Row],[Ключ]], Хронология[Подытог за операцию])),
    IF(
      Планирование[[#This Row],[Событие]]="Мех. бурение",
      (MAX(Хронология[Окончание]) - Планирование[[#This Row],[Начало (факт)]]) +
      (Планирование[[#This Row],[Забой, м (план)]] - Планирование[[#This Row],[Забой, м (факт)]]) /
      ((Планирование[[#This Row],[Забой, м (план)]] - V83)/Планирование[[#This Row],[Сутки (план)]]),
      IF(
        AND(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продолжаются",
          Планирование[[#This Row],[Начало (факт)]]&gt;0
        ),
        (TODAY()-Планирование[[#This Row],[Начало (факт)]]),
        IF(
          AND(Планирование[[#This Row],[Начало (факт)]]=0,
            Планирование[[#This Row],[Начало (план)]] &gt; MAX(Хронология[Начало])),
          Планирование[[#This Row],[Сутки (план)]],
          IF(
            AND((TODAY()-Планирование[[#This Row],[Начало (план)]])&gt;1,
              ISERR(MATCH(Планирование[[#This Row],[Ключ]], Хронология[Ключ], 0))),
            0,
            Планирование[[#This Row],[Сутки (план)]]
          )
        )
      )
    )
  ),
  Планирование[[#This Row],[Сутки (план)]]
)</f>
        <v>2.7083333333333335</v>
      </c>
      <c r="AD92" s="922">
        <f ca="1">Планирование[[#This Row],[Сутки (факт)]]</f>
        <v>2.7083333333333335</v>
      </c>
      <c r="AE92" s="923">
        <f t="array" ref="AE92">MAX(IF(Хронология[Ключ]=Планирование[[#This Row],[Ключ]], Хронология[Забой, м]))</f>
        <v>2758.16</v>
      </c>
      <c r="AF92" s="914">
        <f ca="1">IFERROR(
    SUMIFS(
        Хронология[Часы],
        Хронология[Результат], "НПВ: нет в ГГД",
        Хронология[Начало], "&gt;=" &amp; Планирование[[#This Row],[Начало (факт)]],
        Хронология[Окончание], "&lt;=" &amp; Планирование[[#This Row],[Конец (факт, прогноз)]]
    ),
    0
)</f>
        <v>0</v>
      </c>
      <c r="AG92" s="914">
        <f ca="1">IFERROR(
    SUMIFS(
        Хронология[Часы],
        Хронология[Результат], "НПВ: нет в ГГД",
        Хронология[Начало], "&gt;=" &amp; Планирование[[#This Row],[Конец (факт, прогноз)]],
        Хронология[Окончание], "&lt;=" &amp; Y85
    ),
    0
)</f>
        <v>0</v>
      </c>
      <c r="AH92" s="919">
        <f ca="1">ROUND(IF(Планирование[[#This Row],[Часы (факт)]]-Планирование[[#This Row],[НПВ за операцию, часы]]-Планирование[[#This Row],[Часы (план)]] &lt;0, 0, Планирование[[#This Row],[Часы (факт)]]-Планирование[[#This Row],[НПВ за операцию, часы]]-Планирование[[#This Row],[Часы (план)]]), 2)</f>
        <v>0</v>
      </c>
      <c r="AI92" s="918" t="s">
        <v>1060</v>
      </c>
      <c r="AJ92" s="924">
        <f ca="1">Планирование[[#This Row],[Конец (план)]]-Планирование[[#This Row],[Конец (факт, прогноз)]]</f>
        <v>-4.2987499999508145</v>
      </c>
    </row>
    <row r="93" spans="1:36" s="915" customFormat="1" ht="30" customHeight="1">
      <c r="A93" s="909" t="s">
        <v>291</v>
      </c>
      <c r="B93" s="910" t="s">
        <v>266</v>
      </c>
      <c r="C93" s="911"/>
      <c r="D93" s="911" t="s">
        <v>51</v>
      </c>
      <c r="E93" s="911" t="s">
        <v>58</v>
      </c>
      <c r="F93" s="911"/>
      <c r="G93" s="911" t="s">
        <v>169</v>
      </c>
      <c r="H93" s="911" t="s">
        <v>170</v>
      </c>
      <c r="I93" s="911" t="s">
        <v>167</v>
      </c>
      <c r="J93" s="911" t="s">
        <v>4</v>
      </c>
      <c r="K93" s="911"/>
      <c r="L93" s="911" t="str">
        <f>IF(Планирование[[#This Row],[Контекст простоя]]="Штатно", Планирование[[#This Row],[Скважина]] &amp; " " &amp; "ОК–" &amp;Планирование[[#This Row],[ОК]] &amp; " "  &amp; Планирование[[#This Row],[Этап]] &amp; " " &amp; Планирование[[#This Row],[Вид работ]] &amp; " " &amp; Планирование[[#This Row],[Объект работ]] &amp; " " &amp; Планирование[[#This Row],[Рейс]], Планирование[[#This Row],[Скважина]] &amp; " " &amp; "ОК–" &amp;Планирование[[#This Row],[ОК]] &amp; " " &amp; Планирование[[#This Row],[Этап]] &amp; " " &amp; Планирование[[#This Row],[Контекст простоя]] &amp; " " &amp; Планирование[[#This Row],[Событие]] &amp; " " &amp; Планирование[[#This Row],[Вид работ]] &amp; " " &amp; Планирование[[#This Row],[Объект работ]] &amp; " " &amp; Планирование[[#This Row],[Рейс]])</f>
        <v xml:space="preserve">600 ОК– КРС Глушение Скважина </v>
      </c>
      <c r="M93" s="912">
        <f ca="1">IF(Планирование[[#This Row],[Скважина]]&lt;&gt;B92,Планирование[[#This Row],[Начало (факт)]],N92)</f>
        <v>46178.534583333261</v>
      </c>
      <c r="N93" s="913">
        <f ca="1">Планирование[[#This Row],[Начало (цель)]]+Планирование[[#This Row],[Сутки (цель)]]</f>
        <v>46178.922916666597</v>
      </c>
      <c r="O93" s="914">
        <v>9.32</v>
      </c>
      <c r="Q93" s="916">
        <f>Планирование[[#This Row],[Часы (цель)]]/24</f>
        <v>0.38833333333333336</v>
      </c>
      <c r="R93" s="916">
        <f>R92+Планирование[[#This Row],[Сутки (цель)]]</f>
        <v>4.0654166666666667</v>
      </c>
      <c r="S93" s="917">
        <f ca="1">Планирование[[#This Row],[Начало (цель)]]</f>
        <v>46178.534583333261</v>
      </c>
      <c r="T93" s="913">
        <f ca="1">Планирование[[#This Row],[Начало (план)]]+Планирование[[#This Row],[Сутки (план)]]</f>
        <v>46178.922916666597</v>
      </c>
      <c r="U93" s="914">
        <f>Планирование[[#This Row],[Часы (цель)]]</f>
        <v>9.32</v>
      </c>
      <c r="V93" s="918">
        <f>Планирование[[#This Row],[Забой, м (цель)]]</f>
        <v>0</v>
      </c>
      <c r="W93" s="916">
        <f>Планирование[[#This Row],[Часы (план)]]/24</f>
        <v>0.38833333333333336</v>
      </c>
      <c r="X93" s="919">
        <f>X92+Планирование[[#This Row],[Сутки (план)]]</f>
        <v>4.0654166666666667</v>
      </c>
      <c r="Y93" s="912">
        <f t="array" ref="Y93">IFERROR(
    INDEX(Хронология[Начало], MATCH(1, (Хронология[Ключ]=Планирование[[#This Row],[Ключ]]) * (Хронология[Подытог за операцию]=MIN(IF(Хронология[Ключ]=Планирование[[#This Row],[Ключ]], Хронология[Подытог за операцию]))), 0)),
    Z83
)</f>
        <v>46176.833333333256</v>
      </c>
      <c r="Z93" s="920">
        <f t="array" aca="1" ref="Z93" ca="1">MAX(IFERROR(
    INDEX(Хронология[Окончание], MATCH(1, (Хронология[Ключ]=Планирование[[#This Row],[Ключ]]) * (Хронология[Подытог за операцию]=MAX(IF(Хронология[Ключ]=Планирование[[#This Row],[Ключ]], Хронология[Подытог за операцию]))), 0)),
    Y84+AC84
), Планирование[[#This Row],[Начало (факт)]]+Планирование[[#This Row],[Сутки (факт)]])</f>
        <v>46189.833333333161</v>
      </c>
      <c r="AA93" s="921">
        <f ca="1">IF(AND(Планирование[[#This Row],[Начало (факт)]]=Y94,Планирование[[#This Row],[Забой, м (факт)]]=AE94),0,Планирование[[#This Row],[Конец (факт, прогноз)]]-Планирование[[#This Row],[Начало (факт)]])</f>
        <v>12.999999999905413</v>
      </c>
      <c r="AB93" s="921">
        <f ca="1">Планирование[[#This Row],[Часы (факт)]]-Планирование[[#This Row],[НПВ за операцию, часы]]-Планирование[[#This Row],[ПНВ, часы]]</f>
        <v>9.3199999999054128</v>
      </c>
      <c r="AC93" s="922">
        <f t="array" aca="1" ref="AC93" ca="1">IFERROR(
  IF(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окончены",
    MAX(IF(Хронология[Ключ]=Планирование[[#This Row],[Ключ]], Хронология[Подытог за операцию])),
    IF(
      Планирование[[#This Row],[Событие]]="Мех. бурение",
      (MAX(Хронология[Окончание]) - Планирование[[#This Row],[Начало (факт)]]) +
      (Планирование[[#This Row],[Забой, м (план)]] - Планирование[[#This Row],[Забой, м (факт)]]) /
      ((Планирование[[#This Row],[Забой, м (план)]] - V83)/Планирование[[#This Row],[Сутки (план)]]),
      IF(
        AND(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продолжаются",
          Планирование[[#This Row],[Начало (факт)]]&gt;0
        ),
        (TODAY()-Планирование[[#This Row],[Начало (факт)]]),
        IF(
          AND(Планирование[[#This Row],[Начало (факт)]]=0,
            Планирование[[#This Row],[Начало (план)]] &gt; MAX(Хронология[Начало])),
          Планирование[[#This Row],[Сутки (план)]],
          IF(
            AND((TODAY()-Планирование[[#This Row],[Начало (план)]])&gt;1,
              ISERR(MATCH(Планирование[[#This Row],[Ключ]], Хронология[Ключ], 0))),
            0,
            Планирование[[#This Row],[Сутки (план)]]
          )
        )
      )
    )
  ),
  Планирование[[#This Row],[Сутки (план)]]
)</f>
        <v>5.6250000000000009</v>
      </c>
      <c r="AD93" s="922">
        <f ca="1">Планирование[[#This Row],[Сутки (факт)]]</f>
        <v>5.6250000000000009</v>
      </c>
      <c r="AE93" s="923">
        <f t="array" ref="AE93">MAX(IF(Хронология[Ключ]=Планирование[[#This Row],[Ключ]], Хронология[Забой, м]))</f>
        <v>2758.16</v>
      </c>
      <c r="AF93" s="914">
        <f ca="1">IFERROR(
    SUMIFS(
        Хронология[Часы],
        Хронология[Результат], "НПВ: нет в ГГД",
        Хронология[Начало], "&gt;=" &amp; Планирование[[#This Row],[Начало (факт)]],
        Хронология[Окончание], "&lt;=" &amp; Планирование[[#This Row],[Конец (факт, прогноз)]]
    ),
    0
)</f>
        <v>0</v>
      </c>
      <c r="AG93" s="914">
        <f ca="1">IFERROR(
    SUMIFS(
        Хронология[Часы],
        Хронология[Результат], "НПВ: нет в ГГД",
        Хронология[Начало], "&gt;=" &amp; Планирование[[#This Row],[Конец (факт, прогноз)]],
        Хронология[Окончание], "&lt;=" &amp; Y85
    ),
    0
)</f>
        <v>0</v>
      </c>
      <c r="AH93" s="919">
        <f ca="1">ROUND(IF(Планирование[[#This Row],[Часы (факт)]]-Планирование[[#This Row],[НПВ за операцию, часы]]-Планирование[[#This Row],[Часы (план)]] &lt;0, 0, Планирование[[#This Row],[Часы (факт)]]-Планирование[[#This Row],[НПВ за операцию, часы]]-Планирование[[#This Row],[Часы (план)]]), 2)</f>
        <v>3.68</v>
      </c>
      <c r="AI93" s="918" t="s">
        <v>1060</v>
      </c>
      <c r="AJ93" s="924">
        <f ca="1">Планирование[[#This Row],[Конец (план)]]-Планирование[[#This Row],[Конец (факт, прогноз)]]</f>
        <v>-10.910416666563833</v>
      </c>
    </row>
    <row r="94" spans="1:36" s="915" customFormat="1" ht="30" customHeight="1">
      <c r="A94" s="909" t="s">
        <v>1106</v>
      </c>
      <c r="B94" s="910" t="s">
        <v>266</v>
      </c>
      <c r="C94" s="911"/>
      <c r="D94" s="911" t="s">
        <v>57</v>
      </c>
      <c r="E94" s="911" t="s">
        <v>58</v>
      </c>
      <c r="F94" s="911"/>
      <c r="G94" s="911" t="s">
        <v>69</v>
      </c>
      <c r="H94" s="911" t="s">
        <v>70</v>
      </c>
      <c r="I94" s="911" t="s">
        <v>61</v>
      </c>
      <c r="J94" s="911" t="s">
        <v>1107</v>
      </c>
      <c r="K94" s="911"/>
      <c r="L94" s="911" t="str">
        <f>IF(Планирование[[#This Row],[Контекст простоя]]="Штатно", Планирование[[#This Row],[Скважина]] &amp; " " &amp; "ОК–" &amp;Планирование[[#This Row],[ОК]] &amp; " "  &amp; Планирование[[#This Row],[Этап]] &amp; " " &amp; Планирование[[#This Row],[Вид работ]] &amp; " " &amp; Планирование[[#This Row],[Объект работ]] &amp; " " &amp; Планирование[[#This Row],[Рейс]], Планирование[[#This Row],[Скважина]] &amp; " " &amp; "ОК–" &amp;Планирование[[#This Row],[ОК]] &amp; " " &amp; Планирование[[#This Row],[Этап]] &amp; " " &amp; Планирование[[#This Row],[Контекст простоя]] &amp; " " &amp; Планирование[[#This Row],[Событие]] &amp; " " &amp; Планирование[[#This Row],[Вид работ]] &amp; " " &amp; Планирование[[#This Row],[Объект работ]] &amp; " " &amp; Планирование[[#This Row],[Рейс]])</f>
        <v xml:space="preserve">600 ОК– ДПМ Монтаж Подъемный агрегат </v>
      </c>
      <c r="M94" s="912">
        <f ca="1">IF(Планирование[[#This Row],[Скважина]]&lt;&gt;B93,Планирование[[#This Row],[Начало (факт)]],N93)</f>
        <v>46178.922916666597</v>
      </c>
      <c r="N94" s="913">
        <f ca="1">Планирование[[#This Row],[Начало (цель)]]+Планирование[[#This Row],[Сутки (цель)]]</f>
        <v>46178.922916666597</v>
      </c>
      <c r="O94" s="914">
        <v>0</v>
      </c>
      <c r="Q94" s="916">
        <f>Планирование[[#This Row],[Часы (цель)]]/24</f>
        <v>0</v>
      </c>
      <c r="R94" s="916">
        <f>R93+Планирование[[#This Row],[Сутки (цель)]]</f>
        <v>4.0654166666666667</v>
      </c>
      <c r="S94" s="917">
        <f ca="1">Планирование[[#This Row],[Начало (цель)]]</f>
        <v>46178.922916666597</v>
      </c>
      <c r="T94" s="913">
        <f ca="1">Планирование[[#This Row],[Начало (план)]]+Планирование[[#This Row],[Сутки (план)]]</f>
        <v>46178.922916666597</v>
      </c>
      <c r="U94" s="914">
        <f>Планирование[[#This Row],[Часы (цель)]]</f>
        <v>0</v>
      </c>
      <c r="V94" s="918">
        <f>Планирование[[#This Row],[Забой, м (цель)]]</f>
        <v>0</v>
      </c>
      <c r="W94" s="916">
        <f>Планирование[[#This Row],[Часы (план)]]/24</f>
        <v>0</v>
      </c>
      <c r="X94" s="919">
        <f>X93+Планирование[[#This Row],[Сутки (план)]]</f>
        <v>4.0654166666666667</v>
      </c>
      <c r="Y94" s="912">
        <f t="array" aca="1" ref="Y94" ca="1">IFERROR(
    INDEX(Хронология[Начало], MATCH(1, (Хронология[Ключ]=Планирование[[#This Row],[Ключ]]) * (Хронология[Подытог за операцию]=MIN(IF(Хронология[Ключ]=Планирование[[#This Row],[Ключ]], Хронология[Подытог за операцию]))), 0)),
    Z83
)</f>
        <v>46174.857499999933</v>
      </c>
      <c r="Z94" s="920">
        <f t="array" aca="1" ref="Z94" ca="1">MAX(IFERROR(
    INDEX(Хронология[Окончание], MATCH(1, (Хронология[Ключ]=Планирование[[#This Row],[Ключ]]) * (Хронология[Подытог за операцию]=MAX(IF(Хронология[Ключ]=Планирование[[#This Row],[Ключ]], Хронология[Подытог за операцию]))), 0)),
    Y84+AC84
), Планирование[[#This Row],[Начало (факт)]]+Планирование[[#This Row],[Сутки (факт)]])</f>
        <v>46175.034999999931</v>
      </c>
      <c r="AA94" s="921">
        <f ca="1">IF(AND(Планирование[[#This Row],[Начало (факт)]]=Y95,Планирование[[#This Row],[Забой, м (факт)]]=AE95),0,Планирование[[#This Row],[Конец (факт, прогноз)]]-Планирование[[#This Row],[Начало (факт)]])</f>
        <v>0.17749999999796273</v>
      </c>
      <c r="AB94" s="921">
        <f ca="1">Планирование[[#This Row],[Часы (факт)]]-Планирование[[#This Row],[НПВ за операцию, часы]]-Планирование[[#This Row],[ПНВ, часы]]</f>
        <v>-2.5000000020372615E-3</v>
      </c>
      <c r="AC94" s="922">
        <f t="array" aca="1" ref="AC94" ca="1">IFERROR(
  IF(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окончены",
    MAX(IF(Хронология[Ключ]=Планирование[[#This Row],[Ключ]], Хронология[Подытог за операцию])),
    IF(
      Планирование[[#This Row],[Событие]]="Мех. бурение",
      (MAX(Хронология[Окончание]) - Планирование[[#This Row],[Начало (факт)]]) +
      (Планирование[[#This Row],[Забой, м (план)]] - Планирование[[#This Row],[Забой, м (факт)]]) /
      ((Планирование[[#This Row],[Забой, м (план)]] - V83)/Планирование[[#This Row],[Сутки (план)]]),
      IF(
        AND(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продолжаются",
          Планирование[[#This Row],[Начало (факт)]]&gt;0
        ),
        (TODAY()-Планирование[[#This Row],[Начало (факт)]]),
        IF(
          AND(Планирование[[#This Row],[Начало (факт)]]=0,
            Планирование[[#This Row],[Начало (план)]] &gt; MAX(Хронология[Начало])),
          Планирование[[#This Row],[Сутки (план)]],
          IF(
            AND((TODAY()-Планирование[[#This Row],[Начало (план)]])&gt;1,
              ISERR(MATCH(Планирование[[#This Row],[Ключ]], Хронология[Ключ], 0))),
            0,
            Планирование[[#This Row],[Сутки (план)]]
          )
        )
      )
    )
  ),
  Планирование[[#This Row],[Сутки (план)]]
)</f>
        <v>0</v>
      </c>
      <c r="AD94" s="922">
        <f ca="1">Планирование[[#This Row],[Сутки (факт)]]</f>
        <v>0</v>
      </c>
      <c r="AE94" s="923">
        <f t="array" ref="AE94">MAX(IF(Хронология[Ключ]=Планирование[[#This Row],[Ключ]], Хронология[Забой, м]))</f>
        <v>0</v>
      </c>
      <c r="AF94" s="914">
        <f ca="1">IFERROR(
    SUMIFS(
        Хронология[Часы],
        Хронология[Результат], "НПВ: нет в ГГД",
        Хронология[Начало], "&gt;=" &amp; Планирование[[#This Row],[Начало (факт)]],
        Хронология[Окончание], "&lt;=" &amp; Планирование[[#This Row],[Конец (факт, прогноз)]]
    ),
    0
)</f>
        <v>0</v>
      </c>
      <c r="AG94" s="914">
        <f ca="1">IFERROR(
    SUMIFS(
        Хронология[Часы],
        Хронология[Результат], "НПВ: нет в ГГД",
        Хронология[Начало], "&gt;=" &amp; Планирование[[#This Row],[Конец (факт, прогноз)]],
        Хронология[Окончание], "&lt;=" &amp; Y85
    ),
    0
)</f>
        <v>0</v>
      </c>
      <c r="AH94" s="919">
        <f ca="1">ROUND(IF(Планирование[[#This Row],[Часы (факт)]]-Планирование[[#This Row],[НПВ за операцию, часы]]-Планирование[[#This Row],[Часы (план)]] &lt;0, 0, Планирование[[#This Row],[Часы (факт)]]-Планирование[[#This Row],[НПВ за операцию, часы]]-Планирование[[#This Row],[Часы (план)]]), 2)</f>
        <v>0.18</v>
      </c>
      <c r="AI94" s="918" t="s">
        <v>1060</v>
      </c>
      <c r="AJ94" s="924">
        <f ca="1">Планирование[[#This Row],[Конец (план)]]-Планирование[[#This Row],[Конец (факт, прогноз)]]</f>
        <v>3.8879166666665697</v>
      </c>
    </row>
    <row r="95" spans="1:36" s="915" customFormat="1" ht="30" customHeight="1">
      <c r="A95" s="909" t="s">
        <v>291</v>
      </c>
      <c r="B95" s="910" t="s">
        <v>266</v>
      </c>
      <c r="C95" s="911"/>
      <c r="D95" s="911" t="s">
        <v>51</v>
      </c>
      <c r="E95" s="911" t="s">
        <v>58</v>
      </c>
      <c r="F95" s="911"/>
      <c r="G95" s="911" t="s">
        <v>169</v>
      </c>
      <c r="H95" s="911" t="s">
        <v>170</v>
      </c>
      <c r="I95" s="911" t="s">
        <v>167</v>
      </c>
      <c r="J95" s="911" t="s">
        <v>4</v>
      </c>
      <c r="K95" s="911"/>
      <c r="L95" s="911" t="str">
        <f>IF(Планирование[[#This Row],[Контекст простоя]]="Штатно", Планирование[[#This Row],[Скважина]] &amp; " " &amp; "ОК–" &amp;Планирование[[#This Row],[ОК]] &amp; " "  &amp; Планирование[[#This Row],[Этап]] &amp; " " &amp; Планирование[[#This Row],[Вид работ]] &amp; " " &amp; Планирование[[#This Row],[Объект работ]] &amp; " " &amp; Планирование[[#This Row],[Рейс]], Планирование[[#This Row],[Скважина]] &amp; " " &amp; "ОК–" &amp;Планирование[[#This Row],[ОК]] &amp; " " &amp; Планирование[[#This Row],[Этап]] &amp; " " &amp; Планирование[[#This Row],[Контекст простоя]] &amp; " " &amp; Планирование[[#This Row],[Событие]] &amp; " " &amp; Планирование[[#This Row],[Вид работ]] &amp; " " &amp; Планирование[[#This Row],[Объект работ]] &amp; " " &amp; Планирование[[#This Row],[Рейс]])</f>
        <v xml:space="preserve">600 ОК– КРС Глушение Скважина </v>
      </c>
      <c r="M95" s="912">
        <f ca="1">IF(Планирование[[#This Row],[Скважина]]&lt;&gt;B94,Планирование[[#This Row],[Начало (факт)]],N94)</f>
        <v>46178.922916666597</v>
      </c>
      <c r="N95" s="913">
        <f ca="1">Планирование[[#This Row],[Начало (цель)]]+Планирование[[#This Row],[Сутки (цель)]]</f>
        <v>46179.1291666666</v>
      </c>
      <c r="O95" s="914">
        <v>4.95</v>
      </c>
      <c r="Q95" s="916">
        <f>Планирование[[#This Row],[Часы (цель)]]/24</f>
        <v>0.20625000000000002</v>
      </c>
      <c r="R95" s="916">
        <f>R94+Планирование[[#This Row],[Сутки (цель)]]</f>
        <v>4.2716666666666665</v>
      </c>
      <c r="S95" s="917">
        <f ca="1">Планирование[[#This Row],[Начало (цель)]]</f>
        <v>46178.922916666597</v>
      </c>
      <c r="T95" s="913">
        <f ca="1">Планирование[[#This Row],[Начало (план)]]+Планирование[[#This Row],[Сутки (план)]]</f>
        <v>46179.1291666666</v>
      </c>
      <c r="U95" s="914">
        <f>Планирование[[#This Row],[Часы (цель)]]</f>
        <v>4.95</v>
      </c>
      <c r="V95" s="918">
        <f>Планирование[[#This Row],[Забой, м (цель)]]</f>
        <v>0</v>
      </c>
      <c r="W95" s="916">
        <f>Планирование[[#This Row],[Часы (план)]]/24</f>
        <v>0.20625000000000002</v>
      </c>
      <c r="X95" s="919">
        <f>X94+Планирование[[#This Row],[Сутки (план)]]</f>
        <v>4.2716666666666665</v>
      </c>
      <c r="Y95" s="912">
        <f t="array" ref="Y95">IFERROR(
    INDEX(Хронология[Начало], MATCH(1, (Хронология[Ключ]=Планирование[[#This Row],[Ключ]]) * (Хронология[Подытог за операцию]=MIN(IF(Хронология[Ключ]=Планирование[[#This Row],[Ключ]], Хронология[Подытог за операцию]))), 0)),
    Z83
)</f>
        <v>46176.833333333256</v>
      </c>
      <c r="Z95" s="920">
        <f t="array" aca="1" ref="Z95" ca="1">MAX(IFERROR(
    INDEX(Хронология[Окончание], MATCH(1, (Хронология[Ключ]=Планирование[[#This Row],[Ключ]]) * (Хронология[Подытог за операцию]=MAX(IF(Хронология[Ключ]=Планирование[[#This Row],[Ключ]], Хронология[Подытог за операцию]))), 0)),
    Y84+AC84
), Планирование[[#This Row],[Начало (факт)]]+Планирование[[#This Row],[Сутки (факт)]])</f>
        <v>46189.833333333161</v>
      </c>
      <c r="AA95" s="921">
        <f ca="1">IF(AND(Планирование[[#This Row],[Начало (факт)]]=Y96,Планирование[[#This Row],[Забой, м (факт)]]=AE96),0,Планирование[[#This Row],[Конец (факт, прогноз)]]-Планирование[[#This Row],[Начало (факт)]])</f>
        <v>12.999999999905413</v>
      </c>
      <c r="AB95" s="921">
        <f ca="1">Планирование[[#This Row],[Часы (факт)]]-Планирование[[#This Row],[НПВ за операцию, часы]]-Планирование[[#This Row],[ПНВ, часы]]</f>
        <v>4.9499999999054118</v>
      </c>
      <c r="AC95" s="922">
        <f t="array" aca="1" ref="AC95" ca="1">IFERROR(
  IF(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окончены",
    MAX(IF(Хронология[Ключ]=Планирование[[#This Row],[Ключ]], Хронология[Подытог за операцию])),
    IF(
      Планирование[[#This Row],[Событие]]="Мех. бурение",
      (MAX(Хронология[Окончание]) - Планирование[[#This Row],[Начало (факт)]]) +
      (Планирование[[#This Row],[Забой, м (план)]] - Планирование[[#This Row],[Забой, м (факт)]]) /
      ((Планирование[[#This Row],[Забой, м (план)]] - V83)/Планирование[[#This Row],[Сутки (план)]]),
      IF(
        AND(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продолжаются",
          Планирование[[#This Row],[Начало (факт)]]&gt;0
        ),
        (TODAY()-Планирование[[#This Row],[Начало (факт)]]),
        IF(
          AND(Планирование[[#This Row],[Начало (факт)]]=0,
            Планирование[[#This Row],[Начало (план)]] &gt; MAX(Хронология[Начало])),
          Планирование[[#This Row],[Сутки (план)]],
          IF(
            AND((TODAY()-Планирование[[#This Row],[Начало (план)]])&gt;1,
              ISERR(MATCH(Планирование[[#This Row],[Ключ]], Хронология[Ключ], 0))),
            0,
            Планирование[[#This Row],[Сутки (план)]]
          )
        )
      )
    )
  ),
  Планирование[[#This Row],[Сутки (план)]]
)</f>
        <v>5.6250000000000009</v>
      </c>
      <c r="AD95" s="922">
        <f ca="1">Планирование[[#This Row],[Сутки (факт)]]</f>
        <v>5.6250000000000009</v>
      </c>
      <c r="AE95" s="923">
        <f t="array" ref="AE95">MAX(IF(Хронология[Ключ]=Планирование[[#This Row],[Ключ]], Хронология[Забой, м]))</f>
        <v>2758.16</v>
      </c>
      <c r="AF95" s="914">
        <f ca="1">IFERROR(
    SUMIFS(
        Хронология[Часы],
        Хронология[Результат], "НПВ: нет в ГГД",
        Хронология[Начало], "&gt;=" &amp; Планирование[[#This Row],[Начало (факт)]],
        Хронология[Окончание], "&lt;=" &amp; Планирование[[#This Row],[Конец (факт, прогноз)]]
    ),
    0
)</f>
        <v>0</v>
      </c>
      <c r="AG95" s="914">
        <f ca="1">IFERROR(
    SUMIFS(
        Хронология[Часы],
        Хронология[Результат], "НПВ: нет в ГГД",
        Хронология[Начало], "&gt;=" &amp; Планирование[[#This Row],[Конец (факт, прогноз)]],
        Хронология[Окончание], "&lt;=" &amp; Y85
    ),
    0
)</f>
        <v>0</v>
      </c>
      <c r="AH95" s="919">
        <f ca="1">ROUND(IF(Планирование[[#This Row],[Часы (факт)]]-Планирование[[#This Row],[НПВ за операцию, часы]]-Планирование[[#This Row],[Часы (план)]] &lt;0, 0, Планирование[[#This Row],[Часы (факт)]]-Планирование[[#This Row],[НПВ за операцию, часы]]-Планирование[[#This Row],[Часы (план)]]), 2)</f>
        <v>8.0500000000000007</v>
      </c>
      <c r="AI95" s="918" t="s">
        <v>1060</v>
      </c>
      <c r="AJ95" s="924">
        <f ca="1">Планирование[[#This Row],[Конец (план)]]-Планирование[[#This Row],[Конец (факт, прогноз)]]</f>
        <v>-10.704166666560923</v>
      </c>
    </row>
    <row r="96" spans="1:36" s="915" customFormat="1" ht="30" customHeight="1">
      <c r="A96" s="909" t="s">
        <v>1108</v>
      </c>
      <c r="B96" s="910" t="s">
        <v>266</v>
      </c>
      <c r="C96" s="911"/>
      <c r="D96" s="911" t="s">
        <v>59</v>
      </c>
      <c r="E96" s="911" t="s">
        <v>58</v>
      </c>
      <c r="F96" s="911"/>
      <c r="G96" s="911" t="s">
        <v>78</v>
      </c>
      <c r="H96" s="911" t="s">
        <v>1109</v>
      </c>
      <c r="I96" s="911" t="s">
        <v>61</v>
      </c>
      <c r="J96" s="911" t="s">
        <v>286</v>
      </c>
      <c r="K96" s="911"/>
      <c r="L96" s="911" t="str">
        <f>IF(Планирование[[#This Row],[Контекст простоя]]="Штатно", Планирование[[#This Row],[Скважина]] &amp; " " &amp; "ОК–" &amp;Планирование[[#This Row],[ОК]] &amp; " "  &amp; Планирование[[#This Row],[Этап]] &amp; " " &amp; Планирование[[#This Row],[Вид работ]] &amp; " " &amp; Планирование[[#This Row],[Объект работ]] &amp; " " &amp; Планирование[[#This Row],[Рейс]], Планирование[[#This Row],[Скважина]] &amp; " " &amp; "ОК–" &amp;Планирование[[#This Row],[ОК]] &amp; " " &amp; Планирование[[#This Row],[Этап]] &amp; " " &amp; Планирование[[#This Row],[Контекст простоя]] &amp; " " &amp; Планирование[[#This Row],[Событие]] &amp; " " &amp; Планирование[[#This Row],[Вид работ]] &amp; " " &amp; Планирование[[#This Row],[Объект работ]] &amp; " " &amp; Планирование[[#This Row],[Рейс]])</f>
        <v xml:space="preserve">600 ОК– ПР Ввод в работу Бригада КРС </v>
      </c>
      <c r="M96" s="912">
        <f ca="1">IF(Планирование[[#This Row],[Скважина]]&lt;&gt;B95,Планирование[[#This Row],[Начало (факт)]],N95)</f>
        <v>46179.1291666666</v>
      </c>
      <c r="N96" s="913">
        <f ca="1">Планирование[[#This Row],[Начало (цель)]]+Планирование[[#This Row],[Сутки (цель)]]</f>
        <v>46179.1291666666</v>
      </c>
      <c r="O96" s="914">
        <v>0</v>
      </c>
      <c r="Q96" s="916">
        <f>Планирование[[#This Row],[Часы (цель)]]/24</f>
        <v>0</v>
      </c>
      <c r="R96" s="916">
        <f>R95+Планирование[[#This Row],[Сутки (цель)]]</f>
        <v>4.2716666666666665</v>
      </c>
      <c r="S96" s="917">
        <f ca="1">Планирование[[#This Row],[Начало (цель)]]</f>
        <v>46179.1291666666</v>
      </c>
      <c r="T96" s="913">
        <f ca="1">Планирование[[#This Row],[Начало (план)]]+Планирование[[#This Row],[Сутки (план)]]</f>
        <v>46179.1291666666</v>
      </c>
      <c r="U96" s="914">
        <f>Планирование[[#This Row],[Часы (цель)]]</f>
        <v>0</v>
      </c>
      <c r="V96" s="918">
        <f>Планирование[[#This Row],[Забой, м (цель)]]</f>
        <v>0</v>
      </c>
      <c r="W96" s="916">
        <f>Планирование[[#This Row],[Часы (план)]]/24</f>
        <v>0</v>
      </c>
      <c r="X96" s="919">
        <f>X95+Планирование[[#This Row],[Сутки (план)]]</f>
        <v>4.2716666666666665</v>
      </c>
      <c r="Y96" s="912">
        <f t="array" aca="1" ref="Y96" ca="1">IFERROR(
    INDEX(Хронология[Начало], MATCH(1, (Хронология[Ключ]=Планирование[[#This Row],[Ключ]]) * (Хронология[Подытог за операцию]=MIN(IF(Хронология[Ключ]=Планирование[[#This Row],[Ключ]], Хронология[Подытог за операцию]))), 0)),
    Z83
)</f>
        <v>46174.857499999933</v>
      </c>
      <c r="Z96" s="920">
        <f t="array" aca="1" ref="Z96" ca="1">MAX(IFERROR(
    INDEX(Хронология[Окончание], MATCH(1, (Хронология[Ключ]=Планирование[[#This Row],[Ключ]]) * (Хронология[Подытог за операцию]=MAX(IF(Хронология[Ключ]=Планирование[[#This Row],[Ключ]], Хронология[Подытог за операцию]))), 0)),
    Y84+AC84
), Планирование[[#This Row],[Начало (факт)]]+Планирование[[#This Row],[Сутки (факт)]])</f>
        <v>46175.034999999931</v>
      </c>
      <c r="AA96" s="921">
        <f ca="1">IF(AND(Планирование[[#This Row],[Начало (факт)]]=Y97,Планирование[[#This Row],[Забой, м (факт)]]=AE97),0,Планирование[[#This Row],[Конец (факт, прогноз)]]-Планирование[[#This Row],[Начало (факт)]])</f>
        <v>0</v>
      </c>
      <c r="AB96" s="921">
        <f ca="1">Планирование[[#This Row],[Часы (факт)]]-Планирование[[#This Row],[НПВ за операцию, часы]]-Планирование[[#This Row],[ПНВ, часы]]</f>
        <v>0</v>
      </c>
      <c r="AC96" s="922">
        <f t="array" aca="1" ref="AC96" ca="1">IFERROR(
  IF(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окончены",
    MAX(IF(Хронология[Ключ]=Планирование[[#This Row],[Ключ]], Хронология[Подытог за операцию])),
    IF(
      Планирование[[#This Row],[Событие]]="Мех. бурение",
      (MAX(Хронология[Окончание]) - Планирование[[#This Row],[Начало (факт)]]) +
      (Планирование[[#This Row],[Забой, м (план)]] - Планирование[[#This Row],[Забой, м (факт)]]) /
      ((Планирование[[#This Row],[Забой, м (план)]] - V83)/Планирование[[#This Row],[Сутки (план)]]),
      IF(
        AND(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продолжаются",
          Планирование[[#This Row],[Начало (факт)]]&gt;0
        ),
        (TODAY()-Планирование[[#This Row],[Начало (факт)]]),
        IF(
          AND(Планирование[[#This Row],[Начало (факт)]]=0,
            Планирование[[#This Row],[Начало (план)]] &gt; MAX(Хронология[Начало])),
          Планирование[[#This Row],[Сутки (план)]],
          IF(
            AND((TODAY()-Планирование[[#This Row],[Начало (план)]])&gt;1,
              ISERR(MATCH(Планирование[[#This Row],[Ключ]], Хронология[Ключ], 0))),
            0,
            Планирование[[#This Row],[Сутки (план)]]
          )
        )
      )
    )
  ),
  Планирование[[#This Row],[Сутки (план)]]
)</f>
        <v>0</v>
      </c>
      <c r="AD96" s="922">
        <f ca="1">Планирование[[#This Row],[Сутки (факт)]]</f>
        <v>0</v>
      </c>
      <c r="AE96" s="923">
        <f t="array" ref="AE96">MAX(IF(Хронология[Ключ]=Планирование[[#This Row],[Ключ]], Хронология[Забой, м]))</f>
        <v>0</v>
      </c>
      <c r="AF96" s="914">
        <f ca="1">IFERROR(
    SUMIFS(
        Хронология[Часы],
        Хронология[Результат], "НПВ: нет в ГГД",
        Хронология[Начало], "&gt;=" &amp; Планирование[[#This Row],[Начало (факт)]],
        Хронология[Окончание], "&lt;=" &amp; Планирование[[#This Row],[Конец (факт, прогноз)]]
    ),
    0
)</f>
        <v>0</v>
      </c>
      <c r="AG96" s="914">
        <f ca="1">IFERROR(
    SUMIFS(
        Хронология[Часы],
        Хронология[Результат], "НПВ: нет в ГГД",
        Хронология[Начало], "&gt;=" &amp; Планирование[[#This Row],[Конец (факт, прогноз)]],
        Хронология[Окончание], "&lt;=" &amp; Y85
    ),
    0
)</f>
        <v>0</v>
      </c>
      <c r="AH96" s="919">
        <f ca="1">ROUND(IF(Планирование[[#This Row],[Часы (факт)]]-Планирование[[#This Row],[НПВ за операцию, часы]]-Планирование[[#This Row],[Часы (план)]] &lt;0, 0, Планирование[[#This Row],[Часы (факт)]]-Планирование[[#This Row],[НПВ за операцию, часы]]-Планирование[[#This Row],[Часы (план)]]), 2)</f>
        <v>0</v>
      </c>
      <c r="AI96" s="918" t="s">
        <v>1060</v>
      </c>
      <c r="AJ96" s="924">
        <f ca="1">Планирование[[#This Row],[Конец (план)]]-Планирование[[#This Row],[Конец (факт, прогноз)]]</f>
        <v>4.09416666666948</v>
      </c>
    </row>
    <row r="97" spans="1:36" s="915" customFormat="1" ht="30" customHeight="1">
      <c r="A97" s="909" t="s">
        <v>1110</v>
      </c>
      <c r="B97" s="910" t="s">
        <v>266</v>
      </c>
      <c r="C97" s="911"/>
      <c r="D97" s="911" t="s">
        <v>59</v>
      </c>
      <c r="E97" s="911" t="s">
        <v>58</v>
      </c>
      <c r="F97" s="911"/>
      <c r="G97" s="911" t="s">
        <v>78</v>
      </c>
      <c r="H97" s="911" t="s">
        <v>393</v>
      </c>
      <c r="I97" s="911" t="s">
        <v>86</v>
      </c>
      <c r="J97" s="911" t="s">
        <v>282</v>
      </c>
      <c r="K97" s="911"/>
      <c r="L97" s="911" t="str">
        <f>IF(Планирование[[#This Row],[Контекст простоя]]="Штатно", Планирование[[#This Row],[Скважина]] &amp; " " &amp; "ОК–" &amp;Планирование[[#This Row],[ОК]] &amp; " "  &amp; Планирование[[#This Row],[Этап]] &amp; " " &amp; Планирование[[#This Row],[Вид работ]] &amp; " " &amp; Планирование[[#This Row],[Объект работ]] &amp; " " &amp; Планирование[[#This Row],[Рейс]], Планирование[[#This Row],[Скважина]] &amp; " " &amp; "ОК–" &amp;Планирование[[#This Row],[ОК]] &amp; " " &amp; Планирование[[#This Row],[Этап]] &amp; " " &amp; Планирование[[#This Row],[Контекст простоя]] &amp; " " &amp; Планирование[[#This Row],[Событие]] &amp; " " &amp; Планирование[[#This Row],[Вид работ]] &amp; " " &amp; Планирование[[#This Row],[Объект работ]] &amp; " " &amp; Планирование[[#This Row],[Рейс]])</f>
        <v xml:space="preserve">600 ОК– ПР Работа комиссии ФА </v>
      </c>
      <c r="M97" s="912">
        <f ca="1">IF(Планирование[[#This Row],[Скважина]]&lt;&gt;B96,Планирование[[#This Row],[Начало (факт)]],N96)</f>
        <v>46179.1291666666</v>
      </c>
      <c r="N97" s="913">
        <f ca="1">Планирование[[#This Row],[Начало (цель)]]+Планирование[[#This Row],[Сутки (цель)]]</f>
        <v>46179.1291666666</v>
      </c>
      <c r="O97" s="914">
        <v>0</v>
      </c>
      <c r="Q97" s="916">
        <f>Планирование[[#This Row],[Часы (цель)]]/24</f>
        <v>0</v>
      </c>
      <c r="R97" s="916">
        <f>R96+Планирование[[#This Row],[Сутки (цель)]]</f>
        <v>4.2716666666666665</v>
      </c>
      <c r="S97" s="917">
        <f ca="1">Планирование[[#This Row],[Начало (цель)]]</f>
        <v>46179.1291666666</v>
      </c>
      <c r="T97" s="913">
        <f ca="1">Планирование[[#This Row],[Начало (план)]]+Планирование[[#This Row],[Сутки (план)]]</f>
        <v>46179.1291666666</v>
      </c>
      <c r="U97" s="914">
        <f>Планирование[[#This Row],[Часы (цель)]]</f>
        <v>0</v>
      </c>
      <c r="V97" s="918">
        <f>Планирование[[#This Row],[Забой, м (цель)]]</f>
        <v>0</v>
      </c>
      <c r="W97" s="916">
        <f>Планирование[[#This Row],[Часы (план)]]/24</f>
        <v>0</v>
      </c>
      <c r="X97" s="919">
        <f>X96+Планирование[[#This Row],[Сутки (план)]]</f>
        <v>4.2716666666666665</v>
      </c>
      <c r="Y97" s="912">
        <f t="array" aca="1" ref="Y97" ca="1">IFERROR(
    INDEX(Хронология[Начало], MATCH(1, (Хронология[Ключ]=Планирование[[#This Row],[Ключ]]) * (Хронология[Подытог за операцию]=MIN(IF(Хронология[Ключ]=Планирование[[#This Row],[Ключ]], Хронология[Подытог за операцию]))), 0)),
    Z83
)</f>
        <v>46174.857499999933</v>
      </c>
      <c r="Z97" s="920">
        <f t="array" aca="1" ref="Z97" ca="1">MAX(IFERROR(
    INDEX(Хронология[Окончание], MATCH(1, (Хронология[Ключ]=Планирование[[#This Row],[Ключ]]) * (Хронология[Подытог за операцию]=MAX(IF(Хронология[Ключ]=Планирование[[#This Row],[Ключ]], Хронология[Подытог за операцию]))), 0)),
    Y84+AC84
), Планирование[[#This Row],[Начало (факт)]]+Планирование[[#This Row],[Сутки (факт)]])</f>
        <v>46175.034999999931</v>
      </c>
      <c r="AA97" s="921">
        <f ca="1">IF(AND(Планирование[[#This Row],[Начало (факт)]]=Y98,Планирование[[#This Row],[Забой, м (факт)]]=AE98),0,Планирование[[#This Row],[Конец (факт, прогноз)]]-Планирование[[#This Row],[Начало (факт)]])</f>
        <v>0</v>
      </c>
      <c r="AB97" s="921">
        <f ca="1">Планирование[[#This Row],[Часы (факт)]]-Планирование[[#This Row],[НПВ за операцию, часы]]-Планирование[[#This Row],[ПНВ, часы]]</f>
        <v>0</v>
      </c>
      <c r="AC97" s="922">
        <f t="array" aca="1" ref="AC97" ca="1">IFERROR(
  IF(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окончены",
    MAX(IF(Хронология[Ключ]=Планирование[[#This Row],[Ключ]], Хронология[Подытог за операцию])),
    IF(
      Планирование[[#This Row],[Событие]]="Мех. бурение",
      (MAX(Хронология[Окончание]) - Планирование[[#This Row],[Начало (факт)]]) +
      (Планирование[[#This Row],[Забой, м (план)]] - Планирование[[#This Row],[Забой, м (факт)]]) /
      ((Планирование[[#This Row],[Забой, м (план)]] - V83)/Планирование[[#This Row],[Сутки (план)]]),
      IF(
        AND(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продолжаются",
          Планирование[[#This Row],[Начало (факт)]]&gt;0
        ),
        (TODAY()-Планирование[[#This Row],[Начало (факт)]]),
        IF(
          AND(Планирование[[#This Row],[Начало (факт)]]=0,
            Планирование[[#This Row],[Начало (план)]] &gt; MAX(Хронология[Начало])),
          Планирование[[#This Row],[Сутки (план)]],
          IF(
            AND((TODAY()-Планирование[[#This Row],[Начало (план)]])&gt;1,
              ISERR(MATCH(Планирование[[#This Row],[Ключ]], Хронология[Ключ], 0))),
            0,
            Планирование[[#This Row],[Сутки (план)]]
          )
        )
      )
    )
  ),
  Планирование[[#This Row],[Сутки (план)]]
)</f>
        <v>0</v>
      </c>
      <c r="AD97" s="922">
        <f ca="1">Планирование[[#This Row],[Сутки (факт)]]</f>
        <v>0</v>
      </c>
      <c r="AE97" s="923">
        <f t="array" ref="AE97">MAX(IF(Хронология[Ключ]=Планирование[[#This Row],[Ключ]], Хронология[Забой, м]))</f>
        <v>0</v>
      </c>
      <c r="AF97" s="914">
        <f ca="1">IFERROR(
    SUMIFS(
        Хронология[Часы],
        Хронология[Результат], "НПВ: нет в ГГД",
        Хронология[Начало], "&gt;=" &amp; Планирование[[#This Row],[Начало (факт)]],
        Хронология[Окончание], "&lt;=" &amp; Планирование[[#This Row],[Конец (факт, прогноз)]]
    ),
    0
)</f>
        <v>0</v>
      </c>
      <c r="AG97" s="914">
        <f ca="1">IFERROR(
    SUMIFS(
        Хронология[Часы],
        Хронология[Результат], "НПВ: нет в ГГД",
        Хронология[Начало], "&gt;=" &amp; Планирование[[#This Row],[Конец (факт, прогноз)]],
        Хронология[Окончание], "&lt;=" &amp; Y85
    ),
    0
)</f>
        <v>0</v>
      </c>
      <c r="AH97" s="919">
        <f ca="1">ROUND(IF(Планирование[[#This Row],[Часы (факт)]]-Планирование[[#This Row],[НПВ за операцию, часы]]-Планирование[[#This Row],[Часы (план)]] &lt;0, 0, Планирование[[#This Row],[Часы (факт)]]-Планирование[[#This Row],[НПВ за операцию, часы]]-Планирование[[#This Row],[Часы (план)]]), 2)</f>
        <v>0</v>
      </c>
      <c r="AI97" s="918" t="s">
        <v>1060</v>
      </c>
      <c r="AJ97" s="924">
        <f ca="1">Планирование[[#This Row],[Конец (план)]]-Планирование[[#This Row],[Конец (факт, прогноз)]]</f>
        <v>4.09416666666948</v>
      </c>
    </row>
    <row r="98" spans="1:36" s="915" customFormat="1" ht="30" customHeight="1">
      <c r="A98" s="909" t="s">
        <v>1111</v>
      </c>
      <c r="B98" s="910" t="s">
        <v>266</v>
      </c>
      <c r="C98" s="911"/>
      <c r="D98" s="911" t="s">
        <v>59</v>
      </c>
      <c r="E98" s="911" t="s">
        <v>58</v>
      </c>
      <c r="F98" s="911"/>
      <c r="G98" s="911" t="s">
        <v>78</v>
      </c>
      <c r="H98" s="911" t="s">
        <v>1112</v>
      </c>
      <c r="I98" s="911" t="s">
        <v>92</v>
      </c>
      <c r="J98" s="911" t="s">
        <v>513</v>
      </c>
      <c r="K98" s="911"/>
      <c r="L98" s="911" t="str">
        <f>IF(Планирование[[#This Row],[Контекст простоя]]="Штатно", Планирование[[#This Row],[Скважина]] &amp; " " &amp; "ОК–" &amp;Планирование[[#This Row],[ОК]] &amp; " "  &amp; Планирование[[#This Row],[Этап]] &amp; " " &amp; Планирование[[#This Row],[Вид работ]] &amp; " " &amp; Планирование[[#This Row],[Объект работ]] &amp; " " &amp; Планирование[[#This Row],[Рейс]], Планирование[[#This Row],[Скважина]] &amp; " " &amp; "ОК–" &amp;Планирование[[#This Row],[ОК]] &amp; " " &amp; Планирование[[#This Row],[Этап]] &amp; " " &amp; Планирование[[#This Row],[Контекст простоя]] &amp; " " &amp; Планирование[[#This Row],[Событие]] &amp; " " &amp; Планирование[[#This Row],[Вид работ]] &amp; " " &amp; Планирование[[#This Row],[Объект работ]] &amp; " " &amp; Планирование[[#This Row],[Рейс]])</f>
        <v xml:space="preserve">600 ОК– ПР Контроль ВИК НКТ </v>
      </c>
      <c r="M98" s="912">
        <f ca="1">IF(Планирование[[#This Row],[Скважина]]&lt;&gt;B97,Планирование[[#This Row],[Начало (факт)]],N97)</f>
        <v>46179.1291666666</v>
      </c>
      <c r="N98" s="913">
        <f ca="1">Планирование[[#This Row],[Начало (цель)]]+Планирование[[#This Row],[Сутки (цель)]]</f>
        <v>46179.1291666666</v>
      </c>
      <c r="O98" s="914">
        <v>0</v>
      </c>
      <c r="Q98" s="916">
        <f>Планирование[[#This Row],[Часы (цель)]]/24</f>
        <v>0</v>
      </c>
      <c r="R98" s="916">
        <f>R97+Планирование[[#This Row],[Сутки (цель)]]</f>
        <v>4.2716666666666665</v>
      </c>
      <c r="S98" s="917">
        <f ca="1">Планирование[[#This Row],[Начало (цель)]]</f>
        <v>46179.1291666666</v>
      </c>
      <c r="T98" s="913">
        <f ca="1">Планирование[[#This Row],[Начало (план)]]+Планирование[[#This Row],[Сутки (план)]]</f>
        <v>46179.1291666666</v>
      </c>
      <c r="U98" s="914">
        <f>Планирование[[#This Row],[Часы (цель)]]</f>
        <v>0</v>
      </c>
      <c r="V98" s="918">
        <f>Планирование[[#This Row],[Забой, м (цель)]]</f>
        <v>0</v>
      </c>
      <c r="W98" s="916">
        <f>Планирование[[#This Row],[Часы (план)]]/24</f>
        <v>0</v>
      </c>
      <c r="X98" s="919">
        <f>X97+Планирование[[#This Row],[Сутки (план)]]</f>
        <v>4.2716666666666665</v>
      </c>
      <c r="Y98" s="912">
        <f t="array" aca="1" ref="Y98" ca="1">IFERROR(
    INDEX(Хронология[Начало], MATCH(1, (Хронология[Ключ]=Планирование[[#This Row],[Ключ]]) * (Хронология[Подытог за операцию]=MIN(IF(Хронология[Ключ]=Планирование[[#This Row],[Ключ]], Хронология[Подытог за операцию]))), 0)),
    Z83
)</f>
        <v>46174.857499999933</v>
      </c>
      <c r="Z98" s="920">
        <f t="array" aca="1" ref="Z98" ca="1">MAX(IFERROR(
    INDEX(Хронология[Окончание], MATCH(1, (Хронология[Ключ]=Планирование[[#This Row],[Ключ]]) * (Хронология[Подытог за операцию]=MAX(IF(Хронология[Ключ]=Планирование[[#This Row],[Ключ]], Хронология[Подытог за операцию]))), 0)),
    Y84+AC84
), Планирование[[#This Row],[Начало (факт)]]+Планирование[[#This Row],[Сутки (факт)]])</f>
        <v>46175.034999999931</v>
      </c>
      <c r="AA98" s="921">
        <f ca="1">IF(AND(Планирование[[#This Row],[Начало (факт)]]=Y99,Планирование[[#This Row],[Забой, м (факт)]]=AE99),0,Планирование[[#This Row],[Конец (факт, прогноз)]]-Планирование[[#This Row],[Начало (факт)]])</f>
        <v>0</v>
      </c>
      <c r="AB98" s="921">
        <f ca="1">Планирование[[#This Row],[Часы (факт)]]-Планирование[[#This Row],[НПВ за операцию, часы]]-Планирование[[#This Row],[ПНВ, часы]]</f>
        <v>0</v>
      </c>
      <c r="AC98" s="922">
        <f t="array" aca="1" ref="AC98" ca="1">IFERROR(
  IF(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окончены",
    MAX(IF(Хронология[Ключ]=Планирование[[#This Row],[Ключ]], Хронология[Подытог за операцию])),
    IF(
      Планирование[[#This Row],[Событие]]="Мех. бурение",
      (MAX(Хронология[Окончание]) - Планирование[[#This Row],[Начало (факт)]]) +
      (Планирование[[#This Row],[Забой, м (план)]] - Планирование[[#This Row],[Забой, м (факт)]]) /
      ((Планирование[[#This Row],[Забой, м (план)]] - V83)/Планирование[[#This Row],[Сутки (план)]]),
      IF(
        AND(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продолжаются",
          Планирование[[#This Row],[Начало (факт)]]&gt;0
        ),
        (TODAY()-Планирование[[#This Row],[Начало (факт)]]),
        IF(
          AND(Планирование[[#This Row],[Начало (факт)]]=0,
            Планирование[[#This Row],[Начало (план)]] &gt; MAX(Хронология[Начало])),
          Планирование[[#This Row],[Сутки (план)]],
          IF(
            AND((TODAY()-Планирование[[#This Row],[Начало (план)]])&gt;1,
              ISERR(MATCH(Планирование[[#This Row],[Ключ]], Хронология[Ключ], 0))),
            0,
            Планирование[[#This Row],[Сутки (план)]]
          )
        )
      )
    )
  ),
  Планирование[[#This Row],[Сутки (план)]]
)</f>
        <v>0</v>
      </c>
      <c r="AD98" s="922">
        <f ca="1">Планирование[[#This Row],[Сутки (факт)]]</f>
        <v>0</v>
      </c>
      <c r="AE98" s="923">
        <f t="array" ref="AE98">MAX(IF(Хронология[Ключ]=Планирование[[#This Row],[Ключ]], Хронология[Забой, м]))</f>
        <v>0</v>
      </c>
      <c r="AF98" s="914">
        <f ca="1">IFERROR(
    SUMIFS(
        Хронология[Часы],
        Хронология[Результат], "НПВ: нет в ГГД",
        Хронология[Начало], "&gt;=" &amp; Планирование[[#This Row],[Начало (факт)]],
        Хронология[Окончание], "&lt;=" &amp; Планирование[[#This Row],[Конец (факт, прогноз)]]
    ),
    0
)</f>
        <v>0</v>
      </c>
      <c r="AG98" s="914">
        <f ca="1">IFERROR(
    SUMIFS(
        Хронология[Часы],
        Хронология[Результат], "НПВ: нет в ГГД",
        Хронология[Начало], "&gt;=" &amp; Планирование[[#This Row],[Конец (факт, прогноз)]],
        Хронология[Окончание], "&lt;=" &amp; Y85
    ),
    0
)</f>
        <v>0</v>
      </c>
      <c r="AH98" s="919">
        <f ca="1">ROUND(IF(Планирование[[#This Row],[Часы (факт)]]-Планирование[[#This Row],[НПВ за операцию, часы]]-Планирование[[#This Row],[Часы (план)]] &lt;0, 0, Планирование[[#This Row],[Часы (факт)]]-Планирование[[#This Row],[НПВ за операцию, часы]]-Планирование[[#This Row],[Часы (план)]]), 2)</f>
        <v>0</v>
      </c>
      <c r="AI98" s="918" t="s">
        <v>1060</v>
      </c>
      <c r="AJ98" s="924">
        <f ca="1">Планирование[[#This Row],[Конец (план)]]-Планирование[[#This Row],[Конец (факт, прогноз)]]</f>
        <v>4.09416666666948</v>
      </c>
    </row>
    <row r="99" spans="1:36" s="915" customFormat="1" ht="30" customHeight="1">
      <c r="A99" s="909" t="s">
        <v>1113</v>
      </c>
      <c r="B99" s="910" t="s">
        <v>266</v>
      </c>
      <c r="C99" s="911"/>
      <c r="D99" s="911" t="s">
        <v>59</v>
      </c>
      <c r="E99" s="911" t="s">
        <v>58</v>
      </c>
      <c r="F99" s="911"/>
      <c r="G99" s="911" t="s">
        <v>78</v>
      </c>
      <c r="H99" s="911" t="s">
        <v>1112</v>
      </c>
      <c r="I99" s="911" t="s">
        <v>86</v>
      </c>
      <c r="J99" s="911" t="s">
        <v>87</v>
      </c>
      <c r="K99" s="911"/>
      <c r="L99" s="911" t="str">
        <f>IF(Планирование[[#This Row],[Контекст простоя]]="Штатно", Планирование[[#This Row],[Скважина]] &amp; " " &amp; "ОК–" &amp;Планирование[[#This Row],[ОК]] &amp; " "  &amp; Планирование[[#This Row],[Этап]] &amp; " " &amp; Планирование[[#This Row],[Вид работ]] &amp; " " &amp; Планирование[[#This Row],[Объект работ]] &amp; " " &amp; Планирование[[#This Row],[Рейс]], Планирование[[#This Row],[Скважина]] &amp; " " &amp; "ОК–" &amp;Планирование[[#This Row],[ОК]] &amp; " " &amp; Планирование[[#This Row],[Этап]] &amp; " " &amp; Планирование[[#This Row],[Контекст простоя]] &amp; " " &amp; Планирование[[#This Row],[Событие]] &amp; " " &amp; Планирование[[#This Row],[Вид работ]] &amp; " " &amp; Планирование[[#This Row],[Объект работ]] &amp; " " &amp; Планирование[[#This Row],[Рейс]])</f>
        <v xml:space="preserve">600 ОК– ПР Контроль ВИК Планшайба </v>
      </c>
      <c r="M99" s="912">
        <f ca="1">IF(Планирование[[#This Row],[Скважина]]&lt;&gt;B98,Планирование[[#This Row],[Начало (факт)]],N98)</f>
        <v>46179.1291666666</v>
      </c>
      <c r="N99" s="913">
        <f ca="1">Планирование[[#This Row],[Начало (цель)]]+Планирование[[#This Row],[Сутки (цель)]]</f>
        <v>46179.1291666666</v>
      </c>
      <c r="O99" s="914">
        <v>0</v>
      </c>
      <c r="Q99" s="916">
        <f>Планирование[[#This Row],[Часы (цель)]]/24</f>
        <v>0</v>
      </c>
      <c r="R99" s="916">
        <f>R98+Планирование[[#This Row],[Сутки (цель)]]</f>
        <v>4.2716666666666665</v>
      </c>
      <c r="S99" s="917">
        <f ca="1">Планирование[[#This Row],[Начало (цель)]]</f>
        <v>46179.1291666666</v>
      </c>
      <c r="T99" s="913">
        <f ca="1">Планирование[[#This Row],[Начало (план)]]+Планирование[[#This Row],[Сутки (план)]]</f>
        <v>46179.1291666666</v>
      </c>
      <c r="U99" s="914">
        <f>Планирование[[#This Row],[Часы (цель)]]</f>
        <v>0</v>
      </c>
      <c r="V99" s="918">
        <f>Планирование[[#This Row],[Забой, м (цель)]]</f>
        <v>0</v>
      </c>
      <c r="W99" s="916">
        <f>Планирование[[#This Row],[Часы (план)]]/24</f>
        <v>0</v>
      </c>
      <c r="X99" s="919">
        <f>X98+Планирование[[#This Row],[Сутки (план)]]</f>
        <v>4.2716666666666665</v>
      </c>
      <c r="Y99" s="912">
        <f t="array" aca="1" ref="Y99" ca="1">IFERROR(
    INDEX(Хронология[Начало], MATCH(1, (Хронология[Ключ]=Планирование[[#This Row],[Ключ]]) * (Хронология[Подытог за операцию]=MIN(IF(Хронология[Ключ]=Планирование[[#This Row],[Ключ]], Хронология[Подытог за операцию]))), 0)),
    Z83
)</f>
        <v>46174.857499999933</v>
      </c>
      <c r="Z99" s="920">
        <f t="array" aca="1" ref="Z99" ca="1">MAX(IFERROR(
    INDEX(Хронология[Окончание], MATCH(1, (Хронология[Ключ]=Планирование[[#This Row],[Ключ]]) * (Хронология[Подытог за операцию]=MAX(IF(Хронология[Ключ]=Планирование[[#This Row],[Ключ]], Хронология[Подытог за операцию]))), 0)),
    Y84+AC84
), Планирование[[#This Row],[Начало (факт)]]+Планирование[[#This Row],[Сутки (факт)]])</f>
        <v>46175.034999999931</v>
      </c>
      <c r="AA99" s="921">
        <f ca="1">IF(AND(Планирование[[#This Row],[Начало (факт)]]=Y100,Планирование[[#This Row],[Забой, м (факт)]]=AE100),0,Планирование[[#This Row],[Конец (факт, прогноз)]]-Планирование[[#This Row],[Начало (факт)]])</f>
        <v>0.17749999999796273</v>
      </c>
      <c r="AB99" s="921">
        <f ca="1">Планирование[[#This Row],[Часы (факт)]]-Планирование[[#This Row],[НПВ за операцию, часы]]-Планирование[[#This Row],[ПНВ, часы]]</f>
        <v>-2.5000000020372615E-3</v>
      </c>
      <c r="AC99" s="922">
        <f t="array" aca="1" ref="AC99" ca="1">IFERROR(
  IF(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окончены",
    MAX(IF(Хронология[Ключ]=Планирование[[#This Row],[Ключ]], Хронология[Подытог за операцию])),
    IF(
      Планирование[[#This Row],[Событие]]="Мех. бурение",
      (MAX(Хронология[Окончание]) - Планирование[[#This Row],[Начало (факт)]]) +
      (Планирование[[#This Row],[Забой, м (план)]] - Планирование[[#This Row],[Забой, м (факт)]]) /
      ((Планирование[[#This Row],[Забой, м (план)]] - V83)/Планирование[[#This Row],[Сутки (план)]]),
      IF(
        AND(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продолжаются",
          Планирование[[#This Row],[Начало (факт)]]&gt;0
        ),
        (TODAY()-Планирование[[#This Row],[Начало (факт)]]),
        IF(
          AND(Планирование[[#This Row],[Начало (факт)]]=0,
            Планирование[[#This Row],[Начало (план)]] &gt; MAX(Хронология[Начало])),
          Планирование[[#This Row],[Сутки (план)]],
          IF(
            AND((TODAY()-Планирование[[#This Row],[Начало (план)]])&gt;1,
              ISERR(MATCH(Планирование[[#This Row],[Ключ]], Хронология[Ключ], 0))),
            0,
            Планирование[[#This Row],[Сутки (план)]]
          )
        )
      )
    )
  ),
  Планирование[[#This Row],[Сутки (план)]]
)</f>
        <v>0</v>
      </c>
      <c r="AD99" s="922">
        <f ca="1">Планирование[[#This Row],[Сутки (факт)]]</f>
        <v>0</v>
      </c>
      <c r="AE99" s="923">
        <f t="array" ref="AE99">MAX(IF(Хронология[Ключ]=Планирование[[#This Row],[Ключ]], Хронология[Забой, м]))</f>
        <v>0</v>
      </c>
      <c r="AF99" s="914">
        <f ca="1">IFERROR(
    SUMIFS(
        Хронология[Часы],
        Хронология[Результат], "НПВ: нет в ГГД",
        Хронология[Начало], "&gt;=" &amp; Планирование[[#This Row],[Начало (факт)]],
        Хронология[Окончание], "&lt;=" &amp; Планирование[[#This Row],[Конец (факт, прогноз)]]
    ),
    0
)</f>
        <v>0</v>
      </c>
      <c r="AG99" s="914">
        <f ca="1">IFERROR(
    SUMIFS(
        Хронология[Часы],
        Хронология[Результат], "НПВ: нет в ГГД",
        Хронология[Начало], "&gt;=" &amp; Планирование[[#This Row],[Конец (факт, прогноз)]],
        Хронология[Окончание], "&lt;=" &amp; Y85
    ),
    0
)</f>
        <v>0</v>
      </c>
      <c r="AH99" s="919">
        <f ca="1">ROUND(IF(Планирование[[#This Row],[Часы (факт)]]-Планирование[[#This Row],[НПВ за операцию, часы]]-Планирование[[#This Row],[Часы (план)]] &lt;0, 0, Планирование[[#This Row],[Часы (факт)]]-Планирование[[#This Row],[НПВ за операцию, часы]]-Планирование[[#This Row],[Часы (план)]]), 2)</f>
        <v>0.18</v>
      </c>
      <c r="AI99" s="918" t="s">
        <v>1060</v>
      </c>
      <c r="AJ99" s="924">
        <f ca="1">Планирование[[#This Row],[Конец (план)]]-Планирование[[#This Row],[Конец (факт, прогноз)]]</f>
        <v>4.09416666666948</v>
      </c>
    </row>
    <row r="100" spans="1:36" s="915" customFormat="1" ht="30" customHeight="1">
      <c r="A100" s="909" t="s">
        <v>283</v>
      </c>
      <c r="B100" s="910" t="s">
        <v>266</v>
      </c>
      <c r="C100" s="911"/>
      <c r="D100" s="911" t="s">
        <v>57</v>
      </c>
      <c r="E100" s="911" t="s">
        <v>58</v>
      </c>
      <c r="F100" s="911"/>
      <c r="G100" s="911" t="s">
        <v>69</v>
      </c>
      <c r="H100" s="911" t="s">
        <v>108</v>
      </c>
      <c r="I100" s="911" t="s">
        <v>86</v>
      </c>
      <c r="J100" s="911" t="s">
        <v>282</v>
      </c>
      <c r="K100" s="911"/>
      <c r="L100" s="911" t="str">
        <f>IF(Планирование[[#This Row],[Контекст простоя]]="Штатно", Планирование[[#This Row],[Скважина]] &amp; " " &amp; "ОК–" &amp;Планирование[[#This Row],[ОК]] &amp; " "  &amp; Планирование[[#This Row],[Этап]] &amp; " " &amp; Планирование[[#This Row],[Вид работ]] &amp; " " &amp; Планирование[[#This Row],[Объект работ]] &amp; " " &amp; Планирование[[#This Row],[Рейс]], Планирование[[#This Row],[Скважина]] &amp; " " &amp; "ОК–" &amp;Планирование[[#This Row],[ОК]] &amp; " " &amp; Планирование[[#This Row],[Этап]] &amp; " " &amp; Планирование[[#This Row],[Контекст простоя]] &amp; " " &amp; Планирование[[#This Row],[Событие]] &amp; " " &amp; Планирование[[#This Row],[Вид работ]] &amp; " " &amp; Планирование[[#This Row],[Объект работ]] &amp; " " &amp; Планирование[[#This Row],[Рейс]])</f>
        <v xml:space="preserve">600 ОК– ДПМ Демонтаж ФА </v>
      </c>
      <c r="M100" s="912">
        <f ca="1">IF(Планирование[[#This Row],[Скважина]]&lt;&gt;B99,Планирование[[#This Row],[Начало (факт)]],N99)</f>
        <v>46179.1291666666</v>
      </c>
      <c r="N100" s="913">
        <f ca="1">Планирование[[#This Row],[Начало (цель)]]+Планирование[[#This Row],[Сутки (цель)]]</f>
        <v>46179.149999999936</v>
      </c>
      <c r="O100" s="914">
        <v>0.5</v>
      </c>
      <c r="Q100" s="916">
        <f>Планирование[[#This Row],[Часы (цель)]]/24</f>
        <v>2.0833333333333332E-2</v>
      </c>
      <c r="R100" s="916">
        <f>R99+Планирование[[#This Row],[Сутки (цель)]]</f>
        <v>4.2924999999999995</v>
      </c>
      <c r="S100" s="917">
        <f ca="1">Планирование[[#This Row],[Начало (цель)]]</f>
        <v>46179.1291666666</v>
      </c>
      <c r="T100" s="913">
        <f ca="1">Планирование[[#This Row],[Начало (план)]]+Планирование[[#This Row],[Сутки (план)]]</f>
        <v>46179.149999999936</v>
      </c>
      <c r="U100" s="914">
        <f>Планирование[[#This Row],[Часы (цель)]]</f>
        <v>0.5</v>
      </c>
      <c r="V100" s="918">
        <f>Планирование[[#This Row],[Забой, м (цель)]]</f>
        <v>0</v>
      </c>
      <c r="W100" s="916">
        <f>Планирование[[#This Row],[Часы (план)]]/24</f>
        <v>2.0833333333333332E-2</v>
      </c>
      <c r="X100" s="919">
        <f>X99+Планирование[[#This Row],[Сутки (план)]]</f>
        <v>4.2924999999999995</v>
      </c>
      <c r="Y100" s="912">
        <f t="array" ref="Y100">IFERROR(
    INDEX(Хронология[Начало], MATCH(1, (Хронология[Ключ]=Планирование[[#This Row],[Ключ]]) * (Хронология[Подытог за операцию]=MIN(IF(Хронология[Ключ]=Планирование[[#This Row],[Ключ]], Хронология[Подытог за операцию]))), 0)),
    Z83
)</f>
        <v>46176.291666666591</v>
      </c>
      <c r="Z100" s="920">
        <f t="array" aca="1" ref="Z100" ca="1">MAX(IFERROR(
    INDEX(Хронология[Окончание], MATCH(1, (Хронология[Ключ]=Планирование[[#This Row],[Ключ]]) * (Хронология[Подытог за операцию]=MAX(IF(Хронология[Ключ]=Планирование[[#This Row],[Ключ]], Хронология[Подытог за операцию]))), 0)),
    Y84+AC84
), Планирование[[#This Row],[Начало (факт)]]+Планирование[[#This Row],[Сутки (факт)]])</f>
        <v>46176.499999999927</v>
      </c>
      <c r="AA100" s="921">
        <f ca="1">IF(AND(Планирование[[#This Row],[Начало (факт)]]=Y101,Планирование[[#This Row],[Забой, м (факт)]]=AE101),0,Планирование[[#This Row],[Конец (факт, прогноз)]]-Планирование[[#This Row],[Начало (факт)]])</f>
        <v>0.20833333333575865</v>
      </c>
      <c r="AB100" s="921">
        <f ca="1">Планирование[[#This Row],[Часы (факт)]]-Планирование[[#This Row],[НПВ за операцию, часы]]-Планирование[[#This Row],[ПНВ, часы]]</f>
        <v>0.20833333333575865</v>
      </c>
      <c r="AC100" s="922">
        <f t="array" aca="1" ref="AC100" ca="1">IFERROR(
  IF(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окончены",
    MAX(IF(Хронология[Ключ]=Планирование[[#This Row],[Ключ]], Хронология[Подытог за операцию])),
    IF(
      Планирование[[#This Row],[Событие]]="Мех. бурение",
      (MAX(Хронология[Окончание]) - Планирование[[#This Row],[Начало (факт)]]) +
      (Планирование[[#This Row],[Забой, м (план)]] - Планирование[[#This Row],[Забой, м (факт)]]) /
      ((Планирование[[#This Row],[Забой, м (план)]] - V83)/Планирование[[#This Row],[Сутки (план)]]),
      IF(
        AND(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продолжаются",
          Планирование[[#This Row],[Начало (факт)]]&gt;0
        ),
        (TODAY()-Планирование[[#This Row],[Начало (факт)]]),
        IF(
          AND(Планирование[[#This Row],[Начало (факт)]]=0,
            Планирование[[#This Row],[Начало (план)]] &gt; MAX(Хронология[Начало])),
          Планирование[[#This Row],[Сутки (план)]],
          IF(
            AND((TODAY()-Планирование[[#This Row],[Начало (план)]])&gt;1,
              ISERR(MATCH(Планирование[[#This Row],[Ключ]], Хронология[Ключ], 0))),
            0,
            Планирование[[#This Row],[Сутки (план)]]
          )
        )
      )
    )
  ),
  Планирование[[#This Row],[Сутки (план)]]
)</f>
        <v>0.20833333333333334</v>
      </c>
      <c r="AD100" s="922">
        <f ca="1">Планирование[[#This Row],[Сутки (факт)]]</f>
        <v>0.20833333333333334</v>
      </c>
      <c r="AE100" s="923">
        <f t="array" ref="AE100">MAX(IF(Хронология[Ключ]=Планирование[[#This Row],[Ключ]], Хронология[Забой, м]))</f>
        <v>2758.16</v>
      </c>
      <c r="AF100" s="914">
        <f ca="1">IFERROR(
    SUMIFS(
        Хронология[Часы],
        Хронология[Результат], "НПВ: нет в ГГД",
        Хронология[Начало], "&gt;=" &amp; Планирование[[#This Row],[Начало (факт)]],
        Хронология[Окончание], "&lt;=" &amp; Планирование[[#This Row],[Конец (факт, прогноз)]]
    ),
    0
)</f>
        <v>0</v>
      </c>
      <c r="AG100" s="914">
        <f ca="1">IFERROR(
    SUMIFS(
        Хронология[Часы],
        Хронология[Результат], "НПВ: нет в ГГД",
        Хронология[Начало], "&gt;=" &amp; Планирование[[#This Row],[Конец (факт, прогноз)]],
        Хронология[Окончание], "&lt;=" &amp; Y85
    ),
    0
)</f>
        <v>0</v>
      </c>
      <c r="AH100" s="919">
        <f ca="1">ROUND(IF(Планирование[[#This Row],[Часы (факт)]]-Планирование[[#This Row],[НПВ за операцию, часы]]-Планирование[[#This Row],[Часы (план)]] &lt;0, 0, Планирование[[#This Row],[Часы (факт)]]-Планирование[[#This Row],[НПВ за операцию, часы]]-Планирование[[#This Row],[Часы (план)]]), 2)</f>
        <v>0</v>
      </c>
      <c r="AI100" s="918" t="s">
        <v>1060</v>
      </c>
      <c r="AJ100" s="924">
        <f ca="1">Планирование[[#This Row],[Конец (план)]]-Планирование[[#This Row],[Конец (факт, прогноз)]]</f>
        <v>2.6500000000087311</v>
      </c>
    </row>
    <row r="101" spans="1:36" s="915" customFormat="1" ht="30" customHeight="1">
      <c r="A101" s="909" t="s">
        <v>1114</v>
      </c>
      <c r="B101" s="910" t="s">
        <v>266</v>
      </c>
      <c r="C101" s="911"/>
      <c r="D101" s="911" t="s">
        <v>57</v>
      </c>
      <c r="E101" s="911" t="s">
        <v>58</v>
      </c>
      <c r="F101" s="911"/>
      <c r="G101" s="911" t="s">
        <v>69</v>
      </c>
      <c r="H101" s="911" t="s">
        <v>70</v>
      </c>
      <c r="I101" s="911" t="s">
        <v>86</v>
      </c>
      <c r="J101" s="911" t="s">
        <v>161</v>
      </c>
      <c r="K101" s="911"/>
      <c r="L101" s="911" t="str">
        <f>IF(Планирование[[#This Row],[Контекст простоя]]="Штатно", Планирование[[#This Row],[Скважина]] &amp; " " &amp; "ОК–" &amp;Планирование[[#This Row],[ОК]] &amp; " "  &amp; Планирование[[#This Row],[Этап]] &amp; " " &amp; Планирование[[#This Row],[Вид работ]] &amp; " " &amp; Планирование[[#This Row],[Объект работ]] &amp; " " &amp; Планирование[[#This Row],[Рейс]], Планирование[[#This Row],[Скважина]] &amp; " " &amp; "ОК–" &amp;Планирование[[#This Row],[ОК]] &amp; " " &amp; Планирование[[#This Row],[Этап]] &amp; " " &amp; Планирование[[#This Row],[Контекст простоя]] &amp; " " &amp; Планирование[[#This Row],[Событие]] &amp; " " &amp; Планирование[[#This Row],[Вид работ]] &amp; " " &amp; Планирование[[#This Row],[Объект работ]] &amp; " " &amp; Планирование[[#This Row],[Рейс]])</f>
        <v xml:space="preserve">600 ОК– ДПМ Монтаж ПВО </v>
      </c>
      <c r="M101" s="912">
        <f ca="1">IF(Планирование[[#This Row],[Скважина]]&lt;&gt;B100,Планирование[[#This Row],[Начало (факт)]],N100)</f>
        <v>46179.149999999936</v>
      </c>
      <c r="N101" s="913">
        <f ca="1">Планирование[[#This Row],[Начало (цель)]]+Планирование[[#This Row],[Сутки (цель)]]</f>
        <v>46179.274999999936</v>
      </c>
      <c r="O101" s="914">
        <v>3</v>
      </c>
      <c r="Q101" s="916">
        <f>Планирование[[#This Row],[Часы (цель)]]/24</f>
        <v>0.125</v>
      </c>
      <c r="R101" s="916">
        <f>R100+Планирование[[#This Row],[Сутки (цель)]]</f>
        <v>4.4174999999999995</v>
      </c>
      <c r="S101" s="917">
        <f ca="1">Планирование[[#This Row],[Начало (цель)]]</f>
        <v>46179.149999999936</v>
      </c>
      <c r="T101" s="913">
        <f ca="1">Планирование[[#This Row],[Начало (план)]]+Планирование[[#This Row],[Сутки (план)]]</f>
        <v>46179.274999999936</v>
      </c>
      <c r="U101" s="914">
        <f>Планирование[[#This Row],[Часы (цель)]]</f>
        <v>3</v>
      </c>
      <c r="V101" s="918">
        <f>Планирование[[#This Row],[Забой, м (цель)]]</f>
        <v>0</v>
      </c>
      <c r="W101" s="916">
        <f>Планирование[[#This Row],[Часы (план)]]/24</f>
        <v>0.125</v>
      </c>
      <c r="X101" s="919">
        <f>X100+Планирование[[#This Row],[Сутки (план)]]</f>
        <v>4.4174999999999995</v>
      </c>
      <c r="Y101" s="912">
        <f t="array" aca="1" ref="Y101" ca="1">IFERROR(
    INDEX(Хронология[Начало], MATCH(1, (Хронология[Ключ]=Планирование[[#This Row],[Ключ]]) * (Хронология[Подытог за операцию]=MIN(IF(Хронология[Ключ]=Планирование[[#This Row],[Ключ]], Хронология[Подытог за операцию]))), 0)),
    Z83
)</f>
        <v>46174.857499999933</v>
      </c>
      <c r="Z101" s="920">
        <f t="array" aca="1" ref="Z101" ca="1">MAX(IFERROR(
    INDEX(Хронология[Окончание], MATCH(1, (Хронология[Ключ]=Планирование[[#This Row],[Ключ]]) * (Хронология[Подытог за операцию]=MAX(IF(Хронология[Ключ]=Планирование[[#This Row],[Ключ]], Хронология[Подытог за операцию]))), 0)),
    Y84+AC84
), Планирование[[#This Row],[Начало (факт)]]+Планирование[[#This Row],[Сутки (факт)]])</f>
        <v>46175.034999999931</v>
      </c>
      <c r="AA101" s="921">
        <f ca="1">IF(AND(Планирование[[#This Row],[Начало (факт)]]=Y102,Планирование[[#This Row],[Забой, м (факт)]]=AE102),0,Планирование[[#This Row],[Конец (факт, прогноз)]]-Планирование[[#This Row],[Начало (факт)]])</f>
        <v>0.17749999999796273</v>
      </c>
      <c r="AB101" s="921">
        <f ca="1">Планирование[[#This Row],[Часы (факт)]]-Планирование[[#This Row],[НПВ за операцию, часы]]-Планирование[[#This Row],[ПНВ, часы]]</f>
        <v>0.17749999999796273</v>
      </c>
      <c r="AC101" s="922">
        <f t="array" aca="1" ref="AC101" ca="1">IFERROR(
  IF(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окончены",
    MAX(IF(Хронология[Ключ]=Планирование[[#This Row],[Ключ]], Хронология[Подытог за операцию])),
    IF(
      Планирование[[#This Row],[Событие]]="Мех. бурение",
      (MAX(Хронология[Окончание]) - Планирование[[#This Row],[Начало (факт)]]) +
      (Планирование[[#This Row],[Забой, м (план)]] - Планирование[[#This Row],[Забой, м (факт)]]) /
      ((Планирование[[#This Row],[Забой, м (план)]] - V83)/Планирование[[#This Row],[Сутки (план)]]),
      IF(
        AND(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продолжаются",
          Планирование[[#This Row],[Начало (факт)]]&gt;0
        ),
        (TODAY()-Планирование[[#This Row],[Начало (факт)]]),
        IF(
          AND(Планирование[[#This Row],[Начало (факт)]]=0,
            Планирование[[#This Row],[Начало (план)]] &gt; MAX(Хронология[Начало])),
          Планирование[[#This Row],[Сутки (план)]],
          IF(
            AND((TODAY()-Планирование[[#This Row],[Начало (план)]])&gt;1,
              ISERR(MATCH(Планирование[[#This Row],[Ключ]], Хронология[Ключ], 0))),
            0,
            Планирование[[#This Row],[Сутки (план)]]
          )
        )
      )
    )
  ),
  Планирование[[#This Row],[Сутки (план)]]
)</f>
        <v>0.125</v>
      </c>
      <c r="AD101" s="922">
        <f ca="1">Планирование[[#This Row],[Сутки (факт)]]</f>
        <v>0.125</v>
      </c>
      <c r="AE101" s="923">
        <f t="array" ref="AE101">MAX(IF(Хронология[Ключ]=Планирование[[#This Row],[Ключ]], Хронология[Забой, м]))</f>
        <v>0</v>
      </c>
      <c r="AF101" s="914">
        <f ca="1">IFERROR(
    SUMIFS(
        Хронология[Часы],
        Хронология[Результат], "НПВ: нет в ГГД",
        Хронология[Начало], "&gt;=" &amp; Планирование[[#This Row],[Начало (факт)]],
        Хронология[Окончание], "&lt;=" &amp; Планирование[[#This Row],[Конец (факт, прогноз)]]
    ),
    0
)</f>
        <v>0</v>
      </c>
      <c r="AG101" s="914">
        <f ca="1">IFERROR(
    SUMIFS(
        Хронология[Часы],
        Хронология[Результат], "НПВ: нет в ГГД",
        Хронология[Начало], "&gt;=" &amp; Планирование[[#This Row],[Конец (факт, прогноз)]],
        Хронология[Окончание], "&lt;=" &amp; Y85
    ),
    0
)</f>
        <v>0</v>
      </c>
      <c r="AH101" s="919">
        <f ca="1">ROUND(IF(Планирование[[#This Row],[Часы (факт)]]-Планирование[[#This Row],[НПВ за операцию, часы]]-Планирование[[#This Row],[Часы (план)]] &lt;0, 0, Планирование[[#This Row],[Часы (факт)]]-Планирование[[#This Row],[НПВ за операцию, часы]]-Планирование[[#This Row],[Часы (план)]]), 2)</f>
        <v>0</v>
      </c>
      <c r="AI101" s="918" t="s">
        <v>1060</v>
      </c>
      <c r="AJ101" s="924">
        <f ca="1">Планирование[[#This Row],[Конец (план)]]-Планирование[[#This Row],[Конец (факт, прогноз)]]</f>
        <v>4.2400000000052387</v>
      </c>
    </row>
    <row r="102" spans="1:36" s="915" customFormat="1" ht="30" customHeight="1">
      <c r="A102" s="909" t="s">
        <v>360</v>
      </c>
      <c r="B102" s="910" t="s">
        <v>266</v>
      </c>
      <c r="C102" s="911"/>
      <c r="D102" s="911" t="s">
        <v>59</v>
      </c>
      <c r="E102" s="911" t="s">
        <v>58</v>
      </c>
      <c r="F102" s="911"/>
      <c r="G102" s="911" t="s">
        <v>169</v>
      </c>
      <c r="H102" s="911" t="s">
        <v>150</v>
      </c>
      <c r="I102" s="911" t="s">
        <v>86</v>
      </c>
      <c r="J102" s="911" t="s">
        <v>161</v>
      </c>
      <c r="K102" s="911"/>
      <c r="L102" s="911" t="str">
        <f>IF(Планирование[[#This Row],[Контекст простоя]]="Штатно", Планирование[[#This Row],[Скважина]] &amp; " " &amp; "ОК–" &amp;Планирование[[#This Row],[ОК]] &amp; " "  &amp; Планирование[[#This Row],[Этап]] &amp; " " &amp; Планирование[[#This Row],[Вид работ]] &amp; " " &amp; Планирование[[#This Row],[Объект работ]] &amp; " " &amp; Планирование[[#This Row],[Рейс]], Планирование[[#This Row],[Скважина]] &amp; " " &amp; "ОК–" &amp;Планирование[[#This Row],[ОК]] &amp; " " &amp; Планирование[[#This Row],[Этап]] &amp; " " &amp; Планирование[[#This Row],[Контекст простоя]] &amp; " " &amp; Планирование[[#This Row],[Событие]] &amp; " " &amp; Планирование[[#This Row],[Вид работ]] &amp; " " &amp; Планирование[[#This Row],[Объект работ]] &amp; " " &amp; Планирование[[#This Row],[Рейс]])</f>
        <v xml:space="preserve">600 ОК– ПР Опрессовка ПВО </v>
      </c>
      <c r="M102" s="912">
        <f ca="1">IF(Планирование[[#This Row],[Скважина]]&lt;&gt;B101,Планирование[[#This Row],[Начало (факт)]],N101)</f>
        <v>46179.274999999936</v>
      </c>
      <c r="N102" s="913">
        <f ca="1">Планирование[[#This Row],[Начало (цель)]]+Планирование[[#This Row],[Сутки (цель)]]</f>
        <v>46179.274999999936</v>
      </c>
      <c r="O102" s="914">
        <v>0</v>
      </c>
      <c r="Q102" s="916">
        <f>Планирование[[#This Row],[Часы (цель)]]/24</f>
        <v>0</v>
      </c>
      <c r="R102" s="916">
        <f>R101+Планирование[[#This Row],[Сутки (цель)]]</f>
        <v>4.4174999999999995</v>
      </c>
      <c r="S102" s="917">
        <f ca="1">Планирование[[#This Row],[Начало (цель)]]</f>
        <v>46179.274999999936</v>
      </c>
      <c r="T102" s="913">
        <f ca="1">Планирование[[#This Row],[Начало (план)]]+Планирование[[#This Row],[Сутки (план)]]</f>
        <v>46179.274999999936</v>
      </c>
      <c r="U102" s="914">
        <f>Планирование[[#This Row],[Часы (цель)]]</f>
        <v>0</v>
      </c>
      <c r="V102" s="918">
        <f>Планирование[[#This Row],[Забой, м (цель)]]</f>
        <v>0</v>
      </c>
      <c r="W102" s="916">
        <f>Планирование[[#This Row],[Часы (план)]]/24</f>
        <v>0</v>
      </c>
      <c r="X102" s="919">
        <f>X101+Планирование[[#This Row],[Сутки (план)]]</f>
        <v>4.4174999999999995</v>
      </c>
      <c r="Y102" s="912">
        <f t="array" ref="Y102">IFERROR(
    INDEX(Хронология[Начало], MATCH(1, (Хронология[Ключ]=Планирование[[#This Row],[Ключ]]) * (Хронология[Подытог за операцию]=MIN(IF(Хронология[Ключ]=Планирование[[#This Row],[Ключ]], Хронология[Подытог за операцию]))), 0)),
    Z83
)</f>
        <v>46184.499999999869</v>
      </c>
      <c r="Z102" s="920">
        <f t="array" aca="1" ref="Z102" ca="1">MAX(IFERROR(
    INDEX(Хронология[Окончание], MATCH(1, (Хронология[Ключ]=Планирование[[#This Row],[Ключ]]) * (Хронология[Подытог за операцию]=MAX(IF(Хронология[Ключ]=Планирование[[#This Row],[Ключ]], Хронология[Подытог за операцию]))), 0)),
    Y84+AC84
), Планирование[[#This Row],[Начало (факт)]]+Планирование[[#This Row],[Сутки (факт)]])</f>
        <v>46184.666666666533</v>
      </c>
      <c r="AA102" s="921">
        <f ca="1">IF(AND(Планирование[[#This Row],[Начало (факт)]]=Y103,Планирование[[#This Row],[Забой, м (факт)]]=AE103),0,Планирование[[#This Row],[Конец (факт, прогноз)]]-Планирование[[#This Row],[Начало (факт)]])</f>
        <v>0.16666666666424135</v>
      </c>
      <c r="AB102" s="921">
        <f ca="1">Планирование[[#This Row],[Часы (факт)]]-Планирование[[#This Row],[НПВ за операцию, часы]]-Планирование[[#This Row],[ПНВ, часы]]</f>
        <v>-3.3333333357586648E-3</v>
      </c>
      <c r="AC102" s="922">
        <f t="array" aca="1" ref="AC102" ca="1">IFERROR(
  IF(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окончены",
    MAX(IF(Хронология[Ключ]=Планирование[[#This Row],[Ключ]], Хронология[Подытог за операцию])),
    IF(
      Планирование[[#This Row],[Событие]]="Мех. бурение",
      (MAX(Хронология[Окончание]) - Планирование[[#This Row],[Начало (факт)]]) +
      (Планирование[[#This Row],[Забой, м (план)]] - Планирование[[#This Row],[Забой, м (факт)]]) /
      ((Планирование[[#This Row],[Забой, м (план)]] - V83)/Планирование[[#This Row],[Сутки (план)]]),
      IF(
        AND(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продолжаются",
          Планирование[[#This Row],[Начало (факт)]]&gt;0
        ),
        (TODAY()-Планирование[[#This Row],[Начало (факт)]]),
        IF(
          AND(Планирование[[#This Row],[Начало (факт)]]=0,
            Планирование[[#This Row],[Начало (план)]] &gt; MAX(Хронология[Начало])),
          Планирование[[#This Row],[Сутки (план)]],
          IF(
            AND((TODAY()-Планирование[[#This Row],[Начало (план)]])&gt;1,
              ISERR(MATCH(Планирование[[#This Row],[Ключ]], Хронология[Ключ], 0))),
            0,
            Планирование[[#This Row],[Сутки (план)]]
          )
        )
      )
    )
  ),
  Планирование[[#This Row],[Сутки (план)]]
)</f>
        <v>0.16666666666666666</v>
      </c>
      <c r="AD102" s="922">
        <f ca="1">Планирование[[#This Row],[Сутки (факт)]]</f>
        <v>0.16666666666666666</v>
      </c>
      <c r="AE102" s="923">
        <f t="array" ref="AE102">MAX(IF(Хронология[Ключ]=Планирование[[#This Row],[Ключ]], Хронология[Забой, м]))</f>
        <v>2758.16</v>
      </c>
      <c r="AF102" s="914">
        <f ca="1">IFERROR(
    SUMIFS(
        Хронология[Часы],
        Хронология[Результат], "НПВ: нет в ГГД",
        Хронология[Начало], "&gt;=" &amp; Планирование[[#This Row],[Начало (факт)]],
        Хронология[Окончание], "&lt;=" &amp; Планирование[[#This Row],[Конец (факт, прогноз)]]
    ),
    0
)</f>
        <v>0</v>
      </c>
      <c r="AG102" s="914">
        <f ca="1">IFERROR(
    SUMIFS(
        Хронология[Часы],
        Хронология[Результат], "НПВ: нет в ГГД",
        Хронология[Начало], "&gt;=" &amp; Планирование[[#This Row],[Конец (факт, прогноз)]],
        Хронология[Окончание], "&lt;=" &amp; Y85
    ),
    0
)</f>
        <v>0</v>
      </c>
      <c r="AH102" s="919">
        <f ca="1">ROUND(IF(Планирование[[#This Row],[Часы (факт)]]-Планирование[[#This Row],[НПВ за операцию, часы]]-Планирование[[#This Row],[Часы (план)]] &lt;0, 0, Планирование[[#This Row],[Часы (факт)]]-Планирование[[#This Row],[НПВ за операцию, часы]]-Планирование[[#This Row],[Часы (план)]]), 2)</f>
        <v>0.17</v>
      </c>
      <c r="AI102" s="918" t="s">
        <v>1060</v>
      </c>
      <c r="AJ102" s="924">
        <f ca="1">Планирование[[#This Row],[Конец (план)]]-Планирование[[#This Row],[Конец (факт, прогноз)]]</f>
        <v>-5.3916666665973025</v>
      </c>
    </row>
    <row r="103" spans="1:36" s="915" customFormat="1" ht="30" customHeight="1">
      <c r="A103" s="909" t="s">
        <v>1115</v>
      </c>
      <c r="B103" s="910" t="s">
        <v>266</v>
      </c>
      <c r="C103" s="911"/>
      <c r="D103" s="911" t="s">
        <v>59</v>
      </c>
      <c r="E103" s="911" t="s">
        <v>58</v>
      </c>
      <c r="F103" s="911"/>
      <c r="G103" s="911" t="s">
        <v>78</v>
      </c>
      <c r="H103" s="911" t="s">
        <v>393</v>
      </c>
      <c r="I103" s="911" t="s">
        <v>86</v>
      </c>
      <c r="J103" s="911" t="s">
        <v>161</v>
      </c>
      <c r="K103" s="911"/>
      <c r="L103" s="911" t="str">
        <f>IF(Планирование[[#This Row],[Контекст простоя]]="Штатно", Планирование[[#This Row],[Скважина]] &amp; " " &amp; "ОК–" &amp;Планирование[[#This Row],[ОК]] &amp; " "  &amp; Планирование[[#This Row],[Этап]] &amp; " " &amp; Планирование[[#This Row],[Вид работ]] &amp; " " &amp; Планирование[[#This Row],[Объект работ]] &amp; " " &amp; Планирование[[#This Row],[Рейс]], Планирование[[#This Row],[Скважина]] &amp; " " &amp; "ОК–" &amp;Планирование[[#This Row],[ОК]] &amp; " " &amp; Планирование[[#This Row],[Этап]] &amp; " " &amp; Планирование[[#This Row],[Контекст простоя]] &amp; " " &amp; Планирование[[#This Row],[Событие]] &amp; " " &amp; Планирование[[#This Row],[Вид работ]] &amp; " " &amp; Планирование[[#This Row],[Объект работ]] &amp; " " &amp; Планирование[[#This Row],[Рейс]])</f>
        <v xml:space="preserve">600 ОК– ПР Работа комиссии ПВО </v>
      </c>
      <c r="M103" s="912">
        <f ca="1">IF(Планирование[[#This Row],[Скважина]]&lt;&gt;B102,Планирование[[#This Row],[Начало (факт)]],N102)</f>
        <v>46179.274999999936</v>
      </c>
      <c r="N103" s="913">
        <f ca="1">Планирование[[#This Row],[Начало (цель)]]+Планирование[[#This Row],[Сутки (цель)]]</f>
        <v>46179.274999999936</v>
      </c>
      <c r="O103" s="914">
        <v>0</v>
      </c>
      <c r="Q103" s="916">
        <f>Планирование[[#This Row],[Часы (цель)]]/24</f>
        <v>0</v>
      </c>
      <c r="R103" s="916">
        <f>R102+Планирование[[#This Row],[Сутки (цель)]]</f>
        <v>4.4174999999999995</v>
      </c>
      <c r="S103" s="917">
        <f ca="1">Планирование[[#This Row],[Начало (цель)]]</f>
        <v>46179.274999999936</v>
      </c>
      <c r="T103" s="913">
        <f ca="1">Планирование[[#This Row],[Начало (план)]]+Планирование[[#This Row],[Сутки (план)]]</f>
        <v>46179.274999999936</v>
      </c>
      <c r="U103" s="914">
        <f>Планирование[[#This Row],[Часы (цель)]]</f>
        <v>0</v>
      </c>
      <c r="V103" s="918">
        <f>Планирование[[#This Row],[Забой, м (цель)]]</f>
        <v>0</v>
      </c>
      <c r="W103" s="916">
        <f>Планирование[[#This Row],[Часы (план)]]/24</f>
        <v>0</v>
      </c>
      <c r="X103" s="919">
        <f>X102+Планирование[[#This Row],[Сутки (план)]]</f>
        <v>4.4174999999999995</v>
      </c>
      <c r="Y103" s="912">
        <f t="array" aca="1" ref="Y103" ca="1">IFERROR(
    INDEX(Хронология[Начало], MATCH(1, (Хронология[Ключ]=Планирование[[#This Row],[Ключ]]) * (Хронология[Подытог за операцию]=MIN(IF(Хронология[Ключ]=Планирование[[#This Row],[Ключ]], Хронология[Подытог за операцию]))), 0)),
    Z83
)</f>
        <v>46174.857499999933</v>
      </c>
      <c r="Z103" s="920">
        <f t="array" aca="1" ref="Z103" ca="1">MAX(IFERROR(
    INDEX(Хронология[Окончание], MATCH(1, (Хронология[Ключ]=Планирование[[#This Row],[Ключ]]) * (Хронология[Подытог за операцию]=MAX(IF(Хронология[Ключ]=Планирование[[#This Row],[Ключ]], Хронология[Подытог за операцию]))), 0)),
    Y84+AC84
), Планирование[[#This Row],[Начало (факт)]]+Планирование[[#This Row],[Сутки (факт)]])</f>
        <v>46175.034999999931</v>
      </c>
      <c r="AA103" s="921">
        <f ca="1">IF(AND(Планирование[[#This Row],[Начало (факт)]]=Y104,Планирование[[#This Row],[Забой, м (факт)]]=AE104),0,Планирование[[#This Row],[Конец (факт, прогноз)]]-Планирование[[#This Row],[Начало (факт)]])</f>
        <v>0</v>
      </c>
      <c r="AB103" s="921">
        <f ca="1">Планирование[[#This Row],[Часы (факт)]]-Планирование[[#This Row],[НПВ за операцию, часы]]-Планирование[[#This Row],[ПНВ, часы]]</f>
        <v>0</v>
      </c>
      <c r="AC103" s="922">
        <f t="array" aca="1" ref="AC103" ca="1">IFERROR(
  IF(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окончены",
    MAX(IF(Хронология[Ключ]=Планирование[[#This Row],[Ключ]], Хронология[Подытог за операцию])),
    IF(
      Планирование[[#This Row],[Событие]]="Мех. бурение",
      (MAX(Хронология[Окончание]) - Планирование[[#This Row],[Начало (факт)]]) +
      (Планирование[[#This Row],[Забой, м (план)]] - Планирование[[#This Row],[Забой, м (факт)]]) /
      ((Планирование[[#This Row],[Забой, м (план)]] - V83)/Планирование[[#This Row],[Сутки (план)]]),
      IF(
        AND(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продолжаются",
          Планирование[[#This Row],[Начало (факт)]]&gt;0
        ),
        (TODAY()-Планирование[[#This Row],[Начало (факт)]]),
        IF(
          AND(Планирование[[#This Row],[Начало (факт)]]=0,
            Планирование[[#This Row],[Начало (план)]] &gt; MAX(Хронология[Начало])),
          Планирование[[#This Row],[Сутки (план)]],
          IF(
            AND((TODAY()-Планирование[[#This Row],[Начало (план)]])&gt;1,
              ISERR(MATCH(Планирование[[#This Row],[Ключ]], Хронология[Ключ], 0))),
            0,
            Планирование[[#This Row],[Сутки (план)]]
          )
        )
      )
    )
  ),
  Планирование[[#This Row],[Сутки (план)]]
)</f>
        <v>0</v>
      </c>
      <c r="AD103" s="922">
        <f ca="1">Планирование[[#This Row],[Сутки (факт)]]</f>
        <v>0</v>
      </c>
      <c r="AE103" s="923">
        <f t="array" ref="AE103">MAX(IF(Хронология[Ключ]=Планирование[[#This Row],[Ключ]], Хронология[Забой, м]))</f>
        <v>0</v>
      </c>
      <c r="AF103" s="914">
        <f ca="1">IFERROR(
    SUMIFS(
        Хронология[Часы],
        Хронология[Результат], "НПВ: нет в ГГД",
        Хронология[Начало], "&gt;=" &amp; Планирование[[#This Row],[Начало (факт)]],
        Хронология[Окончание], "&lt;=" &amp; Планирование[[#This Row],[Конец (факт, прогноз)]]
    ),
    0
)</f>
        <v>0</v>
      </c>
      <c r="AG103" s="914">
        <f ca="1">IFERROR(
    SUMIFS(
        Хронология[Часы],
        Хронология[Результат], "НПВ: нет в ГГД",
        Хронология[Начало], "&gt;=" &amp; Планирование[[#This Row],[Конец (факт, прогноз)]],
        Хронология[Окончание], "&lt;=" &amp; Y85
    ),
    0
)</f>
        <v>0</v>
      </c>
      <c r="AH103" s="919">
        <f ca="1">ROUND(IF(Планирование[[#This Row],[Часы (факт)]]-Планирование[[#This Row],[НПВ за операцию, часы]]-Планирование[[#This Row],[Часы (план)]] &lt;0, 0, Планирование[[#This Row],[Часы (факт)]]-Планирование[[#This Row],[НПВ за операцию, часы]]-Планирование[[#This Row],[Часы (план)]]), 2)</f>
        <v>0</v>
      </c>
      <c r="AI103" s="918" t="s">
        <v>1060</v>
      </c>
      <c r="AJ103" s="924">
        <f ca="1">Планирование[[#This Row],[Конец (план)]]-Планирование[[#This Row],[Конец (факт, прогноз)]]</f>
        <v>4.2400000000052387</v>
      </c>
    </row>
    <row r="104" spans="1:36" s="915" customFormat="1" ht="30" customHeight="1">
      <c r="A104" s="909" t="s">
        <v>1116</v>
      </c>
      <c r="B104" s="910" t="s">
        <v>266</v>
      </c>
      <c r="C104" s="911"/>
      <c r="D104" s="911" t="s">
        <v>59</v>
      </c>
      <c r="E104" s="911" t="s">
        <v>58</v>
      </c>
      <c r="F104" s="911"/>
      <c r="G104" s="911" t="s">
        <v>169</v>
      </c>
      <c r="H104" s="911" t="s">
        <v>150</v>
      </c>
      <c r="I104" s="911" t="s">
        <v>86</v>
      </c>
      <c r="J104" s="911" t="s">
        <v>282</v>
      </c>
      <c r="K104" s="911"/>
      <c r="L104" s="911" t="str">
        <f>IF(Планирование[[#This Row],[Контекст простоя]]="Штатно", Планирование[[#This Row],[Скважина]] &amp; " " &amp; "ОК–" &amp;Планирование[[#This Row],[ОК]] &amp; " "  &amp; Планирование[[#This Row],[Этап]] &amp; " " &amp; Планирование[[#This Row],[Вид работ]] &amp; " " &amp; Планирование[[#This Row],[Объект работ]] &amp; " " &amp; Планирование[[#This Row],[Рейс]], Планирование[[#This Row],[Скважина]] &amp; " " &amp; "ОК–" &amp;Планирование[[#This Row],[ОК]] &amp; " " &amp; Планирование[[#This Row],[Этап]] &amp; " " &amp; Планирование[[#This Row],[Контекст простоя]] &amp; " " &amp; Планирование[[#This Row],[Событие]] &amp; " " &amp; Планирование[[#This Row],[Вид работ]] &amp; " " &amp; Планирование[[#This Row],[Объект работ]] &amp; " " &amp; Планирование[[#This Row],[Рейс]])</f>
        <v xml:space="preserve">600 ОК– ПР Опрессовка ФА </v>
      </c>
      <c r="M104" s="912">
        <f ca="1">IF(Планирование[[#This Row],[Скважина]]&lt;&gt;B103,Планирование[[#This Row],[Начало (факт)]],N103)</f>
        <v>46179.274999999936</v>
      </c>
      <c r="N104" s="913">
        <f ca="1">Планирование[[#This Row],[Начало (цель)]]+Планирование[[#This Row],[Сутки (цель)]]</f>
        <v>46179.274999999936</v>
      </c>
      <c r="O104" s="914">
        <v>0</v>
      </c>
      <c r="Q104" s="916">
        <f>Планирование[[#This Row],[Часы (цель)]]/24</f>
        <v>0</v>
      </c>
      <c r="R104" s="916">
        <f>R103+Планирование[[#This Row],[Сутки (цель)]]</f>
        <v>4.4174999999999995</v>
      </c>
      <c r="S104" s="917">
        <f ca="1">Планирование[[#This Row],[Начало (цель)]]</f>
        <v>46179.274999999936</v>
      </c>
      <c r="T104" s="913">
        <f ca="1">Планирование[[#This Row],[Начало (план)]]+Планирование[[#This Row],[Сутки (план)]]</f>
        <v>46179.274999999936</v>
      </c>
      <c r="U104" s="914">
        <f>Планирование[[#This Row],[Часы (цель)]]</f>
        <v>0</v>
      </c>
      <c r="V104" s="918">
        <f>Планирование[[#This Row],[Забой, м (цель)]]</f>
        <v>0</v>
      </c>
      <c r="W104" s="916">
        <f>Планирование[[#This Row],[Часы (план)]]/24</f>
        <v>0</v>
      </c>
      <c r="X104" s="919">
        <f>X103+Планирование[[#This Row],[Сутки (план)]]</f>
        <v>4.4174999999999995</v>
      </c>
      <c r="Y104" s="912">
        <f t="array" aca="1" ref="Y104" ca="1">IFERROR(
    INDEX(Хронология[Начало], MATCH(1, (Хронология[Ключ]=Планирование[[#This Row],[Ключ]]) * (Хронология[Подытог за операцию]=MIN(IF(Хронология[Ключ]=Планирование[[#This Row],[Ключ]], Хронология[Подытог за операцию]))), 0)),
    Z83
)</f>
        <v>46174.857499999933</v>
      </c>
      <c r="Z104" s="920">
        <f t="array" aca="1" ref="Z104" ca="1">MAX(IFERROR(
    INDEX(Хронология[Окончание], MATCH(1, (Хронология[Ключ]=Планирование[[#This Row],[Ключ]]) * (Хронология[Подытог за операцию]=MAX(IF(Хронология[Ключ]=Планирование[[#This Row],[Ключ]], Хронология[Подытог за операцию]))), 0)),
    Y84+AC84
), Планирование[[#This Row],[Начало (факт)]]+Планирование[[#This Row],[Сутки (факт)]])</f>
        <v>46175.034999999931</v>
      </c>
      <c r="AA104" s="921">
        <f ca="1">IF(AND(Планирование[[#This Row],[Начало (факт)]]=Y105,Планирование[[#This Row],[Забой, м (факт)]]=AE105),0,Планирование[[#This Row],[Конец (факт, прогноз)]]-Планирование[[#This Row],[Начало (факт)]])</f>
        <v>0</v>
      </c>
      <c r="AB104" s="921">
        <f ca="1">Планирование[[#This Row],[Часы (факт)]]-Планирование[[#This Row],[НПВ за операцию, часы]]-Планирование[[#This Row],[ПНВ, часы]]</f>
        <v>0</v>
      </c>
      <c r="AC104" s="922">
        <f t="array" aca="1" ref="AC104" ca="1">IFERROR(
  IF(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окончены",
    MAX(IF(Хронология[Ключ]=Планирование[[#This Row],[Ключ]], Хронология[Подытог за операцию])),
    IF(
      Планирование[[#This Row],[Событие]]="Мех. бурение",
      (MAX(Хронология[Окончание]) - Планирование[[#This Row],[Начало (факт)]]) +
      (Планирование[[#This Row],[Забой, м (план)]] - Планирование[[#This Row],[Забой, м (факт)]]) /
      ((Планирование[[#This Row],[Забой, м (план)]] - V83)/Планирование[[#This Row],[Сутки (план)]]),
      IF(
        AND(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продолжаются",
          Планирование[[#This Row],[Начало (факт)]]&gt;0
        ),
        (TODAY()-Планирование[[#This Row],[Начало (факт)]]),
        IF(
          AND(Планирование[[#This Row],[Начало (факт)]]=0,
            Планирование[[#This Row],[Начало (план)]] &gt; MAX(Хронология[Начало])),
          Планирование[[#This Row],[Сутки (план)]],
          IF(
            AND((TODAY()-Планирование[[#This Row],[Начало (план)]])&gt;1,
              ISERR(MATCH(Планирование[[#This Row],[Ключ]], Хронология[Ключ], 0))),
            0,
            Планирование[[#This Row],[Сутки (план)]]
          )
        )
      )
    )
  ),
  Планирование[[#This Row],[Сутки (план)]]
)</f>
        <v>0</v>
      </c>
      <c r="AD104" s="922">
        <f ca="1">Планирование[[#This Row],[Сутки (факт)]]</f>
        <v>0</v>
      </c>
      <c r="AE104" s="923">
        <f t="array" ref="AE104">MAX(IF(Хронология[Ключ]=Планирование[[#This Row],[Ключ]], Хронология[Забой, м]))</f>
        <v>0</v>
      </c>
      <c r="AF104" s="914">
        <f ca="1">IFERROR(
    SUMIFS(
        Хронология[Часы],
        Хронология[Результат], "НПВ: нет в ГГД",
        Хронология[Начало], "&gt;=" &amp; Планирование[[#This Row],[Начало (факт)]],
        Хронология[Окончание], "&lt;=" &amp; Планирование[[#This Row],[Конец (факт, прогноз)]]
    ),
    0
)</f>
        <v>0</v>
      </c>
      <c r="AG104" s="914">
        <f ca="1">IFERROR(
    SUMIFS(
        Хронология[Часы],
        Хронология[Результат], "НПВ: нет в ГГД",
        Хронология[Начало], "&gt;=" &amp; Планирование[[#This Row],[Конец (факт, прогноз)]],
        Хронология[Окончание], "&lt;=" &amp; Y85
    ),
    0
)</f>
        <v>0</v>
      </c>
      <c r="AH104" s="919">
        <f ca="1">ROUND(IF(Планирование[[#This Row],[Часы (факт)]]-Планирование[[#This Row],[НПВ за операцию, часы]]-Планирование[[#This Row],[Часы (план)]] &lt;0, 0, Планирование[[#This Row],[Часы (факт)]]-Планирование[[#This Row],[НПВ за операцию, часы]]-Планирование[[#This Row],[Часы (план)]]), 2)</f>
        <v>0</v>
      </c>
      <c r="AI104" s="918" t="s">
        <v>1060</v>
      </c>
      <c r="AJ104" s="924">
        <f ca="1">Планирование[[#This Row],[Конец (план)]]-Планирование[[#This Row],[Конец (факт, прогноз)]]</f>
        <v>4.2400000000052387</v>
      </c>
    </row>
    <row r="105" spans="1:36" s="915" customFormat="1" ht="30" customHeight="1">
      <c r="A105" s="909" t="s">
        <v>1117</v>
      </c>
      <c r="B105" s="910" t="s">
        <v>266</v>
      </c>
      <c r="C105" s="911"/>
      <c r="D105" s="911" t="s">
        <v>59</v>
      </c>
      <c r="E105" s="911" t="s">
        <v>58</v>
      </c>
      <c r="F105" s="911"/>
      <c r="G105" s="911" t="s">
        <v>78</v>
      </c>
      <c r="H105" s="911" t="s">
        <v>393</v>
      </c>
      <c r="I105" s="911" t="s">
        <v>86</v>
      </c>
      <c r="J105" s="911" t="s">
        <v>282</v>
      </c>
      <c r="K105" s="911"/>
      <c r="L105" s="911" t="str">
        <f>IF(Планирование[[#This Row],[Контекст простоя]]="Штатно", Планирование[[#This Row],[Скважина]] &amp; " " &amp; "ОК–" &amp;Планирование[[#This Row],[ОК]] &amp; " "  &amp; Планирование[[#This Row],[Этап]] &amp; " " &amp; Планирование[[#This Row],[Вид работ]] &amp; " " &amp; Планирование[[#This Row],[Объект работ]] &amp; " " &amp; Планирование[[#This Row],[Рейс]], Планирование[[#This Row],[Скважина]] &amp; " " &amp; "ОК–" &amp;Планирование[[#This Row],[ОК]] &amp; " " &amp; Планирование[[#This Row],[Этап]] &amp; " " &amp; Планирование[[#This Row],[Контекст простоя]] &amp; " " &amp; Планирование[[#This Row],[Событие]] &amp; " " &amp; Планирование[[#This Row],[Вид работ]] &amp; " " &amp; Планирование[[#This Row],[Объект работ]] &amp; " " &amp; Планирование[[#This Row],[Рейс]])</f>
        <v xml:space="preserve">600 ОК– ПР Работа комиссии ФА </v>
      </c>
      <c r="M105" s="912">
        <f ca="1">IF(Планирование[[#This Row],[Скважина]]&lt;&gt;B104,Планирование[[#This Row],[Начало (факт)]],N104)</f>
        <v>46179.274999999936</v>
      </c>
      <c r="N105" s="913">
        <f ca="1">Планирование[[#This Row],[Начало (цель)]]+Планирование[[#This Row],[Сутки (цель)]]</f>
        <v>46179.274999999936</v>
      </c>
      <c r="O105" s="914">
        <v>0</v>
      </c>
      <c r="Q105" s="916">
        <f>Планирование[[#This Row],[Часы (цель)]]/24</f>
        <v>0</v>
      </c>
      <c r="R105" s="916">
        <f>R104+Планирование[[#This Row],[Сутки (цель)]]</f>
        <v>4.4174999999999995</v>
      </c>
      <c r="S105" s="917">
        <f ca="1">Планирование[[#This Row],[Начало (цель)]]</f>
        <v>46179.274999999936</v>
      </c>
      <c r="T105" s="913">
        <f ca="1">Планирование[[#This Row],[Начало (план)]]+Планирование[[#This Row],[Сутки (план)]]</f>
        <v>46179.274999999936</v>
      </c>
      <c r="U105" s="914">
        <f>Планирование[[#This Row],[Часы (цель)]]</f>
        <v>0</v>
      </c>
      <c r="V105" s="918">
        <f>Планирование[[#This Row],[Забой, м (цель)]]</f>
        <v>0</v>
      </c>
      <c r="W105" s="916">
        <f>Планирование[[#This Row],[Часы (план)]]/24</f>
        <v>0</v>
      </c>
      <c r="X105" s="919">
        <f>X104+Планирование[[#This Row],[Сутки (план)]]</f>
        <v>4.4174999999999995</v>
      </c>
      <c r="Y105" s="912">
        <f t="array" aca="1" ref="Y105" ca="1">IFERROR(
    INDEX(Хронология[Начало], MATCH(1, (Хронология[Ключ]=Планирование[[#This Row],[Ключ]]) * (Хронология[Подытог за операцию]=MIN(IF(Хронология[Ключ]=Планирование[[#This Row],[Ключ]], Хронология[Подытог за операцию]))), 0)),
    Z83
)</f>
        <v>46174.857499999933</v>
      </c>
      <c r="Z105" s="920">
        <f t="array" aca="1" ref="Z105" ca="1">MAX(IFERROR(
    INDEX(Хронология[Окончание], MATCH(1, (Хронология[Ключ]=Планирование[[#This Row],[Ключ]]) * (Хронология[Подытог за операцию]=MAX(IF(Хронология[Ключ]=Планирование[[#This Row],[Ключ]], Хронология[Подытог за операцию]))), 0)),
    Y84+AC84
), Планирование[[#This Row],[Начало (факт)]]+Планирование[[#This Row],[Сутки (факт)]])</f>
        <v>46175.034999999931</v>
      </c>
      <c r="AA105" s="921">
        <f ca="1">IF(AND(Планирование[[#This Row],[Начало (факт)]]=Y106,Планирование[[#This Row],[Забой, м (факт)]]=AE106),0,Планирование[[#This Row],[Конец (факт, прогноз)]]-Планирование[[#This Row],[Начало (факт)]])</f>
        <v>0</v>
      </c>
      <c r="AB105" s="921">
        <f ca="1">Планирование[[#This Row],[Часы (факт)]]-Планирование[[#This Row],[НПВ за операцию, часы]]-Планирование[[#This Row],[ПНВ, часы]]</f>
        <v>0</v>
      </c>
      <c r="AC105" s="922">
        <f t="array" aca="1" ref="AC105" ca="1">IFERROR(
  IF(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окончены",
    MAX(IF(Хронология[Ключ]=Планирование[[#This Row],[Ключ]], Хронология[Подытог за операцию])),
    IF(
      Планирование[[#This Row],[Событие]]="Мех. бурение",
      (MAX(Хронология[Окончание]) - Планирование[[#This Row],[Начало (факт)]]) +
      (Планирование[[#This Row],[Забой, м (план)]] - Планирование[[#This Row],[Забой, м (факт)]]) /
      ((Планирование[[#This Row],[Забой, м (план)]] - V83)/Планирование[[#This Row],[Сутки (план)]]),
      IF(
        AND(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продолжаются",
          Планирование[[#This Row],[Начало (факт)]]&gt;0
        ),
        (TODAY()-Планирование[[#This Row],[Начало (факт)]]),
        IF(
          AND(Планирование[[#This Row],[Начало (факт)]]=0,
            Планирование[[#This Row],[Начало (план)]] &gt; MAX(Хронология[Начало])),
          Планирование[[#This Row],[Сутки (план)]],
          IF(
            AND((TODAY()-Планирование[[#This Row],[Начало (план)]])&gt;1,
              ISERR(MATCH(Планирование[[#This Row],[Ключ]], Хронология[Ключ], 0))),
            0,
            Планирование[[#This Row],[Сутки (план)]]
          )
        )
      )
    )
  ),
  Планирование[[#This Row],[Сутки (план)]]
)</f>
        <v>0</v>
      </c>
      <c r="AD105" s="922">
        <f ca="1">Планирование[[#This Row],[Сутки (факт)]]</f>
        <v>0</v>
      </c>
      <c r="AE105" s="923">
        <f t="array" ref="AE105">MAX(IF(Хронология[Ключ]=Планирование[[#This Row],[Ключ]], Хронология[Забой, м]))</f>
        <v>0</v>
      </c>
      <c r="AF105" s="914">
        <f ca="1">IFERROR(
    SUMIFS(
        Хронология[Часы],
        Хронология[Результат], "НПВ: нет в ГГД",
        Хронология[Начало], "&gt;=" &amp; Планирование[[#This Row],[Начало (факт)]],
        Хронология[Окончание], "&lt;=" &amp; Планирование[[#This Row],[Конец (факт, прогноз)]]
    ),
    0
)</f>
        <v>0</v>
      </c>
      <c r="AG105" s="914">
        <f ca="1">IFERROR(
    SUMIFS(
        Хронология[Часы],
        Хронология[Результат], "НПВ: нет в ГГД",
        Хронология[Начало], "&gt;=" &amp; Планирование[[#This Row],[Конец (факт, прогноз)]],
        Хронология[Окончание], "&lt;=" &amp; Y85
    ),
    0
)</f>
        <v>0</v>
      </c>
      <c r="AH105" s="919">
        <f ca="1">ROUND(IF(Планирование[[#This Row],[Часы (факт)]]-Планирование[[#This Row],[НПВ за операцию, часы]]-Планирование[[#This Row],[Часы (план)]] &lt;0, 0, Планирование[[#This Row],[Часы (факт)]]-Планирование[[#This Row],[НПВ за операцию, часы]]-Планирование[[#This Row],[Часы (план)]]), 2)</f>
        <v>0</v>
      </c>
      <c r="AI105" s="918" t="s">
        <v>1060</v>
      </c>
      <c r="AJ105" s="924">
        <f ca="1">Планирование[[#This Row],[Конец (план)]]-Планирование[[#This Row],[Конец (факт, прогноз)]]</f>
        <v>4.2400000000052387</v>
      </c>
    </row>
    <row r="106" spans="1:36" s="915" customFormat="1" ht="30" customHeight="1">
      <c r="A106" s="909" t="s">
        <v>1118</v>
      </c>
      <c r="B106" s="910" t="s">
        <v>266</v>
      </c>
      <c r="C106" s="911"/>
      <c r="D106" s="911" t="s">
        <v>57</v>
      </c>
      <c r="E106" s="911" t="s">
        <v>58</v>
      </c>
      <c r="F106" s="911"/>
      <c r="G106" s="911" t="s">
        <v>69</v>
      </c>
      <c r="H106" s="911" t="s">
        <v>143</v>
      </c>
      <c r="I106" s="911" t="s">
        <v>86</v>
      </c>
      <c r="J106" s="911" t="s">
        <v>282</v>
      </c>
      <c r="K106" s="911"/>
      <c r="L106" s="911" t="str">
        <f>IF(Планирование[[#This Row],[Контекст простоя]]="Штатно", Планирование[[#This Row],[Скважина]] &amp; " " &amp; "ОК–" &amp;Планирование[[#This Row],[ОК]] &amp; " "  &amp; Планирование[[#This Row],[Этап]] &amp; " " &amp; Планирование[[#This Row],[Вид работ]] &amp; " " &amp; Планирование[[#This Row],[Объект работ]] &amp; " " &amp; Планирование[[#This Row],[Рейс]], Планирование[[#This Row],[Скважина]] &amp; " " &amp; "ОК–" &amp;Планирование[[#This Row],[ОК]] &amp; " " &amp; Планирование[[#This Row],[Этап]] &amp; " " &amp; Планирование[[#This Row],[Контекст простоя]] &amp; " " &amp; Планирование[[#This Row],[Событие]] &amp; " " &amp; Планирование[[#This Row],[Вид работ]] &amp; " " &amp; Планирование[[#This Row],[Объект работ]] &amp; " " &amp; Планирование[[#This Row],[Рейс]])</f>
        <v xml:space="preserve">600 ОК– ДПМ Замена ФА </v>
      </c>
      <c r="M106" s="912">
        <f ca="1">IF(Планирование[[#This Row],[Скважина]]&lt;&gt;B105,Планирование[[#This Row],[Начало (факт)]],N105)</f>
        <v>46179.274999999936</v>
      </c>
      <c r="N106" s="913">
        <f ca="1">Планирование[[#This Row],[Начало (цель)]]+Планирование[[#This Row],[Сутки (цель)]]</f>
        <v>46179.274999999936</v>
      </c>
      <c r="O106" s="914">
        <v>0</v>
      </c>
      <c r="Q106" s="916">
        <f>Планирование[[#This Row],[Часы (цель)]]/24</f>
        <v>0</v>
      </c>
      <c r="R106" s="916">
        <f>R105+Планирование[[#This Row],[Сутки (цель)]]</f>
        <v>4.4174999999999995</v>
      </c>
      <c r="S106" s="917">
        <f ca="1">Планирование[[#This Row],[Начало (цель)]]</f>
        <v>46179.274999999936</v>
      </c>
      <c r="T106" s="913">
        <f ca="1">Планирование[[#This Row],[Начало (план)]]+Планирование[[#This Row],[Сутки (план)]]</f>
        <v>46179.274999999936</v>
      </c>
      <c r="U106" s="914">
        <f>Планирование[[#This Row],[Часы (цель)]]</f>
        <v>0</v>
      </c>
      <c r="V106" s="918">
        <f>Планирование[[#This Row],[Забой, м (цель)]]</f>
        <v>0</v>
      </c>
      <c r="W106" s="916">
        <f>Планирование[[#This Row],[Часы (план)]]/24</f>
        <v>0</v>
      </c>
      <c r="X106" s="919">
        <f>X105+Планирование[[#This Row],[Сутки (план)]]</f>
        <v>4.4174999999999995</v>
      </c>
      <c r="Y106" s="912">
        <f t="array" aca="1" ref="Y106" ca="1">IFERROR(
    INDEX(Хронология[Начало], MATCH(1, (Хронология[Ключ]=Планирование[[#This Row],[Ключ]]) * (Хронология[Подытог за операцию]=MIN(IF(Хронология[Ключ]=Планирование[[#This Row],[Ключ]], Хронология[Подытог за операцию]))), 0)),
    Z83
)</f>
        <v>46174.857499999933</v>
      </c>
      <c r="Z106" s="920">
        <f t="array" aca="1" ref="Z106" ca="1">MAX(IFERROR(
    INDEX(Хронология[Окончание], MATCH(1, (Хронология[Ключ]=Планирование[[#This Row],[Ключ]]) * (Хронология[Подытог за операцию]=MAX(IF(Хронология[Ключ]=Планирование[[#This Row],[Ключ]], Хронология[Подытог за операцию]))), 0)),
    Y84+AC84
), Планирование[[#This Row],[Начало (факт)]]+Планирование[[#This Row],[Сутки (факт)]])</f>
        <v>46175.034999999931</v>
      </c>
      <c r="AA106" s="921">
        <f ca="1">IF(AND(Планирование[[#This Row],[Начало (факт)]]=Y107,Планирование[[#This Row],[Забой, м (факт)]]=AE107),0,Планирование[[#This Row],[Конец (факт, прогноз)]]-Планирование[[#This Row],[Начало (факт)]])</f>
        <v>0</v>
      </c>
      <c r="AB106" s="921">
        <f ca="1">Планирование[[#This Row],[Часы (факт)]]-Планирование[[#This Row],[НПВ за операцию, часы]]-Планирование[[#This Row],[ПНВ, часы]]</f>
        <v>0</v>
      </c>
      <c r="AC106" s="922">
        <f t="array" aca="1" ref="AC106" ca="1">IFERROR(
  IF(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окончены",
    MAX(IF(Хронология[Ключ]=Планирование[[#This Row],[Ключ]], Хронология[Подытог за операцию])),
    IF(
      Планирование[[#This Row],[Событие]]="Мех. бурение",
      (MAX(Хронология[Окончание]) - Планирование[[#This Row],[Начало (факт)]]) +
      (Планирование[[#This Row],[Забой, м (план)]] - Планирование[[#This Row],[Забой, м (факт)]]) /
      ((Планирование[[#This Row],[Забой, м (план)]] - V83)/Планирование[[#This Row],[Сутки (план)]]),
      IF(
        AND(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продолжаются",
          Планирование[[#This Row],[Начало (факт)]]&gt;0
        ),
        (TODAY()-Планирование[[#This Row],[Начало (факт)]]),
        IF(
          AND(Планирование[[#This Row],[Начало (факт)]]=0,
            Планирование[[#This Row],[Начало (план)]] &gt; MAX(Хронология[Начало])),
          Планирование[[#This Row],[Сутки (план)]],
          IF(
            AND((TODAY()-Планирование[[#This Row],[Начало (план)]])&gt;1,
              ISERR(MATCH(Планирование[[#This Row],[Ключ]], Хронология[Ключ], 0))),
            0,
            Планирование[[#This Row],[Сутки (план)]]
          )
        )
      )
    )
  ),
  Планирование[[#This Row],[Сутки (план)]]
)</f>
        <v>0</v>
      </c>
      <c r="AD106" s="922">
        <f ca="1">Планирование[[#This Row],[Сутки (факт)]]</f>
        <v>0</v>
      </c>
      <c r="AE106" s="923">
        <f t="array" ref="AE106">MAX(IF(Хронология[Ключ]=Планирование[[#This Row],[Ключ]], Хронология[Забой, м]))</f>
        <v>0</v>
      </c>
      <c r="AF106" s="914">
        <f ca="1">IFERROR(
    SUMIFS(
        Хронология[Часы],
        Хронология[Результат], "НПВ: нет в ГГД",
        Хронология[Начало], "&gt;=" &amp; Планирование[[#This Row],[Начало (факт)]],
        Хронология[Окончание], "&lt;=" &amp; Планирование[[#This Row],[Конец (факт, прогноз)]]
    ),
    0
)</f>
        <v>0</v>
      </c>
      <c r="AG106" s="914">
        <f ca="1">IFERROR(
    SUMIFS(
        Хронология[Часы],
        Хронология[Результат], "НПВ: нет в ГГД",
        Хронология[Начало], "&gt;=" &amp; Планирование[[#This Row],[Конец (факт, прогноз)]],
        Хронология[Окончание], "&lt;=" &amp; Y85
    ),
    0
)</f>
        <v>0</v>
      </c>
      <c r="AH106" s="919">
        <f ca="1">ROUND(IF(Планирование[[#This Row],[Часы (факт)]]-Планирование[[#This Row],[НПВ за операцию, часы]]-Планирование[[#This Row],[Часы (план)]] &lt;0, 0, Планирование[[#This Row],[Часы (факт)]]-Планирование[[#This Row],[НПВ за операцию, часы]]-Планирование[[#This Row],[Часы (план)]]), 2)</f>
        <v>0</v>
      </c>
      <c r="AI106" s="918" t="s">
        <v>1060</v>
      </c>
      <c r="AJ106" s="924">
        <f ca="1">Планирование[[#This Row],[Конец (план)]]-Планирование[[#This Row],[Конец (факт, прогноз)]]</f>
        <v>4.2400000000052387</v>
      </c>
    </row>
    <row r="107" spans="1:36" s="915" customFormat="1" ht="30" customHeight="1">
      <c r="A107" s="909" t="s">
        <v>1119</v>
      </c>
      <c r="B107" s="910" t="s">
        <v>266</v>
      </c>
      <c r="C107" s="911"/>
      <c r="D107" s="911" t="s">
        <v>59</v>
      </c>
      <c r="E107" s="911" t="s">
        <v>58</v>
      </c>
      <c r="F107" s="911"/>
      <c r="G107" s="911" t="s">
        <v>169</v>
      </c>
      <c r="H107" s="911" t="s">
        <v>150</v>
      </c>
      <c r="I107" s="911" t="s">
        <v>86</v>
      </c>
      <c r="J107" s="911" t="s">
        <v>282</v>
      </c>
      <c r="K107" s="911"/>
      <c r="L107" s="911" t="str">
        <f>IF(Планирование[[#This Row],[Контекст простоя]]="Штатно", Планирование[[#This Row],[Скважина]] &amp; " " &amp; "ОК–" &amp;Планирование[[#This Row],[ОК]] &amp; " "  &amp; Планирование[[#This Row],[Этап]] &amp; " " &amp; Планирование[[#This Row],[Вид работ]] &amp; " " &amp; Планирование[[#This Row],[Объект работ]] &amp; " " &amp; Планирование[[#This Row],[Рейс]], Планирование[[#This Row],[Скважина]] &amp; " " &amp; "ОК–" &amp;Планирование[[#This Row],[ОК]] &amp; " " &amp; Планирование[[#This Row],[Этап]] &amp; " " &amp; Планирование[[#This Row],[Контекст простоя]] &amp; " " &amp; Планирование[[#This Row],[Событие]] &amp; " " &amp; Планирование[[#This Row],[Вид работ]] &amp; " " &amp; Планирование[[#This Row],[Объект работ]] &amp; " " &amp; Планирование[[#This Row],[Рейс]])</f>
        <v xml:space="preserve">600 ОК– ПР Опрессовка ФА </v>
      </c>
      <c r="M107" s="912">
        <f ca="1">IF(Планирование[[#This Row],[Скважина]]&lt;&gt;B106,Планирование[[#This Row],[Начало (факт)]],N106)</f>
        <v>46179.274999999936</v>
      </c>
      <c r="N107" s="913">
        <f ca="1">Планирование[[#This Row],[Начало (цель)]]+Планирование[[#This Row],[Сутки (цель)]]</f>
        <v>46179.274999999936</v>
      </c>
      <c r="O107" s="914">
        <v>0</v>
      </c>
      <c r="Q107" s="916">
        <f>Планирование[[#This Row],[Часы (цель)]]/24</f>
        <v>0</v>
      </c>
      <c r="R107" s="916">
        <f>R106+Планирование[[#This Row],[Сутки (цель)]]</f>
        <v>4.4174999999999995</v>
      </c>
      <c r="S107" s="917">
        <f ca="1">Планирование[[#This Row],[Начало (цель)]]</f>
        <v>46179.274999999936</v>
      </c>
      <c r="T107" s="913">
        <f ca="1">Планирование[[#This Row],[Начало (план)]]+Планирование[[#This Row],[Сутки (план)]]</f>
        <v>46179.274999999936</v>
      </c>
      <c r="U107" s="914">
        <f>Планирование[[#This Row],[Часы (цель)]]</f>
        <v>0</v>
      </c>
      <c r="V107" s="918">
        <f>Планирование[[#This Row],[Забой, м (цель)]]</f>
        <v>0</v>
      </c>
      <c r="W107" s="916">
        <f>Планирование[[#This Row],[Часы (план)]]/24</f>
        <v>0</v>
      </c>
      <c r="X107" s="919">
        <f>X106+Планирование[[#This Row],[Сутки (план)]]</f>
        <v>4.4174999999999995</v>
      </c>
      <c r="Y107" s="912">
        <f t="array" aca="1" ref="Y107" ca="1">IFERROR(
    INDEX(Хронология[Начало], MATCH(1, (Хронология[Ключ]=Планирование[[#This Row],[Ключ]]) * (Хронология[Подытог за операцию]=MIN(IF(Хронология[Ключ]=Планирование[[#This Row],[Ключ]], Хронология[Подытог за операцию]))), 0)),
    Z83
)</f>
        <v>46174.857499999933</v>
      </c>
      <c r="Z107" s="920">
        <f t="array" aca="1" ref="Z107" ca="1">MAX(IFERROR(
    INDEX(Хронология[Окончание], MATCH(1, (Хронология[Ключ]=Планирование[[#This Row],[Ключ]]) * (Хронология[Подытог за операцию]=MAX(IF(Хронология[Ключ]=Планирование[[#This Row],[Ключ]], Хронология[Подытог за операцию]))), 0)),
    Y84+AC84
), Планирование[[#This Row],[Начало (факт)]]+Планирование[[#This Row],[Сутки (факт)]])</f>
        <v>46175.034999999931</v>
      </c>
      <c r="AA107" s="921">
        <f ca="1">IF(AND(Планирование[[#This Row],[Начало (факт)]]=Y108,Планирование[[#This Row],[Забой, м (факт)]]=AE108),0,Планирование[[#This Row],[Конец (факт, прогноз)]]-Планирование[[#This Row],[Начало (факт)]])</f>
        <v>0.17749999999796273</v>
      </c>
      <c r="AB107" s="921">
        <f ca="1">Планирование[[#This Row],[Часы (факт)]]-Планирование[[#This Row],[НПВ за операцию, часы]]-Планирование[[#This Row],[ПНВ, часы]]</f>
        <v>-2.5000000020372615E-3</v>
      </c>
      <c r="AC107" s="922">
        <f t="array" aca="1" ref="AC107" ca="1">IFERROR(
  IF(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окончены",
    MAX(IF(Хронология[Ключ]=Планирование[[#This Row],[Ключ]], Хронология[Подытог за операцию])),
    IF(
      Планирование[[#This Row],[Событие]]="Мех. бурение",
      (MAX(Хронология[Окончание]) - Планирование[[#This Row],[Начало (факт)]]) +
      (Планирование[[#This Row],[Забой, м (план)]] - Планирование[[#This Row],[Забой, м (факт)]]) /
      ((Планирование[[#This Row],[Забой, м (план)]] - V83)/Планирование[[#This Row],[Сутки (план)]]),
      IF(
        AND(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продолжаются",
          Планирование[[#This Row],[Начало (факт)]]&gt;0
        ),
        (TODAY()-Планирование[[#This Row],[Начало (факт)]]),
        IF(
          AND(Планирование[[#This Row],[Начало (факт)]]=0,
            Планирование[[#This Row],[Начало (план)]] &gt; MAX(Хронология[Начало])),
          Планирование[[#This Row],[Сутки (план)]],
          IF(
            AND((TODAY()-Планирование[[#This Row],[Начало (план)]])&gt;1,
              ISERR(MATCH(Планирование[[#This Row],[Ключ]], Хронология[Ключ], 0))),
            0,
            Планирование[[#This Row],[Сутки (план)]]
          )
        )
      )
    )
  ),
  Планирование[[#This Row],[Сутки (план)]]
)</f>
        <v>0</v>
      </c>
      <c r="AD107" s="922">
        <f ca="1">Планирование[[#This Row],[Сутки (факт)]]</f>
        <v>0</v>
      </c>
      <c r="AE107" s="923">
        <f t="array" ref="AE107">MAX(IF(Хронология[Ключ]=Планирование[[#This Row],[Ключ]], Хронология[Забой, м]))</f>
        <v>0</v>
      </c>
      <c r="AF107" s="914">
        <f ca="1">IFERROR(
    SUMIFS(
        Хронология[Часы],
        Хронология[Результат], "НПВ: нет в ГГД",
        Хронология[Начало], "&gt;=" &amp; Планирование[[#This Row],[Начало (факт)]],
        Хронология[Окончание], "&lt;=" &amp; Планирование[[#This Row],[Конец (факт, прогноз)]]
    ),
    0
)</f>
        <v>0</v>
      </c>
      <c r="AG107" s="914">
        <f ca="1">IFERROR(
    SUMIFS(
        Хронология[Часы],
        Хронология[Результат], "НПВ: нет в ГГД",
        Хронология[Начало], "&gt;=" &amp; Планирование[[#This Row],[Конец (факт, прогноз)]],
        Хронология[Окончание], "&lt;=" &amp; Y85
    ),
    0
)</f>
        <v>0</v>
      </c>
      <c r="AH107" s="919">
        <f ca="1">ROUND(IF(Планирование[[#This Row],[Часы (факт)]]-Планирование[[#This Row],[НПВ за операцию, часы]]-Планирование[[#This Row],[Часы (план)]] &lt;0, 0, Планирование[[#This Row],[Часы (факт)]]-Планирование[[#This Row],[НПВ за операцию, часы]]-Планирование[[#This Row],[Часы (план)]]), 2)</f>
        <v>0.18</v>
      </c>
      <c r="AI107" s="918" t="s">
        <v>1060</v>
      </c>
      <c r="AJ107" s="924">
        <f ca="1">Планирование[[#This Row],[Конец (план)]]-Планирование[[#This Row],[Конец (факт, прогноз)]]</f>
        <v>4.2400000000052387</v>
      </c>
    </row>
    <row r="108" spans="1:36" s="915" customFormat="1" ht="30" customHeight="1">
      <c r="A108" s="909" t="s">
        <v>398</v>
      </c>
      <c r="B108" s="910" t="s">
        <v>266</v>
      </c>
      <c r="C108" s="911"/>
      <c r="D108" s="911" t="s">
        <v>51</v>
      </c>
      <c r="E108" s="911" t="s">
        <v>58</v>
      </c>
      <c r="F108" s="911"/>
      <c r="G108" s="911" t="s">
        <v>169</v>
      </c>
      <c r="H108" s="911" t="s">
        <v>188</v>
      </c>
      <c r="I108" s="911" t="s">
        <v>137</v>
      </c>
      <c r="J108" s="911" t="s">
        <v>4</v>
      </c>
      <c r="K108" s="911"/>
      <c r="L108" s="911" t="str">
        <f>IF(Планирование[[#This Row],[Контекст простоя]]="Штатно", Планирование[[#This Row],[Скважина]] &amp; " " &amp; "ОК–" &amp;Планирование[[#This Row],[ОК]] &amp; " "  &amp; Планирование[[#This Row],[Этап]] &amp; " " &amp; Планирование[[#This Row],[Вид работ]] &amp; " " &amp; Планирование[[#This Row],[Объект работ]] &amp; " " &amp; Планирование[[#This Row],[Рейс]], Планирование[[#This Row],[Скважина]] &amp; " " &amp; "ОК–" &amp;Планирование[[#This Row],[ОК]] &amp; " " &amp; Планирование[[#This Row],[Этап]] &amp; " " &amp; Планирование[[#This Row],[Контекст простоя]] &amp; " " &amp; Планирование[[#This Row],[Событие]] &amp; " " &amp; Планирование[[#This Row],[Вид работ]] &amp; " " &amp; Планирование[[#This Row],[Объект работ]] &amp; " " &amp; Планирование[[#This Row],[Рейс]])</f>
        <v xml:space="preserve">600 ОК– КРС Промывка Скважина </v>
      </c>
      <c r="M108" s="912">
        <f ca="1">IF(Планирование[[#This Row],[Скважина]]&lt;&gt;B107,Планирование[[#This Row],[Начало (факт)]],N107)</f>
        <v>46179.274999999936</v>
      </c>
      <c r="N108" s="913">
        <f ca="1">Планирование[[#This Row],[Начало (цель)]]+Планирование[[#This Row],[Сутки (цель)]]</f>
        <v>46179.342916666603</v>
      </c>
      <c r="O108" s="914">
        <v>1.63</v>
      </c>
      <c r="Q108" s="916">
        <f>Планирование[[#This Row],[Часы (цель)]]/24</f>
        <v>6.7916666666666667E-2</v>
      </c>
      <c r="R108" s="916">
        <f>R107+Планирование[[#This Row],[Сутки (цель)]]</f>
        <v>4.4854166666666666</v>
      </c>
      <c r="S108" s="917">
        <f ca="1">Планирование[[#This Row],[Начало (цель)]]</f>
        <v>46179.274999999936</v>
      </c>
      <c r="T108" s="913">
        <f ca="1">Планирование[[#This Row],[Начало (план)]]+Планирование[[#This Row],[Сутки (план)]]</f>
        <v>46179.342916666603</v>
      </c>
      <c r="U108" s="914">
        <f>Планирование[[#This Row],[Часы (цель)]]</f>
        <v>1.63</v>
      </c>
      <c r="V108" s="918">
        <f>Планирование[[#This Row],[Забой, м (цель)]]</f>
        <v>0</v>
      </c>
      <c r="W108" s="916">
        <f>Планирование[[#This Row],[Часы (план)]]/24</f>
        <v>6.7916666666666667E-2</v>
      </c>
      <c r="X108" s="919">
        <f>X107+Планирование[[#This Row],[Сутки (план)]]</f>
        <v>4.4854166666666666</v>
      </c>
      <c r="Y108" s="912">
        <f t="array" ref="Y108">IFERROR(
    INDEX(Хронология[Начало], MATCH(1, (Хронология[Ключ]=Планирование[[#This Row],[Ключ]]) * (Хронология[Подытог за операцию]=MIN(IF(Хронология[Ключ]=Планирование[[#This Row],[Ключ]], Хронология[Подытог за операцию]))), 0)),
    Z83
)</f>
        <v>46188.291666666504</v>
      </c>
      <c r="Z108" s="920">
        <f t="array" aca="1" ref="Z108" ca="1">MAX(IFERROR(
    INDEX(Хронология[Окончание], MATCH(1, (Хронология[Ключ]=Планирование[[#This Row],[Ключ]]) * (Хронология[Подытог за операцию]=MAX(IF(Хронология[Ключ]=Планирование[[#This Row],[Ключ]], Хронология[Подытог за операцию]))), 0)),
    Y84+AC84
), Планирование[[#This Row],[Начало (факт)]]+Планирование[[#This Row],[Сутки (факт)]])</f>
        <v>46188.49999999984</v>
      </c>
      <c r="AA108" s="921">
        <f ca="1">IF(AND(Планирование[[#This Row],[Начало (факт)]]=Y109,Планирование[[#This Row],[Забой, м (факт)]]=AE109),0,Планирование[[#This Row],[Конец (факт, прогноз)]]-Планирование[[#This Row],[Начало (факт)]])</f>
        <v>0.20833333333575865</v>
      </c>
      <c r="AB108" s="921">
        <f ca="1">Планирование[[#This Row],[Часы (факт)]]-Планирование[[#This Row],[НПВ за операцию, часы]]-Планирование[[#This Row],[ПНВ, часы]]</f>
        <v>0.20833333333575865</v>
      </c>
      <c r="AC108" s="922">
        <f t="array" aca="1" ref="AC108" ca="1">IFERROR(
  IF(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окончены",
    MAX(IF(Хронология[Ключ]=Планирование[[#This Row],[Ключ]], Хронология[Подытог за операцию])),
    IF(
      Планирование[[#This Row],[Событие]]="Мех. бурение",
      (MAX(Хронология[Окончание]) - Планирование[[#This Row],[Начало (факт)]]) +
      (Планирование[[#This Row],[Забой, м (план)]] - Планирование[[#This Row],[Забой, м (факт)]]) /
      ((Планирование[[#This Row],[Забой, м (план)]] - V83)/Планирование[[#This Row],[Сутки (план)]]),
      IF(
        AND(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продолжаются",
          Планирование[[#This Row],[Начало (факт)]]&gt;0
        ),
        (TODAY()-Планирование[[#This Row],[Начало (факт)]]),
        IF(
          AND(Планирование[[#This Row],[Начало (факт)]]=0,
            Планирование[[#This Row],[Начало (план)]] &gt; MAX(Хронология[Начало])),
          Планирование[[#This Row],[Сутки (план)]],
          IF(
            AND((TODAY()-Планирование[[#This Row],[Начало (план)]])&gt;1,
              ISERR(MATCH(Планирование[[#This Row],[Ключ]], Хронология[Ключ], 0))),
            0,
            Планирование[[#This Row],[Сутки (план)]]
          )
        )
      )
    )
  ),
  Планирование[[#This Row],[Сутки (план)]]
)</f>
        <v>0.20833333333333334</v>
      </c>
      <c r="AD108" s="922">
        <f ca="1">Планирование[[#This Row],[Сутки (факт)]]</f>
        <v>0.20833333333333334</v>
      </c>
      <c r="AE108" s="923">
        <f t="array" ref="AE108">MAX(IF(Хронология[Ключ]=Планирование[[#This Row],[Ключ]], Хронология[Забой, м]))</f>
        <v>2758.16</v>
      </c>
      <c r="AF108" s="914">
        <f ca="1">IFERROR(
    SUMIFS(
        Хронология[Часы],
        Хронология[Результат], "НПВ: нет в ГГД",
        Хронология[Начало], "&gt;=" &amp; Планирование[[#This Row],[Начало (факт)]],
        Хронология[Окончание], "&lt;=" &amp; Планирование[[#This Row],[Конец (факт, прогноз)]]
    ),
    0
)</f>
        <v>0</v>
      </c>
      <c r="AG108" s="914">
        <f ca="1">IFERROR(
    SUMIFS(
        Хронология[Часы],
        Хронология[Результат], "НПВ: нет в ГГД",
        Хронология[Начало], "&gt;=" &amp; Планирование[[#This Row],[Конец (факт, прогноз)]],
        Хронология[Окончание], "&lt;=" &amp; Y85
    ),
    0
)</f>
        <v>0</v>
      </c>
      <c r="AH108" s="919">
        <f ca="1">ROUND(IF(Планирование[[#This Row],[Часы (факт)]]-Планирование[[#This Row],[НПВ за операцию, часы]]-Планирование[[#This Row],[Часы (план)]] &lt;0, 0, Планирование[[#This Row],[Часы (факт)]]-Планирование[[#This Row],[НПВ за операцию, часы]]-Планирование[[#This Row],[Часы (план)]]), 2)</f>
        <v>0</v>
      </c>
      <c r="AI108" s="918" t="s">
        <v>1060</v>
      </c>
      <c r="AJ108" s="924">
        <f ca="1">Планирование[[#This Row],[Конец (план)]]-Планирование[[#This Row],[Конец (факт, прогноз)]]</f>
        <v>-9.1570833332370967</v>
      </c>
    </row>
    <row r="109" spans="1:36" s="915" customFormat="1" ht="30" customHeight="1">
      <c r="A109" s="909" t="s">
        <v>400</v>
      </c>
      <c r="B109" s="910" t="s">
        <v>266</v>
      </c>
      <c r="C109" s="911"/>
      <c r="D109" s="911" t="s">
        <v>51</v>
      </c>
      <c r="E109" s="911" t="s">
        <v>58</v>
      </c>
      <c r="F109" s="911"/>
      <c r="G109" s="911" t="s">
        <v>90</v>
      </c>
      <c r="H109" s="911" t="s">
        <v>91</v>
      </c>
      <c r="I109" s="911" t="s">
        <v>92</v>
      </c>
      <c r="J109" s="911" t="s">
        <v>93</v>
      </c>
      <c r="K109" s="911"/>
      <c r="L109" s="911" t="str">
        <f>IF(Планирование[[#This Row],[Контекст простоя]]="Штатно", Планирование[[#This Row],[Скважина]] &amp; " " &amp; "ОК–" &amp;Планирование[[#This Row],[ОК]] &amp; " "  &amp; Планирование[[#This Row],[Этап]] &amp; " " &amp; Планирование[[#This Row],[Вид работ]] &amp; " " &amp; Планирование[[#This Row],[Объект работ]] &amp; " " &amp; Планирование[[#This Row],[Рейс]], Планирование[[#This Row],[Скважина]] &amp; " " &amp; "ОК–" &amp;Планирование[[#This Row],[ОК]] &amp; " " &amp; Планирование[[#This Row],[Этап]] &amp; " " &amp; Планирование[[#This Row],[Контекст простоя]] &amp; " " &amp; Планирование[[#This Row],[Событие]] &amp; " " &amp; Планирование[[#This Row],[Вид работ]] &amp; " " &amp; Планирование[[#This Row],[Объект работ]] &amp; " " &amp; Планирование[[#This Row],[Рейс]])</f>
        <v xml:space="preserve">600 ОК– КРС Подъем УЭЦН </v>
      </c>
      <c r="M109" s="912">
        <f ca="1">IF(Планирование[[#This Row],[Скважина]]&lt;&gt;B108,Планирование[[#This Row],[Начало (факт)]],N108)</f>
        <v>46179.342916666603</v>
      </c>
      <c r="N109" s="913">
        <f ca="1">Планирование[[#This Row],[Начало (цель)]]+Планирование[[#This Row],[Сутки (цель)]]</f>
        <v>46179.517499999936</v>
      </c>
      <c r="O109" s="914">
        <v>4.1900000000000004</v>
      </c>
      <c r="Q109" s="916">
        <f>Планирование[[#This Row],[Часы (цель)]]/24</f>
        <v>0.17458333333333334</v>
      </c>
      <c r="R109" s="916">
        <f>R108+Планирование[[#This Row],[Сутки (цель)]]</f>
        <v>4.66</v>
      </c>
      <c r="S109" s="917">
        <f ca="1">Планирование[[#This Row],[Начало (цель)]]</f>
        <v>46179.342916666603</v>
      </c>
      <c r="T109" s="913">
        <f ca="1">Планирование[[#This Row],[Начало (план)]]+Планирование[[#This Row],[Сутки (план)]]</f>
        <v>46179.517499999936</v>
      </c>
      <c r="U109" s="914">
        <f>Планирование[[#This Row],[Часы (цель)]]</f>
        <v>4.1900000000000004</v>
      </c>
      <c r="V109" s="918">
        <f>Планирование[[#This Row],[Забой, м (цель)]]</f>
        <v>0</v>
      </c>
      <c r="W109" s="916">
        <f>Планирование[[#This Row],[Часы (план)]]/24</f>
        <v>0.17458333333333334</v>
      </c>
      <c r="X109" s="919">
        <f>X108+Планирование[[#This Row],[Сутки (план)]]</f>
        <v>4.66</v>
      </c>
      <c r="Y109" s="912">
        <f t="array" ref="Y109">IFERROR(
    INDEX(Хронология[Начало], MATCH(1, (Хронология[Ключ]=Планирование[[#This Row],[Ключ]]) * (Хронология[Подытог за операцию]=MIN(IF(Хронология[Ключ]=Планирование[[#This Row],[Ключ]], Хронология[Подытог за операцию]))), 0)),
    Z83
)</f>
        <v>46188.49999999984</v>
      </c>
      <c r="Z109" s="920">
        <f t="array" aca="1" ref="Z109" ca="1">MAX(IFERROR(
    INDEX(Хронология[Окончание], MATCH(1, (Хронология[Ключ]=Планирование[[#This Row],[Ключ]]) * (Хронология[Подытог за операцию]=MAX(IF(Хронология[Ключ]=Планирование[[#This Row],[Ключ]], Хронология[Подытог за операцию]))), 0)),
    Y84+AC84
), Планирование[[#This Row],[Начало (факт)]]+Планирование[[#This Row],[Сутки (факт)]])</f>
        <v>46188.666666666504</v>
      </c>
      <c r="AA109" s="921">
        <f ca="1">IF(AND(Планирование[[#This Row],[Начало (факт)]]=Y110,Планирование[[#This Row],[Забой, м (факт)]]=AE110),0,Планирование[[#This Row],[Конец (факт, прогноз)]]-Планирование[[#This Row],[Начало (факт)]])</f>
        <v>0.16666666666424135</v>
      </c>
      <c r="AB109" s="921">
        <f ca="1">Планирование[[#This Row],[Часы (факт)]]-Планирование[[#This Row],[НПВ за операцию, часы]]-Планирование[[#This Row],[ПНВ, часы]]</f>
        <v>0.16666666666424135</v>
      </c>
      <c r="AC109" s="922">
        <f t="array" aca="1" ref="AC109" ca="1">IFERROR(
  IF(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окончены",
    MAX(IF(Хронология[Ключ]=Планирование[[#This Row],[Ключ]], Хронология[Подытог за операцию])),
    IF(
      Планирование[[#This Row],[Событие]]="Мех. бурение",
      (MAX(Хронология[Окончание]) - Планирование[[#This Row],[Начало (факт)]]) +
      (Планирование[[#This Row],[Забой, м (план)]] - Планирование[[#This Row],[Забой, м (факт)]]) /
      ((Планирование[[#This Row],[Забой, м (план)]] - V83)/Планирование[[#This Row],[Сутки (план)]]),
      IF(
        AND(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продолжаются",
          Планирование[[#This Row],[Начало (факт)]]&gt;0
        ),
        (TODAY()-Планирование[[#This Row],[Начало (факт)]]),
        IF(
          AND(Планирование[[#This Row],[Начало (факт)]]=0,
            Планирование[[#This Row],[Начало (план)]] &gt; MAX(Хронология[Начало])),
          Планирование[[#This Row],[Сутки (план)]],
          IF(
            AND((TODAY()-Планирование[[#This Row],[Начало (план)]])&gt;1,
              ISERR(MATCH(Планирование[[#This Row],[Ключ]], Хронология[Ключ], 0))),
            0,
            Планирование[[#This Row],[Сутки (план)]]
          )
        )
      )
    )
  ),
  Планирование[[#This Row],[Сутки (план)]]
)</f>
        <v>0.16666666666666666</v>
      </c>
      <c r="AD109" s="922">
        <f ca="1">Планирование[[#This Row],[Сутки (факт)]]</f>
        <v>0.16666666666666666</v>
      </c>
      <c r="AE109" s="923">
        <f t="array" ref="AE109">MAX(IF(Хронология[Ключ]=Планирование[[#This Row],[Ключ]], Хронология[Забой, м]))</f>
        <v>2758.16</v>
      </c>
      <c r="AF109" s="914">
        <f ca="1">IFERROR(
    SUMIFS(
        Хронология[Часы],
        Хронология[Результат], "НПВ: нет в ГГД",
        Хронология[Начало], "&gt;=" &amp; Планирование[[#This Row],[Начало (факт)]],
        Хронология[Окончание], "&lt;=" &amp; Планирование[[#This Row],[Конец (факт, прогноз)]]
    ),
    0
)</f>
        <v>0</v>
      </c>
      <c r="AG109" s="914">
        <f ca="1">IFERROR(
    SUMIFS(
        Хронология[Часы],
        Хронология[Результат], "НПВ: нет в ГГД",
        Хронология[Начало], "&gt;=" &amp; Планирование[[#This Row],[Конец (факт, прогноз)]],
        Хронология[Окончание], "&lt;=" &amp; Y85
    ),
    0
)</f>
        <v>0</v>
      </c>
      <c r="AH109" s="919">
        <f ca="1">ROUND(IF(Планирование[[#This Row],[Часы (факт)]]-Планирование[[#This Row],[НПВ за операцию, часы]]-Планирование[[#This Row],[Часы (план)]] &lt;0, 0, Планирование[[#This Row],[Часы (факт)]]-Планирование[[#This Row],[НПВ за операцию, часы]]-Планирование[[#This Row],[Часы (план)]]), 2)</f>
        <v>0</v>
      </c>
      <c r="AI109" s="918" t="s">
        <v>1060</v>
      </c>
      <c r="AJ109" s="924">
        <f ca="1">Планирование[[#This Row],[Конец (план)]]-Планирование[[#This Row],[Конец (факт, прогноз)]]</f>
        <v>-9.1491666665679077</v>
      </c>
    </row>
    <row r="110" spans="1:36" s="915" customFormat="1" ht="30" customHeight="1">
      <c r="A110" s="909" t="s">
        <v>1120</v>
      </c>
      <c r="B110" s="910" t="s">
        <v>266</v>
      </c>
      <c r="C110" s="911"/>
      <c r="D110" s="911" t="s">
        <v>59</v>
      </c>
      <c r="E110" s="911" t="s">
        <v>58</v>
      </c>
      <c r="F110" s="911"/>
      <c r="G110" s="911" t="s">
        <v>78</v>
      </c>
      <c r="H110" s="911" t="s">
        <v>1121</v>
      </c>
      <c r="I110" s="911" t="s">
        <v>92</v>
      </c>
      <c r="J110" s="911" t="s">
        <v>513</v>
      </c>
      <c r="K110" s="911"/>
      <c r="L110" s="911" t="str">
        <f>IF(Планирование[[#This Row],[Контекст простоя]]="Штатно", Планирование[[#This Row],[Скважина]] &amp; " " &amp; "ОК–" &amp;Планирование[[#This Row],[ОК]] &amp; " "  &amp; Планирование[[#This Row],[Этап]] &amp; " " &amp; Планирование[[#This Row],[Вид работ]] &amp; " " &amp; Планирование[[#This Row],[Объект работ]] &amp; " " &amp; Планирование[[#This Row],[Рейс]], Планирование[[#This Row],[Скважина]] &amp; " " &amp; "ОК–" &amp;Планирование[[#This Row],[ОК]] &amp; " " &amp; Планирование[[#This Row],[Этап]] &amp; " " &amp; Планирование[[#This Row],[Контекст простоя]] &amp; " " &amp; Планирование[[#This Row],[Событие]] &amp; " " &amp; Планирование[[#This Row],[Вид работ]] &amp; " " &amp; Планирование[[#This Row],[Объект работ]] &amp; " " &amp; Планирование[[#This Row],[Рейс]])</f>
        <v xml:space="preserve">600 ОК– ПР Подготовка инструмента НКТ </v>
      </c>
      <c r="M110" s="912">
        <f ca="1">IF(Планирование[[#This Row],[Скважина]]&lt;&gt;B109,Планирование[[#This Row],[Начало (факт)]],N109)</f>
        <v>46179.517499999936</v>
      </c>
      <c r="N110" s="913">
        <f ca="1">Планирование[[#This Row],[Начало (цель)]]+Планирование[[#This Row],[Сутки (цель)]]</f>
        <v>46179.656249999935</v>
      </c>
      <c r="O110" s="914">
        <v>3.33</v>
      </c>
      <c r="Q110" s="916">
        <f>Планирование[[#This Row],[Часы (цель)]]/24</f>
        <v>0.13875000000000001</v>
      </c>
      <c r="R110" s="916">
        <f>R109+Планирование[[#This Row],[Сутки (цель)]]</f>
        <v>4.7987500000000001</v>
      </c>
      <c r="S110" s="917">
        <f ca="1">Планирование[[#This Row],[Начало (цель)]]</f>
        <v>46179.517499999936</v>
      </c>
      <c r="T110" s="913">
        <f ca="1">Планирование[[#This Row],[Начало (план)]]+Планирование[[#This Row],[Сутки (план)]]</f>
        <v>46179.656249999935</v>
      </c>
      <c r="U110" s="914">
        <f>Планирование[[#This Row],[Часы (цель)]]</f>
        <v>3.33</v>
      </c>
      <c r="V110" s="918">
        <f>Планирование[[#This Row],[Забой, м (цель)]]</f>
        <v>0</v>
      </c>
      <c r="W110" s="916">
        <f>Планирование[[#This Row],[Часы (план)]]/24</f>
        <v>0.13875000000000001</v>
      </c>
      <c r="X110" s="919">
        <f>X109+Планирование[[#This Row],[Сутки (план)]]</f>
        <v>4.7987500000000001</v>
      </c>
      <c r="Y110" s="912">
        <f t="array" aca="1" ref="Y110" ca="1">IFERROR(
    INDEX(Хронология[Начало], MATCH(1, (Хронология[Ключ]=Планирование[[#This Row],[Ключ]]) * (Хронология[Подытог за операцию]=MIN(IF(Хронология[Ключ]=Планирование[[#This Row],[Ключ]], Хронология[Подытог за операцию]))), 0)),
    Z83
)</f>
        <v>46174.857499999933</v>
      </c>
      <c r="Z110" s="920">
        <f t="array" aca="1" ref="Z110" ca="1">MAX(IFERROR(
    INDEX(Хронология[Окончание], MATCH(1, (Хронология[Ключ]=Планирование[[#This Row],[Ключ]]) * (Хронология[Подытог за операцию]=MAX(IF(Хронология[Ключ]=Планирование[[#This Row],[Ключ]], Хронология[Подытог за операцию]))), 0)),
    Y84+AC84
), Планирование[[#This Row],[Начало (факт)]]+Планирование[[#This Row],[Сутки (факт)]])</f>
        <v>46175.034999999931</v>
      </c>
      <c r="AA110" s="921">
        <f ca="1">IF(AND(Планирование[[#This Row],[Начало (факт)]]=Y111,Планирование[[#This Row],[Забой, м (факт)]]=AE111),0,Планирование[[#This Row],[Конец (факт, прогноз)]]-Планирование[[#This Row],[Начало (факт)]])</f>
        <v>0.17749999999796273</v>
      </c>
      <c r="AB110" s="921">
        <f ca="1">Планирование[[#This Row],[Часы (факт)]]-Планирование[[#This Row],[НПВ за операцию, часы]]-Планирование[[#This Row],[ПНВ, часы]]</f>
        <v>0.17749999999796273</v>
      </c>
      <c r="AC110" s="922">
        <f t="array" aca="1" ref="AC110" ca="1">IFERROR(
  IF(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окончены",
    MAX(IF(Хронология[Ключ]=Планирование[[#This Row],[Ключ]], Хронология[Подытог за операцию])),
    IF(
      Планирование[[#This Row],[Событие]]="Мех. бурение",
      (MAX(Хронология[Окончание]) - Планирование[[#This Row],[Начало (факт)]]) +
      (Планирование[[#This Row],[Забой, м (план)]] - Планирование[[#This Row],[Забой, м (факт)]]) /
      ((Планирование[[#This Row],[Забой, м (план)]] - V83)/Планирование[[#This Row],[Сутки (план)]]),
      IF(
        AND(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продолжаются",
          Планирование[[#This Row],[Начало (факт)]]&gt;0
        ),
        (TODAY()-Планирование[[#This Row],[Начало (факт)]]),
        IF(
          AND(Планирование[[#This Row],[Начало (факт)]]=0,
            Планирование[[#This Row],[Начало (план)]] &gt; MAX(Хронология[Начало])),
          Планирование[[#This Row],[Сутки (план)]],
          IF(
            AND((TODAY()-Планирование[[#This Row],[Начало (план)]])&gt;1,
              ISERR(MATCH(Планирование[[#This Row],[Ключ]], Хронология[Ключ], 0))),
            0,
            Планирование[[#This Row],[Сутки (план)]]
          )
        )
      )
    )
  ),
  Планирование[[#This Row],[Сутки (план)]]
)</f>
        <v>0.13875000000000001</v>
      </c>
      <c r="AD110" s="922">
        <f ca="1">Планирование[[#This Row],[Сутки (факт)]]</f>
        <v>0.13875000000000001</v>
      </c>
      <c r="AE110" s="923">
        <f t="array" ref="AE110">MAX(IF(Хронология[Ключ]=Планирование[[#This Row],[Ключ]], Хронология[Забой, м]))</f>
        <v>0</v>
      </c>
      <c r="AF110" s="914">
        <f ca="1">IFERROR(
    SUMIFS(
        Хронология[Часы],
        Хронология[Результат], "НПВ: нет в ГГД",
        Хронология[Начало], "&gt;=" &amp; Планирование[[#This Row],[Начало (факт)]],
        Хронология[Окончание], "&lt;=" &amp; Планирование[[#This Row],[Конец (факт, прогноз)]]
    ),
    0
)</f>
        <v>0</v>
      </c>
      <c r="AG110" s="914">
        <f ca="1">IFERROR(
    SUMIFS(
        Хронология[Часы],
        Хронология[Результат], "НПВ: нет в ГГД",
        Хронология[Начало], "&gt;=" &amp; Планирование[[#This Row],[Конец (факт, прогноз)]],
        Хронология[Окончание], "&lt;=" &amp; Y85
    ),
    0
)</f>
        <v>0</v>
      </c>
      <c r="AH110" s="919">
        <f ca="1">ROUND(IF(Планирование[[#This Row],[Часы (факт)]]-Планирование[[#This Row],[НПВ за операцию, часы]]-Планирование[[#This Row],[Часы (план)]] &lt;0, 0, Планирование[[#This Row],[Часы (факт)]]-Планирование[[#This Row],[НПВ за операцию, часы]]-Планирование[[#This Row],[Часы (план)]]), 2)</f>
        <v>0</v>
      </c>
      <c r="AI110" s="918" t="s">
        <v>1060</v>
      </c>
      <c r="AJ110" s="924">
        <f ca="1">Планирование[[#This Row],[Конец (план)]]-Планирование[[#This Row],[Конец (факт, прогноз)]]</f>
        <v>4.6212500000037835</v>
      </c>
    </row>
    <row r="111" spans="1:36" s="915" customFormat="1" ht="30" customHeight="1">
      <c r="A111" s="909" t="s">
        <v>400</v>
      </c>
      <c r="B111" s="910" t="s">
        <v>266</v>
      </c>
      <c r="C111" s="911"/>
      <c r="D111" s="911" t="s">
        <v>51</v>
      </c>
      <c r="E111" s="911" t="s">
        <v>58</v>
      </c>
      <c r="F111" s="911"/>
      <c r="G111" s="911" t="s">
        <v>90</v>
      </c>
      <c r="H111" s="911" t="s">
        <v>91</v>
      </c>
      <c r="I111" s="911" t="s">
        <v>92</v>
      </c>
      <c r="J111" s="911" t="s">
        <v>93</v>
      </c>
      <c r="K111" s="911"/>
      <c r="L111" s="911" t="str">
        <f>IF(Планирование[[#This Row],[Контекст простоя]]="Штатно", Планирование[[#This Row],[Скважина]] &amp; " " &amp; "ОК–" &amp;Планирование[[#This Row],[ОК]] &amp; " "  &amp; Планирование[[#This Row],[Этап]] &amp; " " &amp; Планирование[[#This Row],[Вид работ]] &amp; " " &amp; Планирование[[#This Row],[Объект работ]] &amp; " " &amp; Планирование[[#This Row],[Рейс]], Планирование[[#This Row],[Скважина]] &amp; " " &amp; "ОК–" &amp;Планирование[[#This Row],[ОК]] &amp; " " &amp; Планирование[[#This Row],[Этап]] &amp; " " &amp; Планирование[[#This Row],[Контекст простоя]] &amp; " " &amp; Планирование[[#This Row],[Событие]] &amp; " " &amp; Планирование[[#This Row],[Вид работ]] &amp; " " &amp; Планирование[[#This Row],[Объект работ]] &amp; " " &amp; Планирование[[#This Row],[Рейс]])</f>
        <v xml:space="preserve">600 ОК– КРС Подъем УЭЦН </v>
      </c>
      <c r="M111" s="912">
        <f ca="1">IF(Планирование[[#This Row],[Скважина]]&lt;&gt;B110,Планирование[[#This Row],[Начало (факт)]],N110)</f>
        <v>46179.656249999935</v>
      </c>
      <c r="N111" s="913">
        <f ca="1">Планирование[[#This Row],[Начало (цель)]]+Планирование[[#This Row],[Сутки (цель)]]</f>
        <v>46179.701666666602</v>
      </c>
      <c r="O111" s="914">
        <v>1.0900000000000001</v>
      </c>
      <c r="Q111" s="916">
        <f>Планирование[[#This Row],[Часы (цель)]]/24</f>
        <v>4.5416666666666668E-2</v>
      </c>
      <c r="R111" s="916">
        <f>R110+Планирование[[#This Row],[Сутки (цель)]]</f>
        <v>4.8441666666666672</v>
      </c>
      <c r="S111" s="917">
        <f ca="1">Планирование[[#This Row],[Начало (цель)]]</f>
        <v>46179.656249999935</v>
      </c>
      <c r="T111" s="913">
        <f ca="1">Планирование[[#This Row],[Начало (план)]]+Планирование[[#This Row],[Сутки (план)]]</f>
        <v>46179.701666666602</v>
      </c>
      <c r="U111" s="914">
        <f>Планирование[[#This Row],[Часы (цель)]]</f>
        <v>1.0900000000000001</v>
      </c>
      <c r="V111" s="918">
        <f>Планирование[[#This Row],[Забой, м (цель)]]</f>
        <v>0</v>
      </c>
      <c r="W111" s="916">
        <f>Планирование[[#This Row],[Часы (план)]]/24</f>
        <v>4.5416666666666668E-2</v>
      </c>
      <c r="X111" s="919">
        <f>X110+Планирование[[#This Row],[Сутки (план)]]</f>
        <v>4.8441666666666672</v>
      </c>
      <c r="Y111" s="912">
        <f t="array" ref="Y111">IFERROR(
    INDEX(Хронология[Начало], MATCH(1, (Хронология[Ключ]=Планирование[[#This Row],[Ключ]]) * (Хронология[Подытог за операцию]=MIN(IF(Хронология[Ключ]=Планирование[[#This Row],[Ключ]], Хронология[Подытог за операцию]))), 0)),
    Z83
)</f>
        <v>46188.49999999984</v>
      </c>
      <c r="Z111" s="920">
        <f t="array" aca="1" ref="Z111" ca="1">MAX(IFERROR(
    INDEX(Хронология[Окончание], MATCH(1, (Хронология[Ключ]=Планирование[[#This Row],[Ключ]]) * (Хронология[Подытог за операцию]=MAX(IF(Хронология[Ключ]=Планирование[[#This Row],[Ключ]], Хронология[Подытог за операцию]))), 0)),
    Y84+AC84
), Планирование[[#This Row],[Начало (факт)]]+Планирование[[#This Row],[Сутки (факт)]])</f>
        <v>46188.666666666504</v>
      </c>
      <c r="AA111" s="921">
        <f ca="1">IF(AND(Планирование[[#This Row],[Начало (факт)]]=Y112,Планирование[[#This Row],[Забой, м (факт)]]=AE112),0,Планирование[[#This Row],[Конец (факт, прогноз)]]-Планирование[[#This Row],[Начало (факт)]])</f>
        <v>0.16666666666424135</v>
      </c>
      <c r="AB111" s="921">
        <f ca="1">Планирование[[#This Row],[Часы (факт)]]-Планирование[[#This Row],[НПВ за операцию, часы]]-Планирование[[#This Row],[ПНВ, часы]]</f>
        <v>0.16666666666424135</v>
      </c>
      <c r="AC111" s="922">
        <f t="array" aca="1" ref="AC111" ca="1">IFERROR(
  IF(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окончены",
    MAX(IF(Хронология[Ключ]=Планирование[[#This Row],[Ключ]], Хронология[Подытог за операцию])),
    IF(
      Планирование[[#This Row],[Событие]]="Мех. бурение",
      (MAX(Хронология[Окончание]) - Планирование[[#This Row],[Начало (факт)]]) +
      (Планирование[[#This Row],[Забой, м (план)]] - Планирование[[#This Row],[Забой, м (факт)]]) /
      ((Планирование[[#This Row],[Забой, м (план)]] - V83)/Планирование[[#This Row],[Сутки (план)]]),
      IF(
        AND(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продолжаются",
          Планирование[[#This Row],[Начало (факт)]]&gt;0
        ),
        (TODAY()-Планирование[[#This Row],[Начало (факт)]]),
        IF(
          AND(Планирование[[#This Row],[Начало (факт)]]=0,
            Планирование[[#This Row],[Начало (план)]] &gt; MAX(Хронология[Начало])),
          Планирование[[#This Row],[Сутки (план)]],
          IF(
            AND((TODAY()-Планирование[[#This Row],[Начало (план)]])&gt;1,
              ISERR(MATCH(Планирование[[#This Row],[Ключ]], Хронология[Ключ], 0))),
            0,
            Планирование[[#This Row],[Сутки (план)]]
          )
        )
      )
    )
  ),
  Планирование[[#This Row],[Сутки (план)]]
)</f>
        <v>0.16666666666666666</v>
      </c>
      <c r="AD111" s="922">
        <f ca="1">Планирование[[#This Row],[Сутки (факт)]]</f>
        <v>0.16666666666666666</v>
      </c>
      <c r="AE111" s="923">
        <f t="array" ref="AE111">MAX(IF(Хронология[Ключ]=Планирование[[#This Row],[Ключ]], Хронология[Забой, м]))</f>
        <v>2758.16</v>
      </c>
      <c r="AF111" s="914">
        <f ca="1">IFERROR(
    SUMIFS(
        Хронология[Часы],
        Хронология[Результат], "НПВ: нет в ГГД",
        Хронология[Начало], "&gt;=" &amp; Планирование[[#This Row],[Начало (факт)]],
        Хронология[Окончание], "&lt;=" &amp; Планирование[[#This Row],[Конец (факт, прогноз)]]
    ),
    0
)</f>
        <v>0</v>
      </c>
      <c r="AG111" s="914">
        <f ca="1">IFERROR(
    SUMIFS(
        Хронология[Часы],
        Хронология[Результат], "НПВ: нет в ГГД",
        Хронология[Начало], "&gt;=" &amp; Планирование[[#This Row],[Конец (факт, прогноз)]],
        Хронология[Окончание], "&lt;=" &amp; Y85
    ),
    0
)</f>
        <v>0</v>
      </c>
      <c r="AH111" s="919">
        <f ca="1">ROUND(IF(Планирование[[#This Row],[Часы (факт)]]-Планирование[[#This Row],[НПВ за операцию, часы]]-Планирование[[#This Row],[Часы (план)]] &lt;0, 0, Планирование[[#This Row],[Часы (факт)]]-Планирование[[#This Row],[НПВ за операцию, часы]]-Планирование[[#This Row],[Часы (план)]]), 2)</f>
        <v>0</v>
      </c>
      <c r="AI111" s="918" t="s">
        <v>1060</v>
      </c>
      <c r="AJ111" s="924">
        <f ca="1">Планирование[[#This Row],[Конец (план)]]-Планирование[[#This Row],[Конец (факт, прогноз)]]</f>
        <v>-8.9649999999019201</v>
      </c>
    </row>
    <row r="112" spans="1:36" s="915" customFormat="1" ht="30" customHeight="1">
      <c r="A112" s="909" t="s">
        <v>1122</v>
      </c>
      <c r="B112" s="910" t="s">
        <v>266</v>
      </c>
      <c r="C112" s="911"/>
      <c r="D112" s="911" t="s">
        <v>51</v>
      </c>
      <c r="E112" s="911" t="s">
        <v>58</v>
      </c>
      <c r="F112" s="911"/>
      <c r="G112" s="911" t="s">
        <v>95</v>
      </c>
      <c r="H112" s="911" t="s">
        <v>108</v>
      </c>
      <c r="I112" s="911" t="s">
        <v>92</v>
      </c>
      <c r="J112" s="911" t="s">
        <v>93</v>
      </c>
      <c r="K112" s="911"/>
      <c r="L112" s="911" t="str">
        <f>IF(Планирование[[#This Row],[Контекст простоя]]="Штатно", Планирование[[#This Row],[Скважина]] &amp; " " &amp; "ОК–" &amp;Планирование[[#This Row],[ОК]] &amp; " "  &amp; Планирование[[#This Row],[Этап]] &amp; " " &amp; Планирование[[#This Row],[Вид работ]] &amp; " " &amp; Планирование[[#This Row],[Объект работ]] &amp; " " &amp; Планирование[[#This Row],[Рейс]], Планирование[[#This Row],[Скважина]] &amp; " " &amp; "ОК–" &amp;Планирование[[#This Row],[ОК]] &amp; " " &amp; Планирование[[#This Row],[Этап]] &amp; " " &amp; Планирование[[#This Row],[Контекст простоя]] &amp; " " &amp; Планирование[[#This Row],[Событие]] &amp; " " &amp; Планирование[[#This Row],[Вид работ]] &amp; " " &amp; Планирование[[#This Row],[Объект работ]] &amp; " " &amp; Планирование[[#This Row],[Рейс]])</f>
        <v xml:space="preserve">600 ОК– КРС Демонтаж УЭЦН </v>
      </c>
      <c r="M112" s="912">
        <f ca="1">IF(Планирование[[#This Row],[Скважина]]&lt;&gt;B111,Планирование[[#This Row],[Начало (факт)]],N111)</f>
        <v>46179.701666666602</v>
      </c>
      <c r="N112" s="913">
        <f ca="1">Планирование[[#This Row],[Начало (цель)]]+Планирование[[#This Row],[Сутки (цель)]]</f>
        <v>46179.871666666601</v>
      </c>
      <c r="O112" s="914">
        <v>4.08</v>
      </c>
      <c r="Q112" s="916">
        <f>Планирование[[#This Row],[Часы (цель)]]/24</f>
        <v>0.17</v>
      </c>
      <c r="R112" s="916">
        <f>R111+Планирование[[#This Row],[Сутки (цель)]]</f>
        <v>5.0141666666666671</v>
      </c>
      <c r="S112" s="917">
        <f ca="1">Планирование[[#This Row],[Начало (цель)]]</f>
        <v>46179.701666666602</v>
      </c>
      <c r="T112" s="913">
        <f ca="1">Планирование[[#This Row],[Начало (план)]]+Планирование[[#This Row],[Сутки (план)]]</f>
        <v>46179.871666666601</v>
      </c>
      <c r="U112" s="914">
        <f>Планирование[[#This Row],[Часы (цель)]]</f>
        <v>4.08</v>
      </c>
      <c r="V112" s="918">
        <f>Планирование[[#This Row],[Забой, м (цель)]]</f>
        <v>0</v>
      </c>
      <c r="W112" s="916">
        <f>Планирование[[#This Row],[Часы (план)]]/24</f>
        <v>0.17</v>
      </c>
      <c r="X112" s="919">
        <f>X111+Планирование[[#This Row],[Сутки (план)]]</f>
        <v>5.0141666666666671</v>
      </c>
      <c r="Y112" s="912">
        <f t="array" aca="1" ref="Y112" ca="1">IFERROR(
    INDEX(Хронология[Начало], MATCH(1, (Хронология[Ключ]=Планирование[[#This Row],[Ключ]]) * (Хронология[Подытог за операцию]=MIN(IF(Хронология[Ключ]=Планирование[[#This Row],[Ключ]], Хронология[Подытог за операцию]))), 0)),
    Z83
)</f>
        <v>46174.857499999933</v>
      </c>
      <c r="Z112" s="920">
        <f t="array" aca="1" ref="Z112" ca="1">MAX(IFERROR(
    INDEX(Хронология[Окончание], MATCH(1, (Хронология[Ключ]=Планирование[[#This Row],[Ключ]]) * (Хронология[Подытог за операцию]=MAX(IF(Хронология[Ключ]=Планирование[[#This Row],[Ключ]], Хронология[Подытог за операцию]))), 0)),
    Y84+AC84
), Планирование[[#This Row],[Начало (факт)]]+Планирование[[#This Row],[Сутки (факт)]])</f>
        <v>46175.034999999931</v>
      </c>
      <c r="AA112" s="921">
        <f ca="1">IF(AND(Планирование[[#This Row],[Начало (факт)]]=Y113,Планирование[[#This Row],[Забой, м (факт)]]=AE113),0,Планирование[[#This Row],[Конец (факт, прогноз)]]-Планирование[[#This Row],[Начало (факт)]])</f>
        <v>0.17749999999796273</v>
      </c>
      <c r="AB112" s="921">
        <f ca="1">Планирование[[#This Row],[Часы (факт)]]-Планирование[[#This Row],[НПВ за операцию, часы]]-Планирование[[#This Row],[ПНВ, часы]]</f>
        <v>0.17749999999796273</v>
      </c>
      <c r="AC112" s="922">
        <f t="array" aca="1" ref="AC112" ca="1">IFERROR(
  IF(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окончены",
    MAX(IF(Хронология[Ключ]=Планирование[[#This Row],[Ключ]], Хронология[Подытог за операцию])),
    IF(
      Планирование[[#This Row],[Событие]]="Мех. бурение",
      (MAX(Хронология[Окончание]) - Планирование[[#This Row],[Начало (факт)]]) +
      (Планирование[[#This Row],[Забой, м (план)]] - Планирование[[#This Row],[Забой, м (факт)]]) /
      ((Планирование[[#This Row],[Забой, м (план)]] - V83)/Планирование[[#This Row],[Сутки (план)]]),
      IF(
        AND(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продолжаются",
          Планирование[[#This Row],[Начало (факт)]]&gt;0
        ),
        (TODAY()-Планирование[[#This Row],[Начало (факт)]]),
        IF(
          AND(Планирование[[#This Row],[Начало (факт)]]=0,
            Планирование[[#This Row],[Начало (план)]] &gt; MAX(Хронология[Начало])),
          Планирование[[#This Row],[Сутки (план)]],
          IF(
            AND((TODAY()-Планирование[[#This Row],[Начало (план)]])&gt;1,
              ISERR(MATCH(Планирование[[#This Row],[Ключ]], Хронология[Ключ], 0))),
            0,
            Планирование[[#This Row],[Сутки (план)]]
          )
        )
      )
    )
  ),
  Планирование[[#This Row],[Сутки (план)]]
)</f>
        <v>0.17</v>
      </c>
      <c r="AD112" s="922">
        <f ca="1">Планирование[[#This Row],[Сутки (факт)]]</f>
        <v>0.17</v>
      </c>
      <c r="AE112" s="923">
        <f t="array" ref="AE112">MAX(IF(Хронология[Ключ]=Планирование[[#This Row],[Ключ]], Хронология[Забой, м]))</f>
        <v>0</v>
      </c>
      <c r="AF112" s="914">
        <f ca="1">IFERROR(
    SUMIFS(
        Хронология[Часы],
        Хронология[Результат], "НПВ: нет в ГГД",
        Хронология[Начало], "&gt;=" &amp; Планирование[[#This Row],[Начало (факт)]],
        Хронология[Окончание], "&lt;=" &amp; Планирование[[#This Row],[Конец (факт, прогноз)]]
    ),
    0
)</f>
        <v>0</v>
      </c>
      <c r="AG112" s="914">
        <f ca="1">IFERROR(
    SUMIFS(
        Хронология[Часы],
        Хронология[Результат], "НПВ: нет в ГГД",
        Хронология[Начало], "&gt;=" &amp; Планирование[[#This Row],[Конец (факт, прогноз)]],
        Хронология[Окончание], "&lt;=" &amp; Y85
    ),
    0
)</f>
        <v>0</v>
      </c>
      <c r="AH112" s="919">
        <f ca="1">ROUND(IF(Планирование[[#This Row],[Часы (факт)]]-Планирование[[#This Row],[НПВ за операцию, часы]]-Планирование[[#This Row],[Часы (план)]] &lt;0, 0, Планирование[[#This Row],[Часы (факт)]]-Планирование[[#This Row],[НПВ за операцию, часы]]-Планирование[[#This Row],[Часы (план)]]), 2)</f>
        <v>0</v>
      </c>
      <c r="AI112" s="918" t="s">
        <v>1060</v>
      </c>
      <c r="AJ112" s="924">
        <f ca="1">Планирование[[#This Row],[Конец (план)]]-Планирование[[#This Row],[Конец (факт, прогноз)]]</f>
        <v>4.8366666666697711</v>
      </c>
    </row>
    <row r="113" spans="1:36" s="915" customFormat="1" ht="30" customHeight="1">
      <c r="A113" s="909" t="s">
        <v>415</v>
      </c>
      <c r="B113" s="910" t="s">
        <v>266</v>
      </c>
      <c r="C113" s="911"/>
      <c r="D113" s="911" t="s">
        <v>98</v>
      </c>
      <c r="E113" s="911" t="s">
        <v>58</v>
      </c>
      <c r="F113" s="911"/>
      <c r="G113" s="911" t="s">
        <v>98</v>
      </c>
      <c r="H113" s="911" t="s">
        <v>98</v>
      </c>
      <c r="I113" s="911" t="s">
        <v>99</v>
      </c>
      <c r="J113" s="911" t="s">
        <v>414</v>
      </c>
      <c r="K113" s="911"/>
      <c r="L113" s="911" t="str">
        <f>IF(Планирование[[#This Row],[Контекст простоя]]="Штатно", Планирование[[#This Row],[Скважина]] &amp; " " &amp; "ОК–" &amp;Планирование[[#This Row],[ОК]] &amp; " "  &amp; Планирование[[#This Row],[Этап]] &amp; " " &amp; Планирование[[#This Row],[Вид работ]] &amp; " " &amp; Планирование[[#This Row],[Объект работ]] &amp; " " &amp; Планирование[[#This Row],[Рейс]], Планирование[[#This Row],[Скважина]] &amp; " " &amp; "ОК–" &amp;Планирование[[#This Row],[ОК]] &amp; " " &amp; Планирование[[#This Row],[Этап]] &amp; " " &amp; Планирование[[#This Row],[Контекст простоя]] &amp; " " &amp; Планирование[[#This Row],[Событие]] &amp; " " &amp; Планирование[[#This Row],[Вид работ]] &amp; " " &amp; Планирование[[#This Row],[Объект работ]] &amp; " " &amp; Планирование[[#This Row],[Рейс]])</f>
        <v xml:space="preserve">600 ОК– ГИС ГИС Геофизический прибор </v>
      </c>
      <c r="M113" s="912">
        <f ca="1">IF(Планирование[[#This Row],[Скважина]]&lt;&gt;B112,Планирование[[#This Row],[Начало (факт)]],N112)</f>
        <v>46179.871666666601</v>
      </c>
      <c r="N113" s="913">
        <f ca="1">Планирование[[#This Row],[Начало (цель)]]+Планирование[[#This Row],[Сутки (цель)]]</f>
        <v>46180.538333333265</v>
      </c>
      <c r="O113" s="914">
        <v>16</v>
      </c>
      <c r="Q113" s="916">
        <f>Планирование[[#This Row],[Часы (цель)]]/24</f>
        <v>0.66666666666666663</v>
      </c>
      <c r="R113" s="916">
        <f>R112+Планирование[[#This Row],[Сутки (цель)]]</f>
        <v>5.6808333333333341</v>
      </c>
      <c r="S113" s="917">
        <f ca="1">Планирование[[#This Row],[Начало (цель)]]</f>
        <v>46179.871666666601</v>
      </c>
      <c r="T113" s="913">
        <f ca="1">Планирование[[#This Row],[Начало (план)]]+Планирование[[#This Row],[Сутки (план)]]</f>
        <v>46180.538333333265</v>
      </c>
      <c r="U113" s="914">
        <f>Планирование[[#This Row],[Часы (цель)]]</f>
        <v>16</v>
      </c>
      <c r="V113" s="918">
        <f>Планирование[[#This Row],[Забой, м (цель)]]</f>
        <v>0</v>
      </c>
      <c r="W113" s="916">
        <f>Планирование[[#This Row],[Часы (план)]]/24</f>
        <v>0.66666666666666663</v>
      </c>
      <c r="X113" s="919">
        <f>X112+Планирование[[#This Row],[Сутки (план)]]</f>
        <v>5.6808333333333341</v>
      </c>
      <c r="Y113" s="912">
        <f t="array" ref="Y113">IFERROR(
    INDEX(Хронология[Начало], MATCH(1, (Хронология[Ключ]=Планирование[[#This Row],[Ключ]]) * (Хронология[Подытог за операцию]=MIN(IF(Хронология[Ключ]=Планирование[[#This Row],[Ключ]], Хронология[Подытог за операцию]))), 0)),
    Z83
)</f>
        <v>46189.833333333161</v>
      </c>
      <c r="Z113" s="920">
        <f t="array" aca="1" ref="Z113" ca="1">MAX(IFERROR(
    INDEX(Хронология[Окончание], MATCH(1, (Хронология[Ключ]=Планирование[[#This Row],[Ключ]]) * (Хронология[Подытог за операцию]=MAX(IF(Хронология[Ключ]=Планирование[[#This Row],[Ключ]], Хронология[Подытог за операцию]))), 0)),
    Y84+AC84
), Планирование[[#This Row],[Начало (факт)]]+Планирование[[#This Row],[Сутки (факт)]])</f>
        <v>46190.291666666497</v>
      </c>
      <c r="AA113" s="921">
        <f ca="1">IF(AND(Планирование[[#This Row],[Начало (факт)]]=Y114,Планирование[[#This Row],[Забой, м (факт)]]=AE114),0,Планирование[[#This Row],[Конец (факт, прогноз)]]-Планирование[[#This Row],[Начало (факт)]])</f>
        <v>0.45833333333575865</v>
      </c>
      <c r="AB113" s="921">
        <f ca="1">Планирование[[#This Row],[Часы (факт)]]-Планирование[[#This Row],[НПВ за операцию, часы]]-Планирование[[#This Row],[ПНВ, часы]]</f>
        <v>0.45833333333575865</v>
      </c>
      <c r="AC113" s="922">
        <f t="array" aca="1" ref="AC113" ca="1">IFERROR(
  IF(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окончены",
    MAX(IF(Хронология[Ключ]=Планирование[[#This Row],[Ключ]], Хронология[Подытог за операцию])),
    IF(
      Планирование[[#This Row],[Событие]]="Мех. бурение",
      (MAX(Хронология[Окончание]) - Планирование[[#This Row],[Начало (факт)]]) +
      (Планирование[[#This Row],[Забой, м (план)]] - Планирование[[#This Row],[Забой, м (факт)]]) /
      ((Планирование[[#This Row],[Забой, м (план)]] - V83)/Планирование[[#This Row],[Сутки (план)]]),
      IF(
        AND(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продолжаются",
          Планирование[[#This Row],[Начало (факт)]]&gt;0
        ),
        (TODAY()-Планирование[[#This Row],[Начало (факт)]]),
        IF(
          AND(Планирование[[#This Row],[Начало (факт)]]=0,
            Планирование[[#This Row],[Начало (план)]] &gt; MAX(Хронология[Начало])),
          Планирование[[#This Row],[Сутки (план)]],
          IF(
            AND((TODAY()-Планирование[[#This Row],[Начало (план)]])&gt;1,
              ISERR(MATCH(Планирование[[#This Row],[Ключ]], Хронология[Ключ], 0))),
            0,
            Планирование[[#This Row],[Сутки (план)]]
          )
        )
      )
    )
  ),
  Планирование[[#This Row],[Сутки (план)]]
)</f>
        <v>0.45833333333333337</v>
      </c>
      <c r="AD113" s="922">
        <f ca="1">Планирование[[#This Row],[Сутки (факт)]]</f>
        <v>0.45833333333333337</v>
      </c>
      <c r="AE113" s="923">
        <f t="array" ref="AE113">MAX(IF(Хронология[Ключ]=Планирование[[#This Row],[Ключ]], Хронология[Забой, м]))</f>
        <v>2758.16</v>
      </c>
      <c r="AF113" s="914">
        <f ca="1">IFERROR(
    SUMIFS(
        Хронология[Часы],
        Хронология[Результат], "НПВ: нет в ГГД",
        Хронология[Начало], "&gt;=" &amp; Планирование[[#This Row],[Начало (факт)]],
        Хронология[Окончание], "&lt;=" &amp; Планирование[[#This Row],[Конец (факт, прогноз)]]
    ),
    0
)</f>
        <v>0</v>
      </c>
      <c r="AG113" s="914">
        <f ca="1">IFERROR(
    SUMIFS(
        Хронология[Часы],
        Хронология[Результат], "НПВ: нет в ГГД",
        Хронология[Начало], "&gt;=" &amp; Планирование[[#This Row],[Конец (факт, прогноз)]],
        Хронология[Окончание], "&lt;=" &amp; Y85
    ),
    0
)</f>
        <v>0</v>
      </c>
      <c r="AH113" s="919">
        <f ca="1">ROUND(IF(Планирование[[#This Row],[Часы (факт)]]-Планирование[[#This Row],[НПВ за операцию, часы]]-Планирование[[#This Row],[Часы (план)]] &lt;0, 0, Планирование[[#This Row],[Часы (факт)]]-Планирование[[#This Row],[НПВ за операцию, часы]]-Планирование[[#This Row],[Часы (план)]]), 2)</f>
        <v>0</v>
      </c>
      <c r="AI113" s="918" t="s">
        <v>1060</v>
      </c>
      <c r="AJ113" s="924">
        <f ca="1">Планирование[[#This Row],[Конец (план)]]-Планирование[[#This Row],[Конец (факт, прогноз)]]</f>
        <v>-9.753333333232149</v>
      </c>
    </row>
    <row r="114" spans="1:36" s="915" customFormat="1" ht="30" customHeight="1">
      <c r="A114" s="909" t="s">
        <v>1123</v>
      </c>
      <c r="B114" s="910" t="s">
        <v>266</v>
      </c>
      <c r="C114" s="911"/>
      <c r="D114" s="911" t="s">
        <v>51</v>
      </c>
      <c r="E114" s="911" t="s">
        <v>58</v>
      </c>
      <c r="F114" s="911"/>
      <c r="G114" s="911" t="s">
        <v>90</v>
      </c>
      <c r="H114" s="911" t="s">
        <v>106</v>
      </c>
      <c r="I114" s="911" t="s">
        <v>1124</v>
      </c>
      <c r="J114" s="911" t="s">
        <v>1125</v>
      </c>
      <c r="K114" s="911"/>
      <c r="L114" s="911" t="str">
        <f>IF(Планирование[[#This Row],[Контекст простоя]]="Штатно", Планирование[[#This Row],[Скважина]] &amp; " " &amp; "ОК–" &amp;Планирование[[#This Row],[ОК]] &amp; " "  &amp; Планирование[[#This Row],[Этап]] &amp; " " &amp; Планирование[[#This Row],[Вид работ]] &amp; " " &amp; Планирование[[#This Row],[Объект работ]] &amp; " " &amp; Планирование[[#This Row],[Рейс]], Планирование[[#This Row],[Скважина]] &amp; " " &amp; "ОК–" &amp;Планирование[[#This Row],[ОК]] &amp; " " &amp; Планирование[[#This Row],[Этап]] &amp; " " &amp; Планирование[[#This Row],[Контекст простоя]] &amp; " " &amp; Планирование[[#This Row],[Событие]] &amp; " " &amp; Планирование[[#This Row],[Вид работ]] &amp; " " &amp; Планирование[[#This Row],[Объект работ]] &amp; " " &amp; Планирование[[#This Row],[Рейс]])</f>
        <v xml:space="preserve">600 ОК– КРС Спуск Зачистная КНБК </v>
      </c>
      <c r="M114" s="912">
        <f ca="1">IF(Планирование[[#This Row],[Скважина]]&lt;&gt;B113,Планирование[[#This Row],[Начало (факт)]],N113)</f>
        <v>46180.538333333265</v>
      </c>
      <c r="N114" s="913">
        <f ca="1">Планирование[[#This Row],[Начало (цель)]]+Планирование[[#This Row],[Сутки (цель)]]</f>
        <v>46180.582083333262</v>
      </c>
      <c r="O114" s="914">
        <v>1.05</v>
      </c>
      <c r="Q114" s="916">
        <f>Планирование[[#This Row],[Часы (цель)]]/24</f>
        <v>4.3750000000000004E-2</v>
      </c>
      <c r="R114" s="916">
        <f>R113+Планирование[[#This Row],[Сутки (цель)]]</f>
        <v>5.7245833333333342</v>
      </c>
      <c r="S114" s="917">
        <f ca="1">Планирование[[#This Row],[Начало (цель)]]</f>
        <v>46180.538333333265</v>
      </c>
      <c r="T114" s="913">
        <f ca="1">Планирование[[#This Row],[Начало (план)]]+Планирование[[#This Row],[Сутки (план)]]</f>
        <v>46180.582083333262</v>
      </c>
      <c r="U114" s="914">
        <f>Планирование[[#This Row],[Часы (цель)]]</f>
        <v>1.05</v>
      </c>
      <c r="V114" s="918">
        <f>Планирование[[#This Row],[Забой, м (цель)]]</f>
        <v>0</v>
      </c>
      <c r="W114" s="916">
        <f>Планирование[[#This Row],[Часы (план)]]/24</f>
        <v>4.3750000000000004E-2</v>
      </c>
      <c r="X114" s="919">
        <f>X113+Планирование[[#This Row],[Сутки (план)]]</f>
        <v>5.7245833333333342</v>
      </c>
      <c r="Y114" s="912">
        <f t="array" aca="1" ref="Y114" ca="1">IFERROR(
    INDEX(Хронология[Начало], MATCH(1, (Хронология[Ключ]=Планирование[[#This Row],[Ключ]]) * (Хронология[Подытог за операцию]=MIN(IF(Хронология[Ключ]=Планирование[[#This Row],[Ключ]], Хронология[Подытог за операцию]))), 0)),
    Z83
)</f>
        <v>46174.857499999933</v>
      </c>
      <c r="Z114" s="920">
        <f t="array" aca="1" ref="Z114" ca="1">MAX(IFERROR(
    INDEX(Хронология[Окончание], MATCH(1, (Хронология[Ключ]=Планирование[[#This Row],[Ключ]]) * (Хронология[Подытог за операцию]=MAX(IF(Хронология[Ключ]=Планирование[[#This Row],[Ключ]], Хронология[Подытог за операцию]))), 0)),
    Y84+AC84
), Планирование[[#This Row],[Начало (факт)]]+Планирование[[#This Row],[Сутки (факт)]])</f>
        <v>46175.034999999931</v>
      </c>
      <c r="AA114" s="921">
        <f ca="1">IF(AND(Планирование[[#This Row],[Начало (факт)]]=Y115,Планирование[[#This Row],[Забой, м (факт)]]=AE115),0,Планирование[[#This Row],[Конец (факт, прогноз)]]-Планирование[[#This Row],[Начало (факт)]])</f>
        <v>0</v>
      </c>
      <c r="AB114" s="921">
        <f ca="1">Планирование[[#This Row],[Часы (факт)]]-Планирование[[#This Row],[НПВ за операцию, часы]]-Планирование[[#This Row],[ПНВ, часы]]</f>
        <v>0</v>
      </c>
      <c r="AC114" s="922">
        <f t="array" aca="1" ref="AC114" ca="1">IFERROR(
  IF(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окончены",
    MAX(IF(Хронология[Ключ]=Планирование[[#This Row],[Ключ]], Хронология[Подытог за операцию])),
    IF(
      Планирование[[#This Row],[Событие]]="Мех. бурение",
      (MAX(Хронология[Окончание]) - Планирование[[#This Row],[Начало (факт)]]) +
      (Планирование[[#This Row],[Забой, м (план)]] - Планирование[[#This Row],[Забой, м (факт)]]) /
      ((Планирование[[#This Row],[Забой, м (план)]] - V83)/Планирование[[#This Row],[Сутки (план)]]),
      IF(
        AND(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продолжаются",
          Планирование[[#This Row],[Начало (факт)]]&gt;0
        ),
        (TODAY()-Планирование[[#This Row],[Начало (факт)]]),
        IF(
          AND(Планирование[[#This Row],[Начало (факт)]]=0,
            Планирование[[#This Row],[Начало (план)]] &gt; MAX(Хронология[Начало])),
          Планирование[[#This Row],[Сутки (план)]],
          IF(
            AND((TODAY()-Планирование[[#This Row],[Начало (план)]])&gt;1,
              ISERR(MATCH(Планирование[[#This Row],[Ключ]], Хронология[Ключ], 0))),
            0,
            Планирование[[#This Row],[Сутки (план)]]
          )
        )
      )
    )
  ),
  Планирование[[#This Row],[Сутки (план)]]
)</f>
        <v>4.3750000000000004E-2</v>
      </c>
      <c r="AD114" s="922">
        <f ca="1">Планирование[[#This Row],[Сутки (факт)]]</f>
        <v>4.3750000000000004E-2</v>
      </c>
      <c r="AE114" s="923">
        <f t="array" ref="AE114">MAX(IF(Хронология[Ключ]=Планирование[[#This Row],[Ключ]], Хронология[Забой, м]))</f>
        <v>0</v>
      </c>
      <c r="AF114" s="914">
        <f ca="1">IFERROR(
    SUMIFS(
        Хронология[Часы],
        Хронология[Результат], "НПВ: нет в ГГД",
        Хронология[Начало], "&gt;=" &amp; Планирование[[#This Row],[Начало (факт)]],
        Хронология[Окончание], "&lt;=" &amp; Планирование[[#This Row],[Конец (факт, прогноз)]]
    ),
    0
)</f>
        <v>0</v>
      </c>
      <c r="AG114" s="914">
        <f ca="1">IFERROR(
    SUMIFS(
        Хронология[Часы],
        Хронология[Результат], "НПВ: нет в ГГД",
        Хронология[Начало], "&gt;=" &amp; Планирование[[#This Row],[Конец (факт, прогноз)]],
        Хронология[Окончание], "&lt;=" &amp; Y85
    ),
    0
)</f>
        <v>0</v>
      </c>
      <c r="AH114" s="919">
        <f ca="1">ROUND(IF(Планирование[[#This Row],[Часы (факт)]]-Планирование[[#This Row],[НПВ за операцию, часы]]-Планирование[[#This Row],[Часы (план)]] &lt;0, 0, Планирование[[#This Row],[Часы (факт)]]-Планирование[[#This Row],[НПВ за операцию, часы]]-Планирование[[#This Row],[Часы (план)]]), 2)</f>
        <v>0</v>
      </c>
      <c r="AI114" s="918" t="s">
        <v>1060</v>
      </c>
      <c r="AJ114" s="924">
        <f ca="1">Планирование[[#This Row],[Конец (план)]]-Планирование[[#This Row],[Конец (факт, прогноз)]]</f>
        <v>5.547083333331102</v>
      </c>
    </row>
    <row r="115" spans="1:36" s="915" customFormat="1" ht="30" customHeight="1">
      <c r="A115" s="909" t="s">
        <v>1126</v>
      </c>
      <c r="B115" s="910" t="s">
        <v>266</v>
      </c>
      <c r="C115" s="911"/>
      <c r="D115" s="911" t="s">
        <v>51</v>
      </c>
      <c r="E115" s="911" t="s">
        <v>58</v>
      </c>
      <c r="F115" s="911"/>
      <c r="G115" s="911" t="s">
        <v>90</v>
      </c>
      <c r="H115" s="911" t="s">
        <v>91</v>
      </c>
      <c r="I115" s="911" t="s">
        <v>1124</v>
      </c>
      <c r="J115" s="911" t="s">
        <v>1125</v>
      </c>
      <c r="K115" s="911"/>
      <c r="L115" s="911" t="str">
        <f>IF(Планирование[[#This Row],[Контекст простоя]]="Штатно", Планирование[[#This Row],[Скважина]] &amp; " " &amp; "ОК–" &amp;Планирование[[#This Row],[ОК]] &amp; " "  &amp; Планирование[[#This Row],[Этап]] &amp; " " &amp; Планирование[[#This Row],[Вид работ]] &amp; " " &amp; Планирование[[#This Row],[Объект работ]] &amp; " " &amp; Планирование[[#This Row],[Рейс]], Планирование[[#This Row],[Скважина]] &amp; " " &amp; "ОК–" &amp;Планирование[[#This Row],[ОК]] &amp; " " &amp; Планирование[[#This Row],[Этап]] &amp; " " &amp; Планирование[[#This Row],[Контекст простоя]] &amp; " " &amp; Планирование[[#This Row],[Событие]] &amp; " " &amp; Планирование[[#This Row],[Вид работ]] &amp; " " &amp; Планирование[[#This Row],[Объект работ]] &amp; " " &amp; Планирование[[#This Row],[Рейс]])</f>
        <v xml:space="preserve">600 ОК– КРС Подъем Зачистная КНБК </v>
      </c>
      <c r="M115" s="912">
        <f ca="1">IF(Планирование[[#This Row],[Скважина]]&lt;&gt;B114,Планирование[[#This Row],[Начало (факт)]],N114)</f>
        <v>46180.582083333262</v>
      </c>
      <c r="N115" s="913">
        <f ca="1">Планирование[[#This Row],[Начало (цель)]]+Планирование[[#This Row],[Сутки (цель)]]</f>
        <v>46180.582083333262</v>
      </c>
      <c r="O115" s="914">
        <v>0</v>
      </c>
      <c r="Q115" s="916">
        <f>Планирование[[#This Row],[Часы (цель)]]/24</f>
        <v>0</v>
      </c>
      <c r="R115" s="916">
        <f>R114+Планирование[[#This Row],[Сутки (цель)]]</f>
        <v>5.7245833333333342</v>
      </c>
      <c r="S115" s="917">
        <f ca="1">Планирование[[#This Row],[Начало (цель)]]</f>
        <v>46180.582083333262</v>
      </c>
      <c r="T115" s="913">
        <f ca="1">Планирование[[#This Row],[Начало (план)]]+Планирование[[#This Row],[Сутки (план)]]</f>
        <v>46180.582083333262</v>
      </c>
      <c r="U115" s="914">
        <f>Планирование[[#This Row],[Часы (цель)]]</f>
        <v>0</v>
      </c>
      <c r="V115" s="918">
        <f>Планирование[[#This Row],[Забой, м (цель)]]</f>
        <v>0</v>
      </c>
      <c r="W115" s="916">
        <f>Планирование[[#This Row],[Часы (план)]]/24</f>
        <v>0</v>
      </c>
      <c r="X115" s="919">
        <f>X114+Планирование[[#This Row],[Сутки (план)]]</f>
        <v>5.7245833333333342</v>
      </c>
      <c r="Y115" s="912">
        <f t="array" aca="1" ref="Y115" ca="1">IFERROR(
    INDEX(Хронология[Начало], MATCH(1, (Хронология[Ключ]=Планирование[[#This Row],[Ключ]]) * (Хронология[Подытог за операцию]=MIN(IF(Хронология[Ключ]=Планирование[[#This Row],[Ключ]], Хронология[Подытог за операцию]))), 0)),
    Z83
)</f>
        <v>46174.857499999933</v>
      </c>
      <c r="Z115" s="920">
        <f t="array" aca="1" ref="Z115" ca="1">MAX(IFERROR(
    INDEX(Хронология[Окончание], MATCH(1, (Хронология[Ключ]=Планирование[[#This Row],[Ключ]]) * (Хронология[Подытог за операцию]=MAX(IF(Хронология[Ключ]=Планирование[[#This Row],[Ключ]], Хронология[Подытог за операцию]))), 0)),
    Y84+AC84
), Планирование[[#This Row],[Начало (факт)]]+Планирование[[#This Row],[Сутки (факт)]])</f>
        <v>46175.034999999931</v>
      </c>
      <c r="AA115" s="921">
        <f ca="1">IF(AND(Планирование[[#This Row],[Начало (факт)]]=Y116,Планирование[[#This Row],[Забой, м (факт)]]=AE116),0,Планирование[[#This Row],[Конец (факт, прогноз)]]-Планирование[[#This Row],[Начало (факт)]])</f>
        <v>0</v>
      </c>
      <c r="AB115" s="921">
        <f ca="1">Планирование[[#This Row],[Часы (факт)]]-Планирование[[#This Row],[НПВ за операцию, часы]]-Планирование[[#This Row],[ПНВ, часы]]</f>
        <v>0</v>
      </c>
      <c r="AC115" s="922">
        <f t="array" aca="1" ref="AC115" ca="1">IFERROR(
  IF(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окончены",
    MAX(IF(Хронология[Ключ]=Планирование[[#This Row],[Ключ]], Хронология[Подытог за операцию])),
    IF(
      Планирование[[#This Row],[Событие]]="Мех. бурение",
      (MAX(Хронология[Окончание]) - Планирование[[#This Row],[Начало (факт)]]) +
      (Планирование[[#This Row],[Забой, м (план)]] - Планирование[[#This Row],[Забой, м (факт)]]) /
      ((Планирование[[#This Row],[Забой, м (план)]] - V83)/Планирование[[#This Row],[Сутки (план)]]),
      IF(
        AND(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продолжаются",
          Планирование[[#This Row],[Начало (факт)]]&gt;0
        ),
        (TODAY()-Планирование[[#This Row],[Начало (факт)]]),
        IF(
          AND(Планирование[[#This Row],[Начало (факт)]]=0,
            Планирование[[#This Row],[Начало (план)]] &gt; MAX(Хронология[Начало])),
          Планирование[[#This Row],[Сутки (план)]],
          IF(
            AND((TODAY()-Планирование[[#This Row],[Начало (план)]])&gt;1,
              ISERR(MATCH(Планирование[[#This Row],[Ключ]], Хронология[Ключ], 0))),
            0,
            Планирование[[#This Row],[Сутки (план)]]
          )
        )
      )
    )
  ),
  Планирование[[#This Row],[Сутки (план)]]
)</f>
        <v>0</v>
      </c>
      <c r="AD115" s="922">
        <f ca="1">Планирование[[#This Row],[Сутки (факт)]]</f>
        <v>0</v>
      </c>
      <c r="AE115" s="923">
        <f t="array" ref="AE115">MAX(IF(Хронология[Ключ]=Планирование[[#This Row],[Ключ]], Хронология[Забой, м]))</f>
        <v>0</v>
      </c>
      <c r="AF115" s="914">
        <f ca="1">IFERROR(
    SUMIFS(
        Хронология[Часы],
        Хронология[Результат], "НПВ: нет в ГГД",
        Хронология[Начало], "&gt;=" &amp; Планирование[[#This Row],[Начало (факт)]],
        Хронология[Окончание], "&lt;=" &amp; Планирование[[#This Row],[Конец (факт, прогноз)]]
    ),
    0
)</f>
        <v>0</v>
      </c>
      <c r="AG115" s="914">
        <f ca="1">IFERROR(
    SUMIFS(
        Хронология[Часы],
        Хронология[Результат], "НПВ: нет в ГГД",
        Хронология[Начало], "&gt;=" &amp; Планирование[[#This Row],[Конец (факт, прогноз)]],
        Хронология[Окончание], "&lt;=" &amp; Y85
    ),
    0
)</f>
        <v>0</v>
      </c>
      <c r="AH115" s="919">
        <f ca="1">ROUND(IF(Планирование[[#This Row],[Часы (факт)]]-Планирование[[#This Row],[НПВ за операцию, часы]]-Планирование[[#This Row],[Часы (план)]] &lt;0, 0, Планирование[[#This Row],[Часы (факт)]]-Планирование[[#This Row],[НПВ за операцию, часы]]-Планирование[[#This Row],[Часы (план)]]), 2)</f>
        <v>0</v>
      </c>
      <c r="AI115" s="918" t="s">
        <v>1060</v>
      </c>
      <c r="AJ115" s="924">
        <f ca="1">Планирование[[#This Row],[Конец (план)]]-Планирование[[#This Row],[Конец (факт, прогноз)]]</f>
        <v>5.547083333331102</v>
      </c>
    </row>
    <row r="116" spans="1:36" s="915" customFormat="1" ht="30" customHeight="1">
      <c r="A116" s="909" t="s">
        <v>1127</v>
      </c>
      <c r="B116" s="910" t="s">
        <v>266</v>
      </c>
      <c r="C116" s="911"/>
      <c r="D116" s="911" t="s">
        <v>51</v>
      </c>
      <c r="E116" s="911" t="s">
        <v>58</v>
      </c>
      <c r="F116" s="911"/>
      <c r="G116" s="911" t="s">
        <v>95</v>
      </c>
      <c r="H116" s="911" t="s">
        <v>104</v>
      </c>
      <c r="I116" s="911" t="s">
        <v>1124</v>
      </c>
      <c r="J116" s="911" t="s">
        <v>184</v>
      </c>
      <c r="K116" s="911"/>
      <c r="L116" s="911" t="str">
        <f>IF(Планирование[[#This Row],[Контекст простоя]]="Штатно", Планирование[[#This Row],[Скважина]] &amp; " " &amp; "ОК–" &amp;Планирование[[#This Row],[ОК]] &amp; " "  &amp; Планирование[[#This Row],[Этап]] &amp; " " &amp; Планирование[[#This Row],[Вид работ]] &amp; " " &amp; Планирование[[#This Row],[Объект работ]] &amp; " " &amp; Планирование[[#This Row],[Рейс]], Планирование[[#This Row],[Скважина]] &amp; " " &amp; "ОК–" &amp;Планирование[[#This Row],[ОК]] &amp; " " &amp; Планирование[[#This Row],[Этап]] &amp; " " &amp; Планирование[[#This Row],[Контекст простоя]] &amp; " " &amp; Планирование[[#This Row],[Событие]] &amp; " " &amp; Планирование[[#This Row],[Вид работ]] &amp; " " &amp; Планирование[[#This Row],[Объект работ]] &amp; " " &amp; Планирование[[#This Row],[Рейс]])</f>
        <v xml:space="preserve">600 ОК– КРС Сборка Пакер </v>
      </c>
      <c r="M116" s="912">
        <f ca="1">IF(Планирование[[#This Row],[Скважина]]&lt;&gt;B115,Планирование[[#This Row],[Начало (факт)]],N115)</f>
        <v>46180.582083333262</v>
      </c>
      <c r="N116" s="913">
        <f ca="1">Планирование[[#This Row],[Начало (цель)]]+Планирование[[#This Row],[Сутки (цель)]]</f>
        <v>46180.582083333262</v>
      </c>
      <c r="O116" s="914">
        <v>0</v>
      </c>
      <c r="Q116" s="916">
        <f>Планирование[[#This Row],[Часы (цель)]]/24</f>
        <v>0</v>
      </c>
      <c r="R116" s="916">
        <f>R115+Планирование[[#This Row],[Сутки (цель)]]</f>
        <v>5.7245833333333342</v>
      </c>
      <c r="S116" s="917">
        <f ca="1">Планирование[[#This Row],[Начало (цель)]]</f>
        <v>46180.582083333262</v>
      </c>
      <c r="T116" s="913">
        <f ca="1">Планирование[[#This Row],[Начало (план)]]+Планирование[[#This Row],[Сутки (план)]]</f>
        <v>46180.582083333262</v>
      </c>
      <c r="U116" s="914">
        <f>Планирование[[#This Row],[Часы (цель)]]</f>
        <v>0</v>
      </c>
      <c r="V116" s="918">
        <f>Планирование[[#This Row],[Забой, м (цель)]]</f>
        <v>0</v>
      </c>
      <c r="W116" s="916">
        <f>Планирование[[#This Row],[Часы (план)]]/24</f>
        <v>0</v>
      </c>
      <c r="X116" s="919">
        <f>X115+Планирование[[#This Row],[Сутки (план)]]</f>
        <v>5.7245833333333342</v>
      </c>
      <c r="Y116" s="912">
        <f t="array" aca="1" ref="Y116" ca="1">IFERROR(
    INDEX(Хронология[Начало], MATCH(1, (Хронология[Ключ]=Планирование[[#This Row],[Ключ]]) * (Хронология[Подытог за операцию]=MIN(IF(Хронология[Ключ]=Планирование[[#This Row],[Ключ]], Хронология[Подытог за операцию]))), 0)),
    Z83
)</f>
        <v>46174.857499999933</v>
      </c>
      <c r="Z116" s="920">
        <f t="array" aca="1" ref="Z116" ca="1">MAX(IFERROR(
    INDEX(Хронология[Окончание], MATCH(1, (Хронология[Ключ]=Планирование[[#This Row],[Ключ]]) * (Хронология[Подытог за операцию]=MAX(IF(Хронология[Ключ]=Планирование[[#This Row],[Ключ]], Хронология[Подытог за операцию]))), 0)),
    Y84+AC84
), Планирование[[#This Row],[Начало (факт)]]+Планирование[[#This Row],[Сутки (факт)]])</f>
        <v>46175.034999999931</v>
      </c>
      <c r="AA116" s="921">
        <f ca="1">IF(AND(Планирование[[#This Row],[Начало (факт)]]=Y117,Планирование[[#This Row],[Забой, м (факт)]]=AE117),0,Планирование[[#This Row],[Конец (факт, прогноз)]]-Планирование[[#This Row],[Начало (факт)]])</f>
        <v>0</v>
      </c>
      <c r="AB116" s="921">
        <f ca="1">Планирование[[#This Row],[Часы (факт)]]-Планирование[[#This Row],[НПВ за операцию, часы]]-Планирование[[#This Row],[ПНВ, часы]]</f>
        <v>0</v>
      </c>
      <c r="AC116" s="922">
        <f t="array" aca="1" ref="AC116" ca="1">IFERROR(
  IF(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окончены",
    MAX(IF(Хронология[Ключ]=Планирование[[#This Row],[Ключ]], Хронология[Подытог за операцию])),
    IF(
      Планирование[[#This Row],[Событие]]="Мех. бурение",
      (MAX(Хронология[Окончание]) - Планирование[[#This Row],[Начало (факт)]]) +
      (Планирование[[#This Row],[Забой, м (план)]] - Планирование[[#This Row],[Забой, м (факт)]]) /
      ((Планирование[[#This Row],[Забой, м (план)]] - V83)/Планирование[[#This Row],[Сутки (план)]]),
      IF(
        AND(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продолжаются",
          Планирование[[#This Row],[Начало (факт)]]&gt;0
        ),
        (TODAY()-Планирование[[#This Row],[Начало (факт)]]),
        IF(
          AND(Планирование[[#This Row],[Начало (факт)]]=0,
            Планирование[[#This Row],[Начало (план)]] &gt; MAX(Хронология[Начало])),
          Планирование[[#This Row],[Сутки (план)]],
          IF(
            AND((TODAY()-Планирование[[#This Row],[Начало (план)]])&gt;1,
              ISERR(MATCH(Планирование[[#This Row],[Ключ]], Хронология[Ключ], 0))),
            0,
            Планирование[[#This Row],[Сутки (план)]]
          )
        )
      )
    )
  ),
  Планирование[[#This Row],[Сутки (план)]]
)</f>
        <v>0</v>
      </c>
      <c r="AD116" s="922">
        <f ca="1">Планирование[[#This Row],[Сутки (факт)]]</f>
        <v>0</v>
      </c>
      <c r="AE116" s="923">
        <f t="array" ref="AE116">MAX(IF(Хронология[Ключ]=Планирование[[#This Row],[Ключ]], Хронология[Забой, м]))</f>
        <v>0</v>
      </c>
      <c r="AF116" s="914">
        <f ca="1">IFERROR(
    SUMIFS(
        Хронология[Часы],
        Хронология[Результат], "НПВ: нет в ГГД",
        Хронология[Начало], "&gt;=" &amp; Планирование[[#This Row],[Начало (факт)]],
        Хронология[Окончание], "&lt;=" &amp; Планирование[[#This Row],[Конец (факт, прогноз)]]
    ),
    0
)</f>
        <v>0</v>
      </c>
      <c r="AG116" s="914">
        <f ca="1">IFERROR(
    SUMIFS(
        Хронология[Часы],
        Хронология[Результат], "НПВ: нет в ГГД",
        Хронология[Начало], "&gt;=" &amp; Планирование[[#This Row],[Конец (факт, прогноз)]],
        Хронология[Окончание], "&lt;=" &amp; Y85
    ),
    0
)</f>
        <v>0</v>
      </c>
      <c r="AH116" s="919">
        <f ca="1">ROUND(IF(Планирование[[#This Row],[Часы (факт)]]-Планирование[[#This Row],[НПВ за операцию, часы]]-Планирование[[#This Row],[Часы (план)]] &lt;0, 0, Планирование[[#This Row],[Часы (факт)]]-Планирование[[#This Row],[НПВ за операцию, часы]]-Планирование[[#This Row],[Часы (план)]]), 2)</f>
        <v>0</v>
      </c>
      <c r="AI116" s="918" t="s">
        <v>1060</v>
      </c>
      <c r="AJ116" s="924">
        <f ca="1">Планирование[[#This Row],[Конец (план)]]-Планирование[[#This Row],[Конец (факт, прогноз)]]</f>
        <v>5.547083333331102</v>
      </c>
    </row>
    <row r="117" spans="1:36" s="915" customFormat="1" ht="30" customHeight="1">
      <c r="A117" s="909" t="s">
        <v>1128</v>
      </c>
      <c r="B117" s="910" t="s">
        <v>266</v>
      </c>
      <c r="C117" s="911"/>
      <c r="D117" s="911" t="s">
        <v>51</v>
      </c>
      <c r="E117" s="911" t="s">
        <v>58</v>
      </c>
      <c r="F117" s="911"/>
      <c r="G117" s="911" t="s">
        <v>90</v>
      </c>
      <c r="H117" s="911" t="s">
        <v>106</v>
      </c>
      <c r="I117" s="911" t="s">
        <v>1124</v>
      </c>
      <c r="J117" s="911" t="s">
        <v>184</v>
      </c>
      <c r="K117" s="911"/>
      <c r="L117" s="911" t="str">
        <f>IF(Планирование[[#This Row],[Контекст простоя]]="Штатно", Планирование[[#This Row],[Скважина]] &amp; " " &amp; "ОК–" &amp;Планирование[[#This Row],[ОК]] &amp; " "  &amp; Планирование[[#This Row],[Этап]] &amp; " " &amp; Планирование[[#This Row],[Вид работ]] &amp; " " &amp; Планирование[[#This Row],[Объект работ]] &amp; " " &amp; Планирование[[#This Row],[Рейс]], Планирование[[#This Row],[Скважина]] &amp; " " &amp; "ОК–" &amp;Планирование[[#This Row],[ОК]] &amp; " " &amp; Планирование[[#This Row],[Этап]] &amp; " " &amp; Планирование[[#This Row],[Контекст простоя]] &amp; " " &amp; Планирование[[#This Row],[Событие]] &amp; " " &amp; Планирование[[#This Row],[Вид работ]] &amp; " " &amp; Планирование[[#This Row],[Объект работ]] &amp; " " &amp; Планирование[[#This Row],[Рейс]])</f>
        <v xml:space="preserve">600 ОК– КРС Спуск Пакер </v>
      </c>
      <c r="M117" s="912">
        <f ca="1">IF(Планирование[[#This Row],[Скважина]]&lt;&gt;B116,Планирование[[#This Row],[Начало (факт)]],N116)</f>
        <v>46180.582083333262</v>
      </c>
      <c r="N117" s="913">
        <f ca="1">Планирование[[#This Row],[Начало (цель)]]+Планирование[[#This Row],[Сутки (цель)]]</f>
        <v>46180.582083333262</v>
      </c>
      <c r="O117" s="914">
        <v>0</v>
      </c>
      <c r="Q117" s="916">
        <f>Планирование[[#This Row],[Часы (цель)]]/24</f>
        <v>0</v>
      </c>
      <c r="R117" s="916">
        <f>R116+Планирование[[#This Row],[Сутки (цель)]]</f>
        <v>5.7245833333333342</v>
      </c>
      <c r="S117" s="917">
        <f ca="1">Планирование[[#This Row],[Начало (цель)]]</f>
        <v>46180.582083333262</v>
      </c>
      <c r="T117" s="913">
        <f ca="1">Планирование[[#This Row],[Начало (план)]]+Планирование[[#This Row],[Сутки (план)]]</f>
        <v>46180.582083333262</v>
      </c>
      <c r="U117" s="914">
        <f>Планирование[[#This Row],[Часы (цель)]]</f>
        <v>0</v>
      </c>
      <c r="V117" s="918">
        <f>Планирование[[#This Row],[Забой, м (цель)]]</f>
        <v>0</v>
      </c>
      <c r="W117" s="916">
        <f>Планирование[[#This Row],[Часы (план)]]/24</f>
        <v>0</v>
      </c>
      <c r="X117" s="919">
        <f>X116+Планирование[[#This Row],[Сутки (план)]]</f>
        <v>5.7245833333333342</v>
      </c>
      <c r="Y117" s="912">
        <f t="array" aca="1" ref="Y117" ca="1">IFERROR(
    INDEX(Хронология[Начало], MATCH(1, (Хронология[Ключ]=Планирование[[#This Row],[Ключ]]) * (Хронология[Подытог за операцию]=MIN(IF(Хронология[Ключ]=Планирование[[#This Row],[Ключ]], Хронология[Подытог за операцию]))), 0)),
    Z83
)</f>
        <v>46174.857499999933</v>
      </c>
      <c r="Z117" s="920">
        <f t="array" aca="1" ref="Z117" ca="1">MAX(IFERROR(
    INDEX(Хронология[Окончание], MATCH(1, (Хронология[Ключ]=Планирование[[#This Row],[Ключ]]) * (Хронология[Подытог за операцию]=MAX(IF(Хронология[Ключ]=Планирование[[#This Row],[Ключ]], Хронология[Подытог за операцию]))), 0)),
    Y84+AC84
), Планирование[[#This Row],[Начало (факт)]]+Планирование[[#This Row],[Сутки (факт)]])</f>
        <v>46175.034999999931</v>
      </c>
      <c r="AA117" s="921">
        <f ca="1">IF(AND(Планирование[[#This Row],[Начало (факт)]]=Y118,Планирование[[#This Row],[Забой, м (факт)]]=AE118),0,Планирование[[#This Row],[Конец (факт, прогноз)]]-Планирование[[#This Row],[Начало (факт)]])</f>
        <v>0.17749999999796273</v>
      </c>
      <c r="AB117" s="921">
        <f ca="1">Планирование[[#This Row],[Часы (факт)]]-Планирование[[#This Row],[НПВ за операцию, часы]]-Планирование[[#This Row],[ПНВ, часы]]</f>
        <v>-2.5000000020372615E-3</v>
      </c>
      <c r="AC117" s="922">
        <f t="array" aca="1" ref="AC117" ca="1">IFERROR(
  IF(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окончены",
    MAX(IF(Хронология[Ключ]=Планирование[[#This Row],[Ключ]], Хронология[Подытог за операцию])),
    IF(
      Планирование[[#This Row],[Событие]]="Мех. бурение",
      (MAX(Хронология[Окончание]) - Планирование[[#This Row],[Начало (факт)]]) +
      (Планирование[[#This Row],[Забой, м (план)]] - Планирование[[#This Row],[Забой, м (факт)]]) /
      ((Планирование[[#This Row],[Забой, м (план)]] - V83)/Планирование[[#This Row],[Сутки (план)]]),
      IF(
        AND(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продолжаются",
          Планирование[[#This Row],[Начало (факт)]]&gt;0
        ),
        (TODAY()-Планирование[[#This Row],[Начало (факт)]]),
        IF(
          AND(Планирование[[#This Row],[Начало (факт)]]=0,
            Планирование[[#This Row],[Начало (план)]] &gt; MAX(Хронология[Начало])),
          Планирование[[#This Row],[Сутки (план)]],
          IF(
            AND((TODAY()-Планирование[[#This Row],[Начало (план)]])&gt;1,
              ISERR(MATCH(Планирование[[#This Row],[Ключ]], Хронология[Ключ], 0))),
            0,
            Планирование[[#This Row],[Сутки (план)]]
          )
        )
      )
    )
  ),
  Планирование[[#This Row],[Сутки (план)]]
)</f>
        <v>0</v>
      </c>
      <c r="AD117" s="922">
        <f ca="1">Планирование[[#This Row],[Сутки (факт)]]</f>
        <v>0</v>
      </c>
      <c r="AE117" s="923">
        <f t="array" ref="AE117">MAX(IF(Хронология[Ключ]=Планирование[[#This Row],[Ключ]], Хронология[Забой, м]))</f>
        <v>0</v>
      </c>
      <c r="AF117" s="914">
        <f ca="1">IFERROR(
    SUMIFS(
        Хронология[Часы],
        Хронология[Результат], "НПВ: нет в ГГД",
        Хронология[Начало], "&gt;=" &amp; Планирование[[#This Row],[Начало (факт)]],
        Хронология[Окончание], "&lt;=" &amp; Планирование[[#This Row],[Конец (факт, прогноз)]]
    ),
    0
)</f>
        <v>0</v>
      </c>
      <c r="AG117" s="914">
        <f ca="1">IFERROR(
    SUMIFS(
        Хронология[Часы],
        Хронология[Результат], "НПВ: нет в ГГД",
        Хронология[Начало], "&gt;=" &amp; Планирование[[#This Row],[Конец (факт, прогноз)]],
        Хронология[Окончание], "&lt;=" &amp; Y85
    ),
    0
)</f>
        <v>0</v>
      </c>
      <c r="AH117" s="919">
        <f ca="1">ROUND(IF(Планирование[[#This Row],[Часы (факт)]]-Планирование[[#This Row],[НПВ за операцию, часы]]-Планирование[[#This Row],[Часы (план)]] &lt;0, 0, Планирование[[#This Row],[Часы (факт)]]-Планирование[[#This Row],[НПВ за операцию, часы]]-Планирование[[#This Row],[Часы (план)]]), 2)</f>
        <v>0.18</v>
      </c>
      <c r="AI117" s="918" t="s">
        <v>1060</v>
      </c>
      <c r="AJ117" s="924">
        <f ca="1">Планирование[[#This Row],[Конец (план)]]-Планирование[[#This Row],[Конец (факт, прогноз)]]</f>
        <v>5.547083333331102</v>
      </c>
    </row>
    <row r="118" spans="1:36" s="915" customFormat="1" ht="30" customHeight="1">
      <c r="A118" s="909" t="s">
        <v>398</v>
      </c>
      <c r="B118" s="910" t="s">
        <v>266</v>
      </c>
      <c r="C118" s="911"/>
      <c r="D118" s="911" t="s">
        <v>51</v>
      </c>
      <c r="E118" s="911" t="s">
        <v>58</v>
      </c>
      <c r="F118" s="911"/>
      <c r="G118" s="911" t="s">
        <v>169</v>
      </c>
      <c r="H118" s="911" t="s">
        <v>188</v>
      </c>
      <c r="I118" s="911" t="s">
        <v>137</v>
      </c>
      <c r="J118" s="911" t="s">
        <v>4</v>
      </c>
      <c r="K118" s="911"/>
      <c r="L118" s="911" t="str">
        <f>IF(Планирование[[#This Row],[Контекст простоя]]="Штатно", Планирование[[#This Row],[Скважина]] &amp; " " &amp; "ОК–" &amp;Планирование[[#This Row],[ОК]] &amp; " "  &amp; Планирование[[#This Row],[Этап]] &amp; " " &amp; Планирование[[#This Row],[Вид работ]] &amp; " " &amp; Планирование[[#This Row],[Объект работ]] &amp; " " &amp; Планирование[[#This Row],[Рейс]], Планирование[[#This Row],[Скважина]] &amp; " " &amp; "ОК–" &amp;Планирование[[#This Row],[ОК]] &amp; " " &amp; Планирование[[#This Row],[Этап]] &amp; " " &amp; Планирование[[#This Row],[Контекст простоя]] &amp; " " &amp; Планирование[[#This Row],[Событие]] &amp; " " &amp; Планирование[[#This Row],[Вид работ]] &amp; " " &amp; Планирование[[#This Row],[Объект работ]] &amp; " " &amp; Планирование[[#This Row],[Рейс]])</f>
        <v xml:space="preserve">600 ОК– КРС Промывка Скважина </v>
      </c>
      <c r="M118" s="912">
        <f ca="1">IF(Планирование[[#This Row],[Скважина]]&lt;&gt;B117,Планирование[[#This Row],[Начало (факт)]],N117)</f>
        <v>46180.582083333262</v>
      </c>
      <c r="N118" s="913">
        <f ca="1">Планирование[[#This Row],[Начало (цель)]]+Планирование[[#This Row],[Сутки (цель)]]</f>
        <v>46180.615416666595</v>
      </c>
      <c r="O118" s="914">
        <v>0.8</v>
      </c>
      <c r="Q118" s="916">
        <f>Планирование[[#This Row],[Часы (цель)]]/24</f>
        <v>3.3333333333333333E-2</v>
      </c>
      <c r="R118" s="916">
        <f>R117+Планирование[[#This Row],[Сутки (цель)]]</f>
        <v>5.7579166666666675</v>
      </c>
      <c r="S118" s="917">
        <f ca="1">Планирование[[#This Row],[Начало (цель)]]</f>
        <v>46180.582083333262</v>
      </c>
      <c r="T118" s="913">
        <f ca="1">Планирование[[#This Row],[Начало (план)]]+Планирование[[#This Row],[Сутки (план)]]</f>
        <v>46180.615416666595</v>
      </c>
      <c r="U118" s="914">
        <f>Планирование[[#This Row],[Часы (цель)]]</f>
        <v>0.8</v>
      </c>
      <c r="V118" s="918">
        <f>Планирование[[#This Row],[Забой, м (цель)]]</f>
        <v>0</v>
      </c>
      <c r="W118" s="916">
        <f>Планирование[[#This Row],[Часы (план)]]/24</f>
        <v>3.3333333333333333E-2</v>
      </c>
      <c r="X118" s="919">
        <f>X117+Планирование[[#This Row],[Сутки (план)]]</f>
        <v>5.7579166666666675</v>
      </c>
      <c r="Y118" s="912">
        <f t="array" ref="Y118">IFERROR(
    INDEX(Хронология[Начало], MATCH(1, (Хронология[Ключ]=Планирование[[#This Row],[Ключ]]) * (Хронология[Подытог за операцию]=MIN(IF(Хронология[Ключ]=Планирование[[#This Row],[Ключ]], Хронология[Подытог за операцию]))), 0)),
    Z83
)</f>
        <v>46188.291666666504</v>
      </c>
      <c r="Z118" s="920">
        <f t="array" aca="1" ref="Z118" ca="1">MAX(IFERROR(
    INDEX(Хронология[Окончание], MATCH(1, (Хронология[Ключ]=Планирование[[#This Row],[Ключ]]) * (Хронология[Подытог за операцию]=MAX(IF(Хронология[Ключ]=Планирование[[#This Row],[Ключ]], Хронология[Подытог за операцию]))), 0)),
    Y84+AC84
), Планирование[[#This Row],[Начало (факт)]]+Планирование[[#This Row],[Сутки (факт)]])</f>
        <v>46188.49999999984</v>
      </c>
      <c r="AA118" s="921">
        <f ca="1">IF(AND(Планирование[[#This Row],[Начало (факт)]]=Y119,Планирование[[#This Row],[Забой, м (факт)]]=AE119),0,Планирование[[#This Row],[Конец (факт, прогноз)]]-Планирование[[#This Row],[Начало (факт)]])</f>
        <v>0.20833333333575865</v>
      </c>
      <c r="AB118" s="921">
        <f ca="1">Планирование[[#This Row],[Часы (факт)]]-Планирование[[#This Row],[НПВ за операцию, часы]]-Планирование[[#This Row],[ПНВ, часы]]</f>
        <v>0.20833333333575865</v>
      </c>
      <c r="AC118" s="922">
        <f t="array" aca="1" ref="AC118" ca="1">IFERROR(
  IF(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окончены",
    MAX(IF(Хронология[Ключ]=Планирование[[#This Row],[Ключ]], Хронология[Подытог за операцию])),
    IF(
      Планирование[[#This Row],[Событие]]="Мех. бурение",
      (MAX(Хронология[Окончание]) - Планирование[[#This Row],[Начало (факт)]]) +
      (Планирование[[#This Row],[Забой, м (план)]] - Планирование[[#This Row],[Забой, м (факт)]]) /
      ((Планирование[[#This Row],[Забой, м (план)]] - V83)/Планирование[[#This Row],[Сутки (план)]]),
      IF(
        AND(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продолжаются",
          Планирование[[#This Row],[Начало (факт)]]&gt;0
        ),
        (TODAY()-Планирование[[#This Row],[Начало (факт)]]),
        IF(
          AND(Планирование[[#This Row],[Начало (факт)]]=0,
            Планирование[[#This Row],[Начало (план)]] &gt; MAX(Хронология[Начало])),
          Планирование[[#This Row],[Сутки (план)]],
          IF(
            AND((TODAY()-Планирование[[#This Row],[Начало (план)]])&gt;1,
              ISERR(MATCH(Планирование[[#This Row],[Ключ]], Хронология[Ключ], 0))),
            0,
            Планирование[[#This Row],[Сутки (план)]]
          )
        )
      )
    )
  ),
  Планирование[[#This Row],[Сутки (план)]]
)</f>
        <v>0.20833333333333334</v>
      </c>
      <c r="AD118" s="922">
        <f ca="1">Планирование[[#This Row],[Сутки (факт)]]</f>
        <v>0.20833333333333334</v>
      </c>
      <c r="AE118" s="923">
        <f t="array" ref="AE118">MAX(IF(Хронология[Ключ]=Планирование[[#This Row],[Ключ]], Хронология[Забой, м]))</f>
        <v>2758.16</v>
      </c>
      <c r="AF118" s="914">
        <f ca="1">IFERROR(
    SUMIFS(
        Хронология[Часы],
        Хронология[Результат], "НПВ: нет в ГГД",
        Хронология[Начало], "&gt;=" &amp; Планирование[[#This Row],[Начало (факт)]],
        Хронология[Окончание], "&lt;=" &amp; Планирование[[#This Row],[Конец (факт, прогноз)]]
    ),
    0
)</f>
        <v>0</v>
      </c>
      <c r="AG118" s="914">
        <f ca="1">IFERROR(
    SUMIFS(
        Хронология[Часы],
        Хронология[Результат], "НПВ: нет в ГГД",
        Хронология[Начало], "&gt;=" &amp; Планирование[[#This Row],[Конец (факт, прогноз)]],
        Хронология[Окончание], "&lt;=" &amp; Y85
    ),
    0
)</f>
        <v>0</v>
      </c>
      <c r="AH118" s="919">
        <f ca="1">ROUND(IF(Планирование[[#This Row],[Часы (факт)]]-Планирование[[#This Row],[НПВ за операцию, часы]]-Планирование[[#This Row],[Часы (план)]] &lt;0, 0, Планирование[[#This Row],[Часы (факт)]]-Планирование[[#This Row],[НПВ за операцию, часы]]-Планирование[[#This Row],[Часы (план)]]), 2)</f>
        <v>0</v>
      </c>
      <c r="AI118" s="918" t="s">
        <v>1060</v>
      </c>
      <c r="AJ118" s="924">
        <f ca="1">Планирование[[#This Row],[Конец (план)]]-Планирование[[#This Row],[Конец (факт, прогноз)]]</f>
        <v>-7.8845833332452457</v>
      </c>
    </row>
    <row r="119" spans="1:36" s="915" customFormat="1" ht="30" customHeight="1">
      <c r="A119" s="909" t="s">
        <v>1129</v>
      </c>
      <c r="B119" s="910" t="s">
        <v>266</v>
      </c>
      <c r="C119" s="911"/>
      <c r="D119" s="911" t="s">
        <v>51</v>
      </c>
      <c r="E119" s="911" t="s">
        <v>58</v>
      </c>
      <c r="F119" s="911"/>
      <c r="G119" s="911" t="s">
        <v>95</v>
      </c>
      <c r="H119" s="911" t="s">
        <v>1130</v>
      </c>
      <c r="I119" s="911" t="s">
        <v>1131</v>
      </c>
      <c r="J119" s="911" t="s">
        <v>184</v>
      </c>
      <c r="K119" s="911"/>
      <c r="L119" s="911" t="str">
        <f>IF(Планирование[[#This Row],[Контекст простоя]]="Штатно", Планирование[[#This Row],[Скважина]] &amp; " " &amp; "ОК–" &amp;Планирование[[#This Row],[ОК]] &amp; " "  &amp; Планирование[[#This Row],[Этап]] &amp; " " &amp; Планирование[[#This Row],[Вид работ]] &amp; " " &amp; Планирование[[#This Row],[Объект работ]] &amp; " " &amp; Планирование[[#This Row],[Рейс]], Планирование[[#This Row],[Скважина]] &amp; " " &amp; "ОК–" &amp;Планирование[[#This Row],[ОК]] &amp; " " &amp; Планирование[[#This Row],[Этап]] &amp; " " &amp; Планирование[[#This Row],[Контекст простоя]] &amp; " " &amp; Планирование[[#This Row],[Событие]] &amp; " " &amp; Планирование[[#This Row],[Вид работ]] &amp; " " &amp; Планирование[[#This Row],[Объект работ]] &amp; " " &amp; Планирование[[#This Row],[Рейс]])</f>
        <v xml:space="preserve">600 ОК– КРС Установка Пакер </v>
      </c>
      <c r="M119" s="912">
        <f ca="1">IF(Планирование[[#This Row],[Скважина]]&lt;&gt;B118,Планирование[[#This Row],[Начало (факт)]],N118)</f>
        <v>46180.615416666595</v>
      </c>
      <c r="N119" s="913">
        <f ca="1">Планирование[[#This Row],[Начало (цель)]]+Планирование[[#This Row],[Сутки (цель)]]</f>
        <v>46180.615416666595</v>
      </c>
      <c r="O119" s="914">
        <v>0</v>
      </c>
      <c r="Q119" s="916">
        <f>Планирование[[#This Row],[Часы (цель)]]/24</f>
        <v>0</v>
      </c>
      <c r="R119" s="916">
        <f>R118+Планирование[[#This Row],[Сутки (цель)]]</f>
        <v>5.7579166666666675</v>
      </c>
      <c r="S119" s="917">
        <f ca="1">Планирование[[#This Row],[Начало (цель)]]</f>
        <v>46180.615416666595</v>
      </c>
      <c r="T119" s="913">
        <f ca="1">Планирование[[#This Row],[Начало (план)]]+Планирование[[#This Row],[Сутки (план)]]</f>
        <v>46180.615416666595</v>
      </c>
      <c r="U119" s="914">
        <f>Планирование[[#This Row],[Часы (цель)]]</f>
        <v>0</v>
      </c>
      <c r="V119" s="918">
        <f>Планирование[[#This Row],[Забой, м (цель)]]</f>
        <v>0</v>
      </c>
      <c r="W119" s="916">
        <f>Планирование[[#This Row],[Часы (план)]]/24</f>
        <v>0</v>
      </c>
      <c r="X119" s="919">
        <f>X118+Планирование[[#This Row],[Сутки (план)]]</f>
        <v>5.7579166666666675</v>
      </c>
      <c r="Y119" s="912">
        <f t="array" aca="1" ref="Y119" ca="1">IFERROR(
    INDEX(Хронология[Начало], MATCH(1, (Хронология[Ключ]=Планирование[[#This Row],[Ключ]]) * (Хронология[Подытог за операцию]=MIN(IF(Хронология[Ключ]=Планирование[[#This Row],[Ключ]], Хронология[Подытог за операцию]))), 0)),
    Z83
)</f>
        <v>46174.857499999933</v>
      </c>
      <c r="Z119" s="920">
        <f t="array" aca="1" ref="Z119" ca="1">MAX(IFERROR(
    INDEX(Хронология[Окончание], MATCH(1, (Хронология[Ключ]=Планирование[[#This Row],[Ключ]]) * (Хронология[Подытог за операцию]=MAX(IF(Хронология[Ключ]=Планирование[[#This Row],[Ключ]], Хронология[Подытог за операцию]))), 0)),
    Y84+AC84
), Планирование[[#This Row],[Начало (факт)]]+Планирование[[#This Row],[Сутки (факт)]])</f>
        <v>46175.034999999931</v>
      </c>
      <c r="AA119" s="921">
        <f ca="1">IF(AND(Планирование[[#This Row],[Начало (факт)]]=Y120,Планирование[[#This Row],[Забой, м (факт)]]=AE120),0,Планирование[[#This Row],[Конец (факт, прогноз)]]-Планирование[[#This Row],[Начало (факт)]])</f>
        <v>0</v>
      </c>
      <c r="AB119" s="921">
        <f ca="1">Планирование[[#This Row],[Часы (факт)]]-Планирование[[#This Row],[НПВ за операцию, часы]]-Планирование[[#This Row],[ПНВ, часы]]</f>
        <v>0</v>
      </c>
      <c r="AC119" s="922">
        <f t="array" aca="1" ref="AC119" ca="1">IFERROR(
  IF(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окончены",
    MAX(IF(Хронология[Ключ]=Планирование[[#This Row],[Ключ]], Хронология[Подытог за операцию])),
    IF(
      Планирование[[#This Row],[Событие]]="Мех. бурение",
      (MAX(Хронология[Окончание]) - Планирование[[#This Row],[Начало (факт)]]) +
      (Планирование[[#This Row],[Забой, м (план)]] - Планирование[[#This Row],[Забой, м (факт)]]) /
      ((Планирование[[#This Row],[Забой, м (план)]] - V83)/Планирование[[#This Row],[Сутки (план)]]),
      IF(
        AND(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продолжаются",
          Планирование[[#This Row],[Начало (факт)]]&gt;0
        ),
        (TODAY()-Планирование[[#This Row],[Начало (факт)]]),
        IF(
          AND(Планирование[[#This Row],[Начало (факт)]]=0,
            Планирование[[#This Row],[Начало (план)]] &gt; MAX(Хронология[Начало])),
          Планирование[[#This Row],[Сутки (план)]],
          IF(
            AND((TODAY()-Планирование[[#This Row],[Начало (план)]])&gt;1,
              ISERR(MATCH(Планирование[[#This Row],[Ключ]], Хронология[Ключ], 0))),
            0,
            Планирование[[#This Row],[Сутки (план)]]
          )
        )
      )
    )
  ),
  Планирование[[#This Row],[Сутки (план)]]
)</f>
        <v>0</v>
      </c>
      <c r="AD119" s="922">
        <f ca="1">Планирование[[#This Row],[Сутки (факт)]]</f>
        <v>0</v>
      </c>
      <c r="AE119" s="923">
        <f t="array" ref="AE119">MAX(IF(Хронология[Ключ]=Планирование[[#This Row],[Ключ]], Хронология[Забой, м]))</f>
        <v>0</v>
      </c>
      <c r="AF119" s="914">
        <f ca="1">IFERROR(
    SUMIFS(
        Хронология[Часы],
        Хронология[Результат], "НПВ: нет в ГГД",
        Хронология[Начало], "&gt;=" &amp; Планирование[[#This Row],[Начало (факт)]],
        Хронология[Окончание], "&lt;=" &amp; Планирование[[#This Row],[Конец (факт, прогноз)]]
    ),
    0
)</f>
        <v>0</v>
      </c>
      <c r="AG119" s="914">
        <f ca="1">IFERROR(
    SUMIFS(
        Хронология[Часы],
        Хронология[Результат], "НПВ: нет в ГГД",
        Хронология[Начало], "&gt;=" &amp; Планирование[[#This Row],[Конец (факт, прогноз)]],
        Хронология[Окончание], "&lt;=" &amp; Y85
    ),
    0
)</f>
        <v>0</v>
      </c>
      <c r="AH119" s="919">
        <f ca="1">ROUND(IF(Планирование[[#This Row],[Часы (факт)]]-Планирование[[#This Row],[НПВ за операцию, часы]]-Планирование[[#This Row],[Часы (план)]] &lt;0, 0, Планирование[[#This Row],[Часы (факт)]]-Планирование[[#This Row],[НПВ за операцию, часы]]-Планирование[[#This Row],[Часы (план)]]), 2)</f>
        <v>0</v>
      </c>
      <c r="AI119" s="918" t="s">
        <v>1060</v>
      </c>
      <c r="AJ119" s="924">
        <f ca="1">Планирование[[#This Row],[Конец (план)]]-Планирование[[#This Row],[Конец (факт, прогноз)]]</f>
        <v>5.5804166666639503</v>
      </c>
    </row>
    <row r="120" spans="1:36" s="915" customFormat="1" ht="30" customHeight="1">
      <c r="A120" s="909" t="s">
        <v>1132</v>
      </c>
      <c r="B120" s="910" t="s">
        <v>266</v>
      </c>
      <c r="C120" s="911"/>
      <c r="D120" s="911" t="s">
        <v>51</v>
      </c>
      <c r="E120" s="911" t="s">
        <v>58</v>
      </c>
      <c r="F120" s="911"/>
      <c r="G120" s="911" t="s">
        <v>90</v>
      </c>
      <c r="H120" s="911" t="s">
        <v>91</v>
      </c>
      <c r="I120" s="911" t="s">
        <v>1124</v>
      </c>
      <c r="J120" s="911" t="s">
        <v>1133</v>
      </c>
      <c r="K120" s="911"/>
      <c r="L120" s="911" t="str">
        <f>IF(Планирование[[#This Row],[Контекст простоя]]="Штатно", Планирование[[#This Row],[Скважина]] &amp; " " &amp; "ОК–" &amp;Планирование[[#This Row],[ОК]] &amp; " "  &amp; Планирование[[#This Row],[Этап]] &amp; " " &amp; Планирование[[#This Row],[Вид работ]] &amp; " " &amp; Планирование[[#This Row],[Объект работ]] &amp; " " &amp; Планирование[[#This Row],[Рейс]], Планирование[[#This Row],[Скважина]] &amp; " " &amp; "ОК–" &amp;Планирование[[#This Row],[ОК]] &amp; " " &amp; Планирование[[#This Row],[Этап]] &amp; " " &amp; Планирование[[#This Row],[Контекст простоя]] &amp; " " &amp; Планирование[[#This Row],[Событие]] &amp; " " &amp; Планирование[[#This Row],[Вид работ]] &amp; " " &amp; Планирование[[#This Row],[Объект работ]] &amp; " " &amp; Планирование[[#This Row],[Рейс]])</f>
        <v xml:space="preserve">600 ОК– КРС Подъем ГУК </v>
      </c>
      <c r="M120" s="912">
        <f ca="1">IF(Планирование[[#This Row],[Скважина]]&lt;&gt;B119,Планирование[[#This Row],[Начало (факт)]],N119)</f>
        <v>46180.615416666595</v>
      </c>
      <c r="N120" s="913">
        <f ca="1">Планирование[[#This Row],[Начало (цель)]]+Планирование[[#This Row],[Сутки (цель)]]</f>
        <v>46180.615416666595</v>
      </c>
      <c r="O120" s="914">
        <v>0</v>
      </c>
      <c r="Q120" s="916">
        <f>Планирование[[#This Row],[Часы (цель)]]/24</f>
        <v>0</v>
      </c>
      <c r="R120" s="916">
        <f>R119+Планирование[[#This Row],[Сутки (цель)]]</f>
        <v>5.7579166666666675</v>
      </c>
      <c r="S120" s="917">
        <f ca="1">Планирование[[#This Row],[Начало (цель)]]</f>
        <v>46180.615416666595</v>
      </c>
      <c r="T120" s="913">
        <f ca="1">Планирование[[#This Row],[Начало (план)]]+Планирование[[#This Row],[Сутки (план)]]</f>
        <v>46180.615416666595</v>
      </c>
      <c r="U120" s="914">
        <f>Планирование[[#This Row],[Часы (цель)]]</f>
        <v>0</v>
      </c>
      <c r="V120" s="918">
        <f>Планирование[[#This Row],[Забой, м (цель)]]</f>
        <v>0</v>
      </c>
      <c r="W120" s="916">
        <f>Планирование[[#This Row],[Часы (план)]]/24</f>
        <v>0</v>
      </c>
      <c r="X120" s="919">
        <f>X119+Планирование[[#This Row],[Сутки (план)]]</f>
        <v>5.7579166666666675</v>
      </c>
      <c r="Y120" s="912">
        <f t="array" aca="1" ref="Y120" ca="1">IFERROR(
    INDEX(Хронология[Начало], MATCH(1, (Хронология[Ключ]=Планирование[[#This Row],[Ключ]]) * (Хронология[Подытог за операцию]=MIN(IF(Хронология[Ключ]=Планирование[[#This Row],[Ключ]], Хронология[Подытог за операцию]))), 0)),
    Z83
)</f>
        <v>46174.857499999933</v>
      </c>
      <c r="Z120" s="920">
        <f t="array" aca="1" ref="Z120" ca="1">MAX(IFERROR(
    INDEX(Хронология[Окончание], MATCH(1, (Хронология[Ключ]=Планирование[[#This Row],[Ключ]]) * (Хронология[Подытог за операцию]=MAX(IF(Хронология[Ключ]=Планирование[[#This Row],[Ключ]], Хронология[Подытог за операцию]))), 0)),
    Y84+AC84
), Планирование[[#This Row],[Начало (факт)]]+Планирование[[#This Row],[Сутки (факт)]])</f>
        <v>46175.034999999931</v>
      </c>
      <c r="AA120" s="921">
        <f ca="1">IF(AND(Планирование[[#This Row],[Начало (факт)]]=Y121,Планирование[[#This Row],[Забой, м (факт)]]=AE121),0,Планирование[[#This Row],[Конец (факт, прогноз)]]-Планирование[[#This Row],[Начало (факт)]])</f>
        <v>0</v>
      </c>
      <c r="AB120" s="921">
        <f ca="1">Планирование[[#This Row],[Часы (факт)]]-Планирование[[#This Row],[НПВ за операцию, часы]]-Планирование[[#This Row],[ПНВ, часы]]</f>
        <v>0</v>
      </c>
      <c r="AC120" s="922">
        <f t="array" aca="1" ref="AC120" ca="1">IFERROR(
  IF(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окончены",
    MAX(IF(Хронология[Ключ]=Планирование[[#This Row],[Ключ]], Хронология[Подытог за операцию])),
    IF(
      Планирование[[#This Row],[Событие]]="Мех. бурение",
      (MAX(Хронология[Окончание]) - Планирование[[#This Row],[Начало (факт)]]) +
      (Планирование[[#This Row],[Забой, м (план)]] - Планирование[[#This Row],[Забой, м (факт)]]) /
      ((Планирование[[#This Row],[Забой, м (план)]] - V83)/Планирование[[#This Row],[Сутки (план)]]),
      IF(
        AND(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продолжаются",
          Планирование[[#This Row],[Начало (факт)]]&gt;0
        ),
        (TODAY()-Планирование[[#This Row],[Начало (факт)]]),
        IF(
          AND(Планирование[[#This Row],[Начало (факт)]]=0,
            Планирование[[#This Row],[Начало (план)]] &gt; MAX(Хронология[Начало])),
          Планирование[[#This Row],[Сутки (план)]],
          IF(
            AND((TODAY()-Планирование[[#This Row],[Начало (план)]])&gt;1,
              ISERR(MATCH(Планирование[[#This Row],[Ключ]], Хронология[Ключ], 0))),
            0,
            Планирование[[#This Row],[Сутки (план)]]
          )
        )
      )
    )
  ),
  Планирование[[#This Row],[Сутки (план)]]
)</f>
        <v>0</v>
      </c>
      <c r="AD120" s="922">
        <f ca="1">Планирование[[#This Row],[Сутки (факт)]]</f>
        <v>0</v>
      </c>
      <c r="AE120" s="923">
        <f t="array" ref="AE120">MAX(IF(Хронология[Ключ]=Планирование[[#This Row],[Ключ]], Хронология[Забой, м]))</f>
        <v>0</v>
      </c>
      <c r="AF120" s="914">
        <f ca="1">IFERROR(
    SUMIFS(
        Хронология[Часы],
        Хронология[Результат], "НПВ: нет в ГГД",
        Хронология[Начало], "&gt;=" &amp; Планирование[[#This Row],[Начало (факт)]],
        Хронология[Окончание], "&lt;=" &amp; Планирование[[#This Row],[Конец (факт, прогноз)]]
    ),
    0
)</f>
        <v>0</v>
      </c>
      <c r="AG120" s="914">
        <f ca="1">IFERROR(
    SUMIFS(
        Хронология[Часы],
        Хронология[Результат], "НПВ: нет в ГГД",
        Хронология[Начало], "&gt;=" &amp; Планирование[[#This Row],[Конец (факт, прогноз)]],
        Хронология[Окончание], "&lt;=" &amp; Y85
    ),
    0
)</f>
        <v>0</v>
      </c>
      <c r="AH120" s="919">
        <f ca="1">ROUND(IF(Планирование[[#This Row],[Часы (факт)]]-Планирование[[#This Row],[НПВ за операцию, часы]]-Планирование[[#This Row],[Часы (план)]] &lt;0, 0, Планирование[[#This Row],[Часы (факт)]]-Планирование[[#This Row],[НПВ за операцию, часы]]-Планирование[[#This Row],[Часы (план)]]), 2)</f>
        <v>0</v>
      </c>
      <c r="AI120" s="918" t="s">
        <v>1060</v>
      </c>
      <c r="AJ120" s="924">
        <f ca="1">Планирование[[#This Row],[Конец (план)]]-Планирование[[#This Row],[Конец (факт, прогноз)]]</f>
        <v>5.5804166666639503</v>
      </c>
    </row>
    <row r="121" spans="1:36" s="915" customFormat="1" ht="30" customHeight="1">
      <c r="A121" s="909" t="s">
        <v>1134</v>
      </c>
      <c r="B121" s="910" t="s">
        <v>266</v>
      </c>
      <c r="C121" s="911"/>
      <c r="D121" s="911" t="s">
        <v>263</v>
      </c>
      <c r="E121" s="911" t="s">
        <v>58</v>
      </c>
      <c r="F121" s="911"/>
      <c r="G121" s="911" t="s">
        <v>78</v>
      </c>
      <c r="H121" s="911" t="s">
        <v>1135</v>
      </c>
      <c r="I121" s="911" t="s">
        <v>61</v>
      </c>
      <c r="J121" s="911" t="s">
        <v>1136</v>
      </c>
      <c r="K121" s="911"/>
      <c r="L121" s="911" t="str">
        <f>IF(Планирование[[#This Row],[Контекст простоя]]="Штатно", Планирование[[#This Row],[Скважина]] &amp; " " &amp; "ОК–" &amp;Планирование[[#This Row],[ОК]] &amp; " "  &amp; Планирование[[#This Row],[Этап]] &amp; " " &amp; Планирование[[#This Row],[Вид работ]] &amp; " " &amp; Планирование[[#This Row],[Объект работ]] &amp; " " &amp; Планирование[[#This Row],[Рейс]], Планирование[[#This Row],[Скважина]] &amp; " " &amp; "ОК–" &amp;Планирование[[#This Row],[ОК]] &amp; " " &amp; Планирование[[#This Row],[Этап]] &amp; " " &amp; Планирование[[#This Row],[Контекст простоя]] &amp; " " &amp; Планирование[[#This Row],[Событие]] &amp; " " &amp; Планирование[[#This Row],[Вид работ]] &amp; " " &amp; Планирование[[#This Row],[Объект работ]] &amp; " " &amp; Планирование[[#This Row],[Рейс]])</f>
        <v xml:space="preserve">600 ОК– ЗБС Подготовка оборудования Клин-отклонитель </v>
      </c>
      <c r="M121" s="912">
        <f ca="1">IF(Планирование[[#This Row],[Скважина]]&lt;&gt;B120,Планирование[[#This Row],[Начало (факт)]],N120)</f>
        <v>46180.615416666595</v>
      </c>
      <c r="N121" s="913">
        <f ca="1">Планирование[[#This Row],[Начало (цель)]]+Планирование[[#This Row],[Сутки (цель)]]</f>
        <v>46180.615416666595</v>
      </c>
      <c r="O121" s="914">
        <v>0</v>
      </c>
      <c r="Q121" s="916">
        <f>Планирование[[#This Row],[Часы (цель)]]/24</f>
        <v>0</v>
      </c>
      <c r="R121" s="916">
        <f>R120+Планирование[[#This Row],[Сутки (цель)]]</f>
        <v>5.7579166666666675</v>
      </c>
      <c r="S121" s="917">
        <f ca="1">Планирование[[#This Row],[Начало (цель)]]</f>
        <v>46180.615416666595</v>
      </c>
      <c r="T121" s="913">
        <f ca="1">Планирование[[#This Row],[Начало (план)]]+Планирование[[#This Row],[Сутки (план)]]</f>
        <v>46180.615416666595</v>
      </c>
      <c r="U121" s="914">
        <f>Планирование[[#This Row],[Часы (цель)]]</f>
        <v>0</v>
      </c>
      <c r="V121" s="918">
        <f>Планирование[[#This Row],[Забой, м (цель)]]</f>
        <v>0</v>
      </c>
      <c r="W121" s="916">
        <f>Планирование[[#This Row],[Часы (план)]]/24</f>
        <v>0</v>
      </c>
      <c r="X121" s="919">
        <f>X120+Планирование[[#This Row],[Сутки (план)]]</f>
        <v>5.7579166666666675</v>
      </c>
      <c r="Y121" s="912">
        <f t="array" aca="1" ref="Y121" ca="1">IFERROR(
    INDEX(Хронология[Начало], MATCH(1, (Хронология[Ключ]=Планирование[[#This Row],[Ключ]]) * (Хронология[Подытог за операцию]=MIN(IF(Хронология[Ключ]=Планирование[[#This Row],[Ключ]], Хронология[Подытог за операцию]))), 0)),
    Z83
)</f>
        <v>46174.857499999933</v>
      </c>
      <c r="Z121" s="920">
        <f t="array" aca="1" ref="Z121" ca="1">MAX(IFERROR(
    INDEX(Хронология[Окончание], MATCH(1, (Хронология[Ключ]=Планирование[[#This Row],[Ключ]]) * (Хронология[Подытог за операцию]=MAX(IF(Хронология[Ключ]=Планирование[[#This Row],[Ключ]], Хронология[Подытог за операцию]))), 0)),
    Y84+AC84
), Планирование[[#This Row],[Начало (факт)]]+Планирование[[#This Row],[Сутки (факт)]])</f>
        <v>46175.034999999931</v>
      </c>
      <c r="AA121" s="921">
        <f ca="1">IF(AND(Планирование[[#This Row],[Начало (факт)]]=Y122,Планирование[[#This Row],[Забой, м (факт)]]=AE122),0,Планирование[[#This Row],[Конец (факт, прогноз)]]-Планирование[[#This Row],[Начало (факт)]])</f>
        <v>0</v>
      </c>
      <c r="AB121" s="921">
        <f ca="1">Планирование[[#This Row],[Часы (факт)]]-Планирование[[#This Row],[НПВ за операцию, часы]]-Планирование[[#This Row],[ПНВ, часы]]</f>
        <v>0</v>
      </c>
      <c r="AC121" s="922">
        <f t="array" aca="1" ref="AC121" ca="1">IFERROR(
  IF(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окончены",
    MAX(IF(Хронология[Ключ]=Планирование[[#This Row],[Ключ]], Хронология[Подытог за операцию])),
    IF(
      Планирование[[#This Row],[Событие]]="Мех. бурение",
      (MAX(Хронология[Окончание]) - Планирование[[#This Row],[Начало (факт)]]) +
      (Планирование[[#This Row],[Забой, м (план)]] - Планирование[[#This Row],[Забой, м (факт)]]) /
      ((Планирование[[#This Row],[Забой, м (план)]] - V83)/Планирование[[#This Row],[Сутки (план)]]),
      IF(
        AND(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продолжаются",
          Планирование[[#This Row],[Начало (факт)]]&gt;0
        ),
        (TODAY()-Планирование[[#This Row],[Начало (факт)]]),
        IF(
          AND(Планирование[[#This Row],[Начало (факт)]]=0,
            Планирование[[#This Row],[Начало (план)]] &gt; MAX(Хронология[Начало])),
          Планирование[[#This Row],[Сутки (план)]],
          IF(
            AND((TODAY()-Планирование[[#This Row],[Начало (план)]])&gt;1,
              ISERR(MATCH(Планирование[[#This Row],[Ключ]], Хронология[Ключ], 0))),
            0,
            Планирование[[#This Row],[Сутки (план)]]
          )
        )
      )
    )
  ),
  Планирование[[#This Row],[Сутки (план)]]
)</f>
        <v>0</v>
      </c>
      <c r="AD121" s="922">
        <f ca="1">Планирование[[#This Row],[Сутки (факт)]]</f>
        <v>0</v>
      </c>
      <c r="AE121" s="923">
        <f t="array" ref="AE121">MAX(IF(Хронология[Ключ]=Планирование[[#This Row],[Ключ]], Хронология[Забой, м]))</f>
        <v>0</v>
      </c>
      <c r="AF121" s="914">
        <f ca="1">IFERROR(
    SUMIFS(
        Хронология[Часы],
        Хронология[Результат], "НПВ: нет в ГГД",
        Хронология[Начало], "&gt;=" &amp; Планирование[[#This Row],[Начало (факт)]],
        Хронология[Окончание], "&lt;=" &amp; Планирование[[#This Row],[Конец (факт, прогноз)]]
    ),
    0
)</f>
        <v>0</v>
      </c>
      <c r="AG121" s="914">
        <f ca="1">IFERROR(
    SUMIFS(
        Хронология[Часы],
        Хронология[Результат], "НПВ: нет в ГГД",
        Хронология[Начало], "&gt;=" &amp; Планирование[[#This Row],[Конец (факт, прогноз)]],
        Хронология[Окончание], "&lt;=" &amp; Y85
    ),
    0
)</f>
        <v>0</v>
      </c>
      <c r="AH121" s="919">
        <f ca="1">ROUND(IF(Планирование[[#This Row],[Часы (факт)]]-Планирование[[#This Row],[НПВ за операцию, часы]]-Планирование[[#This Row],[Часы (план)]] &lt;0, 0, Планирование[[#This Row],[Часы (факт)]]-Планирование[[#This Row],[НПВ за операцию, часы]]-Планирование[[#This Row],[Часы (план)]]), 2)</f>
        <v>0</v>
      </c>
      <c r="AI121" s="918" t="s">
        <v>1060</v>
      </c>
      <c r="AJ121" s="924">
        <f ca="1">Планирование[[#This Row],[Конец (план)]]-Планирование[[#This Row],[Конец (факт, прогноз)]]</f>
        <v>5.5804166666639503</v>
      </c>
    </row>
    <row r="122" spans="1:36" s="915" customFormat="1" ht="30" customHeight="1">
      <c r="A122" s="909" t="s">
        <v>1137</v>
      </c>
      <c r="B122" s="910" t="s">
        <v>266</v>
      </c>
      <c r="C122" s="911"/>
      <c r="D122" s="911" t="s">
        <v>263</v>
      </c>
      <c r="E122" s="911" t="s">
        <v>58</v>
      </c>
      <c r="F122" s="911"/>
      <c r="G122" s="911" t="s">
        <v>95</v>
      </c>
      <c r="H122" s="911" t="s">
        <v>104</v>
      </c>
      <c r="I122" s="911" t="s">
        <v>1124</v>
      </c>
      <c r="J122" s="911" t="s">
        <v>1136</v>
      </c>
      <c r="K122" s="911"/>
      <c r="L122" s="911" t="str">
        <f>IF(Планирование[[#This Row],[Контекст простоя]]="Штатно", Планирование[[#This Row],[Скважина]] &amp; " " &amp; "ОК–" &amp;Планирование[[#This Row],[ОК]] &amp; " "  &amp; Планирование[[#This Row],[Этап]] &amp; " " &amp; Планирование[[#This Row],[Вид работ]] &amp; " " &amp; Планирование[[#This Row],[Объект работ]] &amp; " " &amp; Планирование[[#This Row],[Рейс]], Планирование[[#This Row],[Скважина]] &amp; " " &amp; "ОК–" &amp;Планирование[[#This Row],[ОК]] &amp; " " &amp; Планирование[[#This Row],[Этап]] &amp; " " &amp; Планирование[[#This Row],[Контекст простоя]] &amp; " " &amp; Планирование[[#This Row],[Событие]] &amp; " " &amp; Планирование[[#This Row],[Вид работ]] &amp; " " &amp; Планирование[[#This Row],[Объект работ]] &amp; " " &amp; Планирование[[#This Row],[Рейс]])</f>
        <v xml:space="preserve">600 ОК– ЗБС Сборка Клин-отклонитель </v>
      </c>
      <c r="M122" s="912">
        <f ca="1">IF(Планирование[[#This Row],[Скважина]]&lt;&gt;B121,Планирование[[#This Row],[Начало (факт)]],N121)</f>
        <v>46180.615416666595</v>
      </c>
      <c r="N122" s="913">
        <f ca="1">Планирование[[#This Row],[Начало (цель)]]+Планирование[[#This Row],[Сутки (цель)]]</f>
        <v>46180.615416666595</v>
      </c>
      <c r="O122" s="914">
        <v>0</v>
      </c>
      <c r="Q122" s="916">
        <f>Планирование[[#This Row],[Часы (цель)]]/24</f>
        <v>0</v>
      </c>
      <c r="R122" s="916">
        <f>R121+Планирование[[#This Row],[Сутки (цель)]]</f>
        <v>5.7579166666666675</v>
      </c>
      <c r="S122" s="917">
        <f ca="1">Планирование[[#This Row],[Начало (цель)]]</f>
        <v>46180.615416666595</v>
      </c>
      <c r="T122" s="913">
        <f ca="1">Планирование[[#This Row],[Начало (план)]]+Планирование[[#This Row],[Сутки (план)]]</f>
        <v>46180.615416666595</v>
      </c>
      <c r="U122" s="914">
        <f>Планирование[[#This Row],[Часы (цель)]]</f>
        <v>0</v>
      </c>
      <c r="V122" s="918">
        <f>Планирование[[#This Row],[Забой, м (цель)]]</f>
        <v>0</v>
      </c>
      <c r="W122" s="916">
        <f>Планирование[[#This Row],[Часы (план)]]/24</f>
        <v>0</v>
      </c>
      <c r="X122" s="919">
        <f>X121+Планирование[[#This Row],[Сутки (план)]]</f>
        <v>5.7579166666666675</v>
      </c>
      <c r="Y122" s="912">
        <f t="array" aca="1" ref="Y122" ca="1">IFERROR(
    INDEX(Хронология[Начало], MATCH(1, (Хронология[Ключ]=Планирование[[#This Row],[Ключ]]) * (Хронология[Подытог за операцию]=MIN(IF(Хронология[Ключ]=Планирование[[#This Row],[Ключ]], Хронология[Подытог за операцию]))), 0)),
    Z83
)</f>
        <v>46174.857499999933</v>
      </c>
      <c r="Z122" s="920">
        <f t="array" aca="1" ref="Z122" ca="1">MAX(IFERROR(
    INDEX(Хронология[Окончание], MATCH(1, (Хронология[Ключ]=Планирование[[#This Row],[Ключ]]) * (Хронология[Подытог за операцию]=MAX(IF(Хронология[Ключ]=Планирование[[#This Row],[Ключ]], Хронология[Подытог за операцию]))), 0)),
    Y84+AC84
), Планирование[[#This Row],[Начало (факт)]]+Планирование[[#This Row],[Сутки (факт)]])</f>
        <v>46175.034999999931</v>
      </c>
      <c r="AA122" s="921">
        <f ca="1">IF(AND(Планирование[[#This Row],[Начало (факт)]]=Y123,Планирование[[#This Row],[Забой, м (факт)]]=AE123),0,Планирование[[#This Row],[Конец (факт, прогноз)]]-Планирование[[#This Row],[Начало (факт)]])</f>
        <v>0</v>
      </c>
      <c r="AB122" s="921">
        <f ca="1">Планирование[[#This Row],[Часы (факт)]]-Планирование[[#This Row],[НПВ за операцию, часы]]-Планирование[[#This Row],[ПНВ, часы]]</f>
        <v>0</v>
      </c>
      <c r="AC122" s="922">
        <f t="array" aca="1" ref="AC122" ca="1">IFERROR(
  IF(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окончены",
    MAX(IF(Хронология[Ключ]=Планирование[[#This Row],[Ключ]], Хронология[Подытог за операцию])),
    IF(
      Планирование[[#This Row],[Событие]]="Мех. бурение",
      (MAX(Хронология[Окончание]) - Планирование[[#This Row],[Начало (факт)]]) +
      (Планирование[[#This Row],[Забой, м (план)]] - Планирование[[#This Row],[Забой, м (факт)]]) /
      ((Планирование[[#This Row],[Забой, м (план)]] - V83)/Планирование[[#This Row],[Сутки (план)]]),
      IF(
        AND(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продолжаются",
          Планирование[[#This Row],[Начало (факт)]]&gt;0
        ),
        (TODAY()-Планирование[[#This Row],[Начало (факт)]]),
        IF(
          AND(Планирование[[#This Row],[Начало (факт)]]=0,
            Планирование[[#This Row],[Начало (план)]] &gt; MAX(Хронология[Начало])),
          Планирование[[#This Row],[Сутки (план)]],
          IF(
            AND((TODAY()-Планирование[[#This Row],[Начало (план)]])&gt;1,
              ISERR(MATCH(Планирование[[#This Row],[Ключ]], Хронология[Ключ], 0))),
            0,
            Планирование[[#This Row],[Сутки (план)]]
          )
        )
      )
    )
  ),
  Планирование[[#This Row],[Сутки (план)]]
)</f>
        <v>0</v>
      </c>
      <c r="AD122" s="922">
        <f ca="1">Планирование[[#This Row],[Сутки (факт)]]</f>
        <v>0</v>
      </c>
      <c r="AE122" s="923">
        <f t="array" ref="AE122">MAX(IF(Хронология[Ключ]=Планирование[[#This Row],[Ключ]], Хронология[Забой, м]))</f>
        <v>0</v>
      </c>
      <c r="AF122" s="914">
        <f ca="1">IFERROR(
    SUMIFS(
        Хронология[Часы],
        Хронология[Результат], "НПВ: нет в ГГД",
        Хронология[Начало], "&gt;=" &amp; Планирование[[#This Row],[Начало (факт)]],
        Хронология[Окончание], "&lt;=" &amp; Планирование[[#This Row],[Конец (факт, прогноз)]]
    ),
    0
)</f>
        <v>0</v>
      </c>
      <c r="AG122" s="914">
        <f ca="1">IFERROR(
    SUMIFS(
        Хронология[Часы],
        Хронология[Результат], "НПВ: нет в ГГД",
        Хронология[Начало], "&gt;=" &amp; Планирование[[#This Row],[Конец (факт, прогноз)]],
        Хронология[Окончание], "&lt;=" &amp; Y85
    ),
    0
)</f>
        <v>0</v>
      </c>
      <c r="AH122" s="919">
        <f ca="1">ROUND(IF(Планирование[[#This Row],[Часы (факт)]]-Планирование[[#This Row],[НПВ за операцию, часы]]-Планирование[[#This Row],[Часы (план)]] &lt;0, 0, Планирование[[#This Row],[Часы (факт)]]-Планирование[[#This Row],[НПВ за операцию, часы]]-Планирование[[#This Row],[Часы (план)]]), 2)</f>
        <v>0</v>
      </c>
      <c r="AI122" s="918" t="s">
        <v>1060</v>
      </c>
      <c r="AJ122" s="924">
        <f ca="1">Планирование[[#This Row],[Конец (план)]]-Планирование[[#This Row],[Конец (факт, прогноз)]]</f>
        <v>5.5804166666639503</v>
      </c>
    </row>
    <row r="123" spans="1:36" s="915" customFormat="1" ht="30" customHeight="1">
      <c r="A123" s="909" t="s">
        <v>1138</v>
      </c>
      <c r="B123" s="910" t="s">
        <v>266</v>
      </c>
      <c r="C123" s="911"/>
      <c r="D123" s="911" t="s">
        <v>263</v>
      </c>
      <c r="E123" s="911" t="s">
        <v>58</v>
      </c>
      <c r="F123" s="911"/>
      <c r="G123" s="911" t="s">
        <v>90</v>
      </c>
      <c r="H123" s="911" t="s">
        <v>106</v>
      </c>
      <c r="I123" s="911" t="s">
        <v>1124</v>
      </c>
      <c r="J123" s="911" t="s">
        <v>1136</v>
      </c>
      <c r="K123" s="911"/>
      <c r="L123" s="911" t="str">
        <f>IF(Планирование[[#This Row],[Контекст простоя]]="Штатно", Планирование[[#This Row],[Скважина]] &amp; " " &amp; "ОК–" &amp;Планирование[[#This Row],[ОК]] &amp; " "  &amp; Планирование[[#This Row],[Этап]] &amp; " " &amp; Планирование[[#This Row],[Вид работ]] &amp; " " &amp; Планирование[[#This Row],[Объект работ]] &amp; " " &amp; Планирование[[#This Row],[Рейс]], Планирование[[#This Row],[Скважина]] &amp; " " &amp; "ОК–" &amp;Планирование[[#This Row],[ОК]] &amp; " " &amp; Планирование[[#This Row],[Этап]] &amp; " " &amp; Планирование[[#This Row],[Контекст простоя]] &amp; " " &amp; Планирование[[#This Row],[Событие]] &amp; " " &amp; Планирование[[#This Row],[Вид работ]] &amp; " " &amp; Планирование[[#This Row],[Объект работ]] &amp; " " &amp; Планирование[[#This Row],[Рейс]])</f>
        <v xml:space="preserve">600 ОК– ЗБС Спуск Клин-отклонитель </v>
      </c>
      <c r="M123" s="912">
        <f ca="1">IF(Планирование[[#This Row],[Скважина]]&lt;&gt;B122,Планирование[[#This Row],[Начало (факт)]],N122)</f>
        <v>46180.615416666595</v>
      </c>
      <c r="N123" s="913">
        <f ca="1">Планирование[[#This Row],[Начало (цель)]]+Планирование[[#This Row],[Сутки (цель)]]</f>
        <v>46180.615416666595</v>
      </c>
      <c r="O123" s="914">
        <v>0</v>
      </c>
      <c r="Q123" s="916">
        <f>Планирование[[#This Row],[Часы (цель)]]/24</f>
        <v>0</v>
      </c>
      <c r="R123" s="916">
        <f>R122+Планирование[[#This Row],[Сутки (цель)]]</f>
        <v>5.7579166666666675</v>
      </c>
      <c r="S123" s="917">
        <f ca="1">Планирование[[#This Row],[Начало (цель)]]</f>
        <v>46180.615416666595</v>
      </c>
      <c r="T123" s="913">
        <f ca="1">Планирование[[#This Row],[Начало (план)]]+Планирование[[#This Row],[Сутки (план)]]</f>
        <v>46180.615416666595</v>
      </c>
      <c r="U123" s="914">
        <f>Планирование[[#This Row],[Часы (цель)]]</f>
        <v>0</v>
      </c>
      <c r="V123" s="918">
        <f>Планирование[[#This Row],[Забой, м (цель)]]</f>
        <v>0</v>
      </c>
      <c r="W123" s="916">
        <f>Планирование[[#This Row],[Часы (план)]]/24</f>
        <v>0</v>
      </c>
      <c r="X123" s="919">
        <f>X122+Планирование[[#This Row],[Сутки (план)]]</f>
        <v>5.7579166666666675</v>
      </c>
      <c r="Y123" s="912">
        <f t="array" aca="1" ref="Y123" ca="1">IFERROR(
    INDEX(Хронология[Начало], MATCH(1, (Хронология[Ключ]=Планирование[[#This Row],[Ключ]]) * (Хронология[Подытог за операцию]=MIN(IF(Хронология[Ключ]=Планирование[[#This Row],[Ключ]], Хронология[Подытог за операцию]))), 0)),
    Z83
)</f>
        <v>46174.857499999933</v>
      </c>
      <c r="Z123" s="920">
        <f t="array" aca="1" ref="Z123" ca="1">MAX(IFERROR(
    INDEX(Хронология[Окончание], MATCH(1, (Хронология[Ключ]=Планирование[[#This Row],[Ключ]]) * (Хронология[Подытог за операцию]=MAX(IF(Хронология[Ключ]=Планирование[[#This Row],[Ключ]], Хронология[Подытог за операцию]))), 0)),
    Y84+AC84
), Планирование[[#This Row],[Начало (факт)]]+Планирование[[#This Row],[Сутки (факт)]])</f>
        <v>46175.034999999931</v>
      </c>
      <c r="AA123" s="921">
        <f ca="1">IF(AND(Планирование[[#This Row],[Начало (факт)]]=Y124,Планирование[[#This Row],[Забой, м (факт)]]=AE124),0,Планирование[[#This Row],[Конец (факт, прогноз)]]-Планирование[[#This Row],[Начало (факт)]])</f>
        <v>0</v>
      </c>
      <c r="AB123" s="921">
        <f ca="1">Планирование[[#This Row],[Часы (факт)]]-Планирование[[#This Row],[НПВ за операцию, часы]]-Планирование[[#This Row],[ПНВ, часы]]</f>
        <v>0</v>
      </c>
      <c r="AC123" s="922">
        <f t="array" aca="1" ref="AC123" ca="1">IFERROR(
  IF(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окончены",
    MAX(IF(Хронология[Ключ]=Планирование[[#This Row],[Ключ]], Хронология[Подытог за операцию])),
    IF(
      Планирование[[#This Row],[Событие]]="Мех. бурение",
      (MAX(Хронология[Окончание]) - Планирование[[#This Row],[Начало (факт)]]) +
      (Планирование[[#This Row],[Забой, м (план)]] - Планирование[[#This Row],[Забой, м (факт)]]) /
      ((Планирование[[#This Row],[Забой, м (план)]] - V83)/Планирование[[#This Row],[Сутки (план)]]),
      IF(
        AND(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продолжаются",
          Планирование[[#This Row],[Начало (факт)]]&gt;0
        ),
        (TODAY()-Планирование[[#This Row],[Начало (факт)]]),
        IF(
          AND(Планирование[[#This Row],[Начало (факт)]]=0,
            Планирование[[#This Row],[Начало (план)]] &gt; MAX(Хронология[Начало])),
          Планирование[[#This Row],[Сутки (план)]],
          IF(
            AND((TODAY()-Планирование[[#This Row],[Начало (план)]])&gt;1,
              ISERR(MATCH(Планирование[[#This Row],[Ключ]], Хронология[Ключ], 0))),
            0,
            Планирование[[#This Row],[Сутки (план)]]
          )
        )
      )
    )
  ),
  Планирование[[#This Row],[Сутки (план)]]
)</f>
        <v>0</v>
      </c>
      <c r="AD123" s="922">
        <f ca="1">Планирование[[#This Row],[Сутки (факт)]]</f>
        <v>0</v>
      </c>
      <c r="AE123" s="923">
        <f t="array" ref="AE123">MAX(IF(Хронология[Ключ]=Планирование[[#This Row],[Ключ]], Хронология[Забой, м]))</f>
        <v>0</v>
      </c>
      <c r="AF123" s="914">
        <f ca="1">IFERROR(
    SUMIFS(
        Хронология[Часы],
        Хронология[Результат], "НПВ: нет в ГГД",
        Хронология[Начало], "&gt;=" &amp; Планирование[[#This Row],[Начало (факт)]],
        Хронология[Окончание], "&lt;=" &amp; Планирование[[#This Row],[Конец (факт, прогноз)]]
    ),
    0
)</f>
        <v>0</v>
      </c>
      <c r="AG123" s="914">
        <f ca="1">IFERROR(
    SUMIFS(
        Хронология[Часы],
        Хронология[Результат], "НПВ: нет в ГГД",
        Хронология[Начало], "&gt;=" &amp; Планирование[[#This Row],[Конец (факт, прогноз)]],
        Хронология[Окончание], "&lt;=" &amp; Y85
    ),
    0
)</f>
        <v>0</v>
      </c>
      <c r="AH123" s="919">
        <f ca="1">ROUND(IF(Планирование[[#This Row],[Часы (факт)]]-Планирование[[#This Row],[НПВ за операцию, часы]]-Планирование[[#This Row],[Часы (план)]] &lt;0, 0, Планирование[[#This Row],[Часы (факт)]]-Планирование[[#This Row],[НПВ за операцию, часы]]-Планирование[[#This Row],[Часы (план)]]), 2)</f>
        <v>0</v>
      </c>
      <c r="AI123" s="918" t="s">
        <v>1060</v>
      </c>
      <c r="AJ123" s="924">
        <f ca="1">Планирование[[#This Row],[Конец (план)]]-Планирование[[#This Row],[Конец (факт, прогноз)]]</f>
        <v>5.5804166666639503</v>
      </c>
    </row>
    <row r="124" spans="1:36" s="915" customFormat="1" ht="30" customHeight="1">
      <c r="A124" s="909" t="s">
        <v>1139</v>
      </c>
      <c r="B124" s="910" t="s">
        <v>266</v>
      </c>
      <c r="C124" s="911"/>
      <c r="D124" s="911" t="s">
        <v>263</v>
      </c>
      <c r="E124" s="911" t="s">
        <v>58</v>
      </c>
      <c r="F124" s="911"/>
      <c r="G124" s="911" t="s">
        <v>90</v>
      </c>
      <c r="H124" s="911" t="s">
        <v>106</v>
      </c>
      <c r="I124" s="911" t="s">
        <v>1124</v>
      </c>
      <c r="J124" s="911" t="s">
        <v>1136</v>
      </c>
      <c r="K124" s="911"/>
      <c r="L124" s="911" t="str">
        <f>IF(Планирование[[#This Row],[Контекст простоя]]="Штатно", Планирование[[#This Row],[Скважина]] &amp; " " &amp; "ОК–" &amp;Планирование[[#This Row],[ОК]] &amp; " "  &amp; Планирование[[#This Row],[Этап]] &amp; " " &amp; Планирование[[#This Row],[Вид работ]] &amp; " " &amp; Планирование[[#This Row],[Объект работ]] &amp; " " &amp; Планирование[[#This Row],[Рейс]], Планирование[[#This Row],[Скважина]] &amp; " " &amp; "ОК–" &amp;Планирование[[#This Row],[ОК]] &amp; " " &amp; Планирование[[#This Row],[Этап]] &amp; " " &amp; Планирование[[#This Row],[Контекст простоя]] &amp; " " &amp; Планирование[[#This Row],[Событие]] &amp; " " &amp; Планирование[[#This Row],[Вид работ]] &amp; " " &amp; Планирование[[#This Row],[Объект работ]] &amp; " " &amp; Планирование[[#This Row],[Рейс]])</f>
        <v xml:space="preserve">600 ОК– ЗБС Спуск Клин-отклонитель </v>
      </c>
      <c r="M124" s="912">
        <f ca="1">IF(Планирование[[#This Row],[Скважина]]&lt;&gt;B123,Планирование[[#This Row],[Начало (факт)]],N123)</f>
        <v>46180.615416666595</v>
      </c>
      <c r="N124" s="913">
        <f ca="1">Планирование[[#This Row],[Начало (цель)]]+Планирование[[#This Row],[Сутки (цель)]]</f>
        <v>46180.615416666595</v>
      </c>
      <c r="O124" s="914">
        <v>0</v>
      </c>
      <c r="Q124" s="916">
        <f>Планирование[[#This Row],[Часы (цель)]]/24</f>
        <v>0</v>
      </c>
      <c r="R124" s="916">
        <f>R123+Планирование[[#This Row],[Сутки (цель)]]</f>
        <v>5.7579166666666675</v>
      </c>
      <c r="S124" s="917">
        <f ca="1">Планирование[[#This Row],[Начало (цель)]]</f>
        <v>46180.615416666595</v>
      </c>
      <c r="T124" s="913">
        <f ca="1">Планирование[[#This Row],[Начало (план)]]+Планирование[[#This Row],[Сутки (план)]]</f>
        <v>46180.615416666595</v>
      </c>
      <c r="U124" s="914">
        <f>Планирование[[#This Row],[Часы (цель)]]</f>
        <v>0</v>
      </c>
      <c r="V124" s="918">
        <f>Планирование[[#This Row],[Забой, м (цель)]]</f>
        <v>0</v>
      </c>
      <c r="W124" s="916">
        <f>Планирование[[#This Row],[Часы (план)]]/24</f>
        <v>0</v>
      </c>
      <c r="X124" s="919">
        <f>X123+Планирование[[#This Row],[Сутки (план)]]</f>
        <v>5.7579166666666675</v>
      </c>
      <c r="Y124" s="912">
        <f t="array" aca="1" ref="Y124" ca="1">IFERROR(
    INDEX(Хронология[Начало], MATCH(1, (Хронология[Ключ]=Планирование[[#This Row],[Ключ]]) * (Хронология[Подытог за операцию]=MIN(IF(Хронология[Ключ]=Планирование[[#This Row],[Ключ]], Хронология[Подытог за операцию]))), 0)),
    Z83
)</f>
        <v>46174.857499999933</v>
      </c>
      <c r="Z124" s="920">
        <f t="array" aca="1" ref="Z124" ca="1">MAX(IFERROR(
    INDEX(Хронология[Окончание], MATCH(1, (Хронология[Ключ]=Планирование[[#This Row],[Ключ]]) * (Хронология[Подытог за операцию]=MAX(IF(Хронология[Ключ]=Планирование[[#This Row],[Ключ]], Хронология[Подытог за операцию]))), 0)),
    Y84+AC84
), Планирование[[#This Row],[Начало (факт)]]+Планирование[[#This Row],[Сутки (факт)]])</f>
        <v>46175.034999999931</v>
      </c>
      <c r="AA124" s="921">
        <f ca="1">IF(AND(Планирование[[#This Row],[Начало (факт)]]=Y125,Планирование[[#This Row],[Забой, м (факт)]]=AE125),0,Планирование[[#This Row],[Конец (факт, прогноз)]]-Планирование[[#This Row],[Начало (факт)]])</f>
        <v>0</v>
      </c>
      <c r="AB124" s="921">
        <f ca="1">Планирование[[#This Row],[Часы (факт)]]-Планирование[[#This Row],[НПВ за операцию, часы]]-Планирование[[#This Row],[ПНВ, часы]]</f>
        <v>0</v>
      </c>
      <c r="AC124" s="922">
        <f t="array" aca="1" ref="AC124" ca="1">IFERROR(
  IF(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окончены",
    MAX(IF(Хронология[Ключ]=Планирование[[#This Row],[Ключ]], Хронология[Подытог за операцию])),
    IF(
      Планирование[[#This Row],[Событие]]="Мех. бурение",
      (MAX(Хронология[Окончание]) - Планирование[[#This Row],[Начало (факт)]]) +
      (Планирование[[#This Row],[Забой, м (план)]] - Планирование[[#This Row],[Забой, м (факт)]]) /
      ((Планирование[[#This Row],[Забой, м (план)]] - V83)/Планирование[[#This Row],[Сутки (план)]]),
      IF(
        AND(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продолжаются",
          Планирование[[#This Row],[Начало (факт)]]&gt;0
        ),
        (TODAY()-Планирование[[#This Row],[Начало (факт)]]),
        IF(
          AND(Планирование[[#This Row],[Начало (факт)]]=0,
            Планирование[[#This Row],[Начало (план)]] &gt; MAX(Хронология[Начало])),
          Планирование[[#This Row],[Сутки (план)]],
          IF(
            AND((TODAY()-Планирование[[#This Row],[Начало (план)]])&gt;1,
              ISERR(MATCH(Планирование[[#This Row],[Ключ]], Хронология[Ключ], 0))),
            0,
            Планирование[[#This Row],[Сутки (план)]]
          )
        )
      )
    )
  ),
  Планирование[[#This Row],[Сутки (план)]]
)</f>
        <v>0</v>
      </c>
      <c r="AD124" s="922">
        <f ca="1">Планирование[[#This Row],[Сутки (факт)]]</f>
        <v>0</v>
      </c>
      <c r="AE124" s="923">
        <f t="array" ref="AE124">MAX(IF(Хронология[Ключ]=Планирование[[#This Row],[Ключ]], Хронология[Забой, м]))</f>
        <v>0</v>
      </c>
      <c r="AF124" s="914">
        <f ca="1">IFERROR(
    SUMIFS(
        Хронология[Часы],
        Хронология[Результат], "НПВ: нет в ГГД",
        Хронология[Начало], "&gt;=" &amp; Планирование[[#This Row],[Начало (факт)]],
        Хронология[Окончание], "&lt;=" &amp; Планирование[[#This Row],[Конец (факт, прогноз)]]
    ),
    0
)</f>
        <v>0</v>
      </c>
      <c r="AG124" s="914">
        <f ca="1">IFERROR(
    SUMIFS(
        Хронология[Часы],
        Хронология[Результат], "НПВ: нет в ГГД",
        Хронология[Начало], "&gt;=" &amp; Планирование[[#This Row],[Конец (факт, прогноз)]],
        Хронология[Окончание], "&lt;=" &amp; Y85
    ),
    0
)</f>
        <v>0</v>
      </c>
      <c r="AH124" s="919">
        <f ca="1">ROUND(IF(Планирование[[#This Row],[Часы (факт)]]-Планирование[[#This Row],[НПВ за операцию, часы]]-Планирование[[#This Row],[Часы (план)]] &lt;0, 0, Планирование[[#This Row],[Часы (факт)]]-Планирование[[#This Row],[НПВ за операцию, часы]]-Планирование[[#This Row],[Часы (план)]]), 2)</f>
        <v>0</v>
      </c>
      <c r="AI124" s="918" t="s">
        <v>1060</v>
      </c>
      <c r="AJ124" s="924">
        <f ca="1">Планирование[[#This Row],[Конец (план)]]-Планирование[[#This Row],[Конец (факт, прогноз)]]</f>
        <v>5.5804166666639503</v>
      </c>
    </row>
    <row r="125" spans="1:36" s="915" customFormat="1" ht="30" customHeight="1">
      <c r="A125" s="909" t="s">
        <v>1140</v>
      </c>
      <c r="B125" s="910" t="s">
        <v>266</v>
      </c>
      <c r="C125" s="911"/>
      <c r="D125" s="911" t="s">
        <v>263</v>
      </c>
      <c r="E125" s="911" t="s">
        <v>58</v>
      </c>
      <c r="F125" s="911"/>
      <c r="G125" s="911" t="s">
        <v>98</v>
      </c>
      <c r="H125" s="911" t="s">
        <v>1141</v>
      </c>
      <c r="I125" s="911" t="s">
        <v>99</v>
      </c>
      <c r="J125" s="911" t="s">
        <v>1136</v>
      </c>
      <c r="K125" s="911"/>
      <c r="L125" s="911" t="str">
        <f>IF(Планирование[[#This Row],[Контекст простоя]]="Штатно", Планирование[[#This Row],[Скважина]] &amp; " " &amp; "ОК–" &amp;Планирование[[#This Row],[ОК]] &amp; " "  &amp; Планирование[[#This Row],[Этап]] &amp; " " &amp; Планирование[[#This Row],[Вид работ]] &amp; " " &amp; Планирование[[#This Row],[Объект работ]] &amp; " " &amp; Планирование[[#This Row],[Рейс]], Планирование[[#This Row],[Скважина]] &amp; " " &amp; "ОК–" &amp;Планирование[[#This Row],[ОК]] &amp; " " &amp; Планирование[[#This Row],[Этап]] &amp; " " &amp; Планирование[[#This Row],[Контекст простоя]] &amp; " " &amp; Планирование[[#This Row],[Событие]] &amp; " " &amp; Планирование[[#This Row],[Вид работ]] &amp; " " &amp; Планирование[[#This Row],[Объект работ]] &amp; " " &amp; Планирование[[#This Row],[Рейс]])</f>
        <v xml:space="preserve">600 ОК– ЗБС Привязка Клин-отклонитель </v>
      </c>
      <c r="M125" s="912">
        <f ca="1">IF(Планирование[[#This Row],[Скважина]]&lt;&gt;B124,Планирование[[#This Row],[Начало (факт)]],N124)</f>
        <v>46180.615416666595</v>
      </c>
      <c r="N125" s="913">
        <f ca="1">Планирование[[#This Row],[Начало (цель)]]+Планирование[[#This Row],[Сутки (цель)]]</f>
        <v>46181.157083333259</v>
      </c>
      <c r="O125" s="914">
        <v>13</v>
      </c>
      <c r="Q125" s="916">
        <f>Планирование[[#This Row],[Часы (цель)]]/24</f>
        <v>0.54166666666666663</v>
      </c>
      <c r="R125" s="916">
        <f>R124+Планирование[[#This Row],[Сутки (цель)]]</f>
        <v>6.2995833333333344</v>
      </c>
      <c r="S125" s="917">
        <f ca="1">Планирование[[#This Row],[Начало (цель)]]</f>
        <v>46180.615416666595</v>
      </c>
      <c r="T125" s="913">
        <f ca="1">Планирование[[#This Row],[Начало (план)]]+Планирование[[#This Row],[Сутки (план)]]</f>
        <v>46181.157083333259</v>
      </c>
      <c r="U125" s="914">
        <f>Планирование[[#This Row],[Часы (цель)]]</f>
        <v>13</v>
      </c>
      <c r="V125" s="918">
        <f>Планирование[[#This Row],[Забой, м (цель)]]</f>
        <v>0</v>
      </c>
      <c r="W125" s="916">
        <f>Планирование[[#This Row],[Часы (план)]]/24</f>
        <v>0.54166666666666663</v>
      </c>
      <c r="X125" s="919">
        <f>X124+Планирование[[#This Row],[Сутки (план)]]</f>
        <v>6.2995833333333344</v>
      </c>
      <c r="Y125" s="912">
        <f t="array" aca="1" ref="Y125" ca="1">IFERROR(
    INDEX(Хронология[Начало], MATCH(1, (Хронология[Ключ]=Планирование[[#This Row],[Ключ]]) * (Хронология[Подытог за операцию]=MIN(IF(Хронология[Ключ]=Планирование[[#This Row],[Ключ]], Хронология[Подытог за операцию]))), 0)),
    Z83
)</f>
        <v>46174.857499999933</v>
      </c>
      <c r="Z125" s="920">
        <f t="array" aca="1" ref="Z125" ca="1">MAX(IFERROR(
    INDEX(Хронология[Окончание], MATCH(1, (Хронология[Ключ]=Планирование[[#This Row],[Ключ]]) * (Хронология[Подытог за операцию]=MAX(IF(Хронология[Ключ]=Планирование[[#This Row],[Ключ]], Хронология[Подытог за операцию]))), 0)),
    Y84+AC84
), Планирование[[#This Row],[Начало (факт)]]+Планирование[[#This Row],[Сутки (факт)]])</f>
        <v>46175.399166666597</v>
      </c>
      <c r="AA125" s="921">
        <f ca="1">IF(AND(Планирование[[#This Row],[Начало (факт)]]=Y126,Планирование[[#This Row],[Забой, м (факт)]]=AE126),0,Планирование[[#This Row],[Конец (факт, прогноз)]]-Планирование[[#This Row],[Начало (факт)]])</f>
        <v>0</v>
      </c>
      <c r="AB125" s="921">
        <f ca="1">Планирование[[#This Row],[Часы (факт)]]-Планирование[[#This Row],[НПВ за операцию, часы]]-Планирование[[#This Row],[ПНВ, часы]]</f>
        <v>0</v>
      </c>
      <c r="AC125" s="922">
        <f t="array" aca="1" ref="AC125" ca="1">IFERROR(
  IF(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окончены",
    MAX(IF(Хронология[Ключ]=Планирование[[#This Row],[Ключ]], Хронология[Подытог за операцию])),
    IF(
      Планирование[[#This Row],[Событие]]="Мех. бурение",
      (MAX(Хронология[Окончание]) - Планирование[[#This Row],[Начало (факт)]]) +
      (Планирование[[#This Row],[Забой, м (план)]] - Планирование[[#This Row],[Забой, м (факт)]]) /
      ((Планирование[[#This Row],[Забой, м (план)]] - V83)/Планирование[[#This Row],[Сутки (план)]]),
      IF(
        AND(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продолжаются",
          Планирование[[#This Row],[Начало (факт)]]&gt;0
        ),
        (TODAY()-Планирование[[#This Row],[Начало (факт)]]),
        IF(
          AND(Планирование[[#This Row],[Начало (факт)]]=0,
            Планирование[[#This Row],[Начало (план)]] &gt; MAX(Хронология[Начало])),
          Планирование[[#This Row],[Сутки (план)]],
          IF(
            AND((TODAY()-Планирование[[#This Row],[Начало (план)]])&gt;1,
              ISERR(MATCH(Планирование[[#This Row],[Ключ]], Хронология[Ключ], 0))),
            0,
            Планирование[[#This Row],[Сутки (план)]]
          )
        )
      )
    )
  ),
  Планирование[[#This Row],[Сутки (план)]]
)</f>
        <v>0.54166666666666663</v>
      </c>
      <c r="AD125" s="922">
        <f ca="1">Планирование[[#This Row],[Сутки (факт)]]</f>
        <v>0.54166666666666663</v>
      </c>
      <c r="AE125" s="923">
        <f t="array" ref="AE125">MAX(IF(Хронология[Ключ]=Планирование[[#This Row],[Ключ]], Хронология[Забой, м]))</f>
        <v>0</v>
      </c>
      <c r="AF125" s="914">
        <f ca="1">IFERROR(
    SUMIFS(
        Хронология[Часы],
        Хронология[Результат], "НПВ: нет в ГГД",
        Хронология[Начало], "&gt;=" &amp; Планирование[[#This Row],[Начало (факт)]],
        Хронология[Окончание], "&lt;=" &amp; Планирование[[#This Row],[Конец (факт, прогноз)]]
    ),
    0
)</f>
        <v>0</v>
      </c>
      <c r="AG125" s="914">
        <f ca="1">IFERROR(
    SUMIFS(
        Хронология[Часы],
        Хронология[Результат], "НПВ: нет в ГГД",
        Хронология[Начало], "&gt;=" &amp; Планирование[[#This Row],[Конец (факт, прогноз)]],
        Хронология[Окончание], "&lt;=" &amp; Y85
    ),
    0
)</f>
        <v>0</v>
      </c>
      <c r="AH125" s="919">
        <f ca="1">ROUND(IF(Планирование[[#This Row],[Часы (факт)]]-Планирование[[#This Row],[НПВ за операцию, часы]]-Планирование[[#This Row],[Часы (план)]] &lt;0, 0, Планирование[[#This Row],[Часы (факт)]]-Планирование[[#This Row],[НПВ за операцию, часы]]-Планирование[[#This Row],[Часы (план)]]), 2)</f>
        <v>0</v>
      </c>
      <c r="AI125" s="918" t="s">
        <v>1060</v>
      </c>
      <c r="AJ125" s="924">
        <f ca="1">Планирование[[#This Row],[Конец (план)]]-Планирование[[#This Row],[Конец (факт, прогноз)]]</f>
        <v>5.757916666661913</v>
      </c>
    </row>
    <row r="126" spans="1:36" s="915" customFormat="1" ht="30" customHeight="1">
      <c r="A126" s="909" t="s">
        <v>1142</v>
      </c>
      <c r="B126" s="910" t="s">
        <v>266</v>
      </c>
      <c r="C126" s="911"/>
      <c r="D126" s="911" t="s">
        <v>263</v>
      </c>
      <c r="E126" s="911" t="s">
        <v>58</v>
      </c>
      <c r="F126" s="911"/>
      <c r="G126" s="911" t="s">
        <v>98</v>
      </c>
      <c r="H126" s="911" t="s">
        <v>1143</v>
      </c>
      <c r="I126" s="911" t="s">
        <v>99</v>
      </c>
      <c r="J126" s="911" t="s">
        <v>1136</v>
      </c>
      <c r="K126" s="911"/>
      <c r="L126" s="911" t="str">
        <f>IF(Планирование[[#This Row],[Контекст простоя]]="Штатно", Планирование[[#This Row],[Скважина]] &amp; " " &amp; "ОК–" &amp;Планирование[[#This Row],[ОК]] &amp; " "  &amp; Планирование[[#This Row],[Этап]] &amp; " " &amp; Планирование[[#This Row],[Вид работ]] &amp; " " &amp; Планирование[[#This Row],[Объект работ]] &amp; " " &amp; Планирование[[#This Row],[Рейс]], Планирование[[#This Row],[Скважина]] &amp; " " &amp; "ОК–" &amp;Планирование[[#This Row],[ОК]] &amp; " " &amp; Планирование[[#This Row],[Этап]] &amp; " " &amp; Планирование[[#This Row],[Контекст простоя]] &amp; " " &amp; Планирование[[#This Row],[Событие]] &amp; " " &amp; Планирование[[#This Row],[Вид работ]] &amp; " " &amp; Планирование[[#This Row],[Объект работ]] &amp; " " &amp; Планирование[[#This Row],[Рейс]])</f>
        <v xml:space="preserve">600 ОК– ЗБС Ориентирование Клин-отклонитель </v>
      </c>
      <c r="M126" s="912">
        <f ca="1">IF(Планирование[[#This Row],[Скважина]]&lt;&gt;B125,Планирование[[#This Row],[Начало (факт)]],N125)</f>
        <v>46181.157083333259</v>
      </c>
      <c r="N126" s="913">
        <f ca="1">Планирование[[#This Row],[Начало (цель)]]+Планирование[[#This Row],[Сутки (цель)]]</f>
        <v>46181.698749999923</v>
      </c>
      <c r="O126" s="914">
        <v>13</v>
      </c>
      <c r="Q126" s="916">
        <f>Планирование[[#This Row],[Часы (цель)]]/24</f>
        <v>0.54166666666666663</v>
      </c>
      <c r="R126" s="916">
        <f>R125+Планирование[[#This Row],[Сутки (цель)]]</f>
        <v>6.8412500000000014</v>
      </c>
      <c r="S126" s="917">
        <f ca="1">Планирование[[#This Row],[Начало (цель)]]</f>
        <v>46181.157083333259</v>
      </c>
      <c r="T126" s="913">
        <f ca="1">Планирование[[#This Row],[Начало (план)]]+Планирование[[#This Row],[Сутки (план)]]</f>
        <v>46181.698749999923</v>
      </c>
      <c r="U126" s="914">
        <f>Планирование[[#This Row],[Часы (цель)]]</f>
        <v>13</v>
      </c>
      <c r="V126" s="918">
        <f>Планирование[[#This Row],[Забой, м (цель)]]</f>
        <v>0</v>
      </c>
      <c r="W126" s="916">
        <f>Планирование[[#This Row],[Часы (план)]]/24</f>
        <v>0.54166666666666663</v>
      </c>
      <c r="X126" s="919">
        <f>X125+Планирование[[#This Row],[Сутки (план)]]</f>
        <v>6.8412500000000014</v>
      </c>
      <c r="Y126" s="912">
        <f t="array" aca="1" ref="Y126" ca="1">IFERROR(
    INDEX(Хронология[Начало], MATCH(1, (Хронология[Ключ]=Планирование[[#This Row],[Ключ]]) * (Хронология[Подытог за операцию]=MIN(IF(Хронология[Ключ]=Планирование[[#This Row],[Ключ]], Хронология[Подытог за операцию]))), 0)),
    Z83
)</f>
        <v>46174.857499999933</v>
      </c>
      <c r="Z126" s="920">
        <f t="array" aca="1" ref="Z126" ca="1">MAX(IFERROR(
    INDEX(Хронология[Окончание], MATCH(1, (Хронология[Ключ]=Планирование[[#This Row],[Ключ]]) * (Хронология[Подытог за операцию]=MAX(IF(Хронология[Ключ]=Планирование[[#This Row],[Ключ]], Хронология[Подытог за операцию]))), 0)),
    Y84+AC84
), Планирование[[#This Row],[Начало (факт)]]+Планирование[[#This Row],[Сутки (факт)]])</f>
        <v>46175.399166666597</v>
      </c>
      <c r="AA126" s="921">
        <f ca="1">IF(AND(Планирование[[#This Row],[Начало (факт)]]=Y127,Планирование[[#This Row],[Забой, м (факт)]]=AE127),0,Планирование[[#This Row],[Конец (факт, прогноз)]]-Планирование[[#This Row],[Начало (факт)]])</f>
        <v>0</v>
      </c>
      <c r="AB126" s="921">
        <f ca="1">Планирование[[#This Row],[Часы (факт)]]-Планирование[[#This Row],[НПВ за операцию, часы]]-Планирование[[#This Row],[ПНВ, часы]]</f>
        <v>0</v>
      </c>
      <c r="AC126" s="922">
        <f t="array" aca="1" ref="AC126" ca="1">IFERROR(
  IF(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окончены",
    MAX(IF(Хронология[Ключ]=Планирование[[#This Row],[Ключ]], Хронология[Подытог за операцию])),
    IF(
      Планирование[[#This Row],[Событие]]="Мех. бурение",
      (MAX(Хронология[Окончание]) - Планирование[[#This Row],[Начало (факт)]]) +
      (Планирование[[#This Row],[Забой, м (план)]] - Планирование[[#This Row],[Забой, м (факт)]]) /
      ((Планирование[[#This Row],[Забой, м (план)]] - V83)/Планирование[[#This Row],[Сутки (план)]]),
      IF(
        AND(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продолжаются",
          Планирование[[#This Row],[Начало (факт)]]&gt;0
        ),
        (TODAY()-Планирование[[#This Row],[Начало (факт)]]),
        IF(
          AND(Планирование[[#This Row],[Начало (факт)]]=0,
            Планирование[[#This Row],[Начало (план)]] &gt; MAX(Хронология[Начало])),
          Планирование[[#This Row],[Сутки (план)]],
          IF(
            AND((TODAY()-Планирование[[#This Row],[Начало (план)]])&gt;1,
              ISERR(MATCH(Планирование[[#This Row],[Ключ]], Хронология[Ключ], 0))),
            0,
            Планирование[[#This Row],[Сутки (план)]]
          )
        )
      )
    )
  ),
  Планирование[[#This Row],[Сутки (план)]]
)</f>
        <v>0.54166666666666663</v>
      </c>
      <c r="AD126" s="922">
        <f ca="1">Планирование[[#This Row],[Сутки (факт)]]</f>
        <v>0.54166666666666663</v>
      </c>
      <c r="AE126" s="923">
        <f t="array" ref="AE126">MAX(IF(Хронология[Ключ]=Планирование[[#This Row],[Ключ]], Хронология[Забой, м]))</f>
        <v>0</v>
      </c>
      <c r="AF126" s="914">
        <f ca="1">IFERROR(
    SUMIFS(
        Хронология[Часы],
        Хронология[Результат], "НПВ: нет в ГГД",
        Хронология[Начало], "&gt;=" &amp; Планирование[[#This Row],[Начало (факт)]],
        Хронология[Окончание], "&lt;=" &amp; Планирование[[#This Row],[Конец (факт, прогноз)]]
    ),
    0
)</f>
        <v>0</v>
      </c>
      <c r="AG126" s="914">
        <f ca="1">IFERROR(
    SUMIFS(
        Хронология[Часы],
        Хронология[Результат], "НПВ: нет в ГГД",
        Хронология[Начало], "&gt;=" &amp; Планирование[[#This Row],[Конец (факт, прогноз)]],
        Хронология[Окончание], "&lt;=" &amp; Y85
    ),
    0
)</f>
        <v>0</v>
      </c>
      <c r="AH126" s="919">
        <f ca="1">ROUND(IF(Планирование[[#This Row],[Часы (факт)]]-Планирование[[#This Row],[НПВ за операцию, часы]]-Планирование[[#This Row],[Часы (план)]] &lt;0, 0, Планирование[[#This Row],[Часы (факт)]]-Планирование[[#This Row],[НПВ за операцию, часы]]-Планирование[[#This Row],[Часы (план)]]), 2)</f>
        <v>0</v>
      </c>
      <c r="AI126" s="918" t="s">
        <v>1060</v>
      </c>
      <c r="AJ126" s="924">
        <f ca="1">Планирование[[#This Row],[Конец (план)]]-Планирование[[#This Row],[Конец (факт, прогноз)]]</f>
        <v>6.2995833333261544</v>
      </c>
    </row>
    <row r="127" spans="1:36" s="915" customFormat="1" ht="30" customHeight="1">
      <c r="A127" s="909" t="s">
        <v>1144</v>
      </c>
      <c r="B127" s="910" t="s">
        <v>266</v>
      </c>
      <c r="C127" s="911"/>
      <c r="D127" s="911" t="s">
        <v>263</v>
      </c>
      <c r="E127" s="911" t="s">
        <v>58</v>
      </c>
      <c r="F127" s="911"/>
      <c r="G127" s="911" t="s">
        <v>169</v>
      </c>
      <c r="H127" s="911" t="s">
        <v>188</v>
      </c>
      <c r="I127" s="911" t="s">
        <v>137</v>
      </c>
      <c r="J127" s="911" t="s">
        <v>1136</v>
      </c>
      <c r="K127" s="911"/>
      <c r="L127" s="911" t="str">
        <f>IF(Планирование[[#This Row],[Контекст простоя]]="Штатно", Планирование[[#This Row],[Скважина]] &amp; " " &amp; "ОК–" &amp;Планирование[[#This Row],[ОК]] &amp; " "  &amp; Планирование[[#This Row],[Этап]] &amp; " " &amp; Планирование[[#This Row],[Вид работ]] &amp; " " &amp; Планирование[[#This Row],[Объект работ]] &amp; " " &amp; Планирование[[#This Row],[Рейс]], Планирование[[#This Row],[Скважина]] &amp; " " &amp; "ОК–" &amp;Планирование[[#This Row],[ОК]] &amp; " " &amp; Планирование[[#This Row],[Этап]] &amp; " " &amp; Планирование[[#This Row],[Контекст простоя]] &amp; " " &amp; Планирование[[#This Row],[Событие]] &amp; " " &amp; Планирование[[#This Row],[Вид работ]] &amp; " " &amp; Планирование[[#This Row],[Объект работ]] &amp; " " &amp; Планирование[[#This Row],[Рейс]])</f>
        <v xml:space="preserve">600 ОК– ЗБС Промывка Клин-отклонитель </v>
      </c>
      <c r="M127" s="912">
        <f ca="1">IF(Планирование[[#This Row],[Скважина]]&lt;&gt;B126,Планирование[[#This Row],[Начало (факт)]],N126)</f>
        <v>46181.698749999923</v>
      </c>
      <c r="N127" s="913">
        <f ca="1">Планирование[[#This Row],[Начало (цель)]]+Планирование[[#This Row],[Сутки (цель)]]</f>
        <v>46181.755833333256</v>
      </c>
      <c r="O127" s="914">
        <v>1.37</v>
      </c>
      <c r="Q127" s="916">
        <f>Планирование[[#This Row],[Часы (цель)]]/24</f>
        <v>5.708333333333334E-2</v>
      </c>
      <c r="R127" s="916">
        <f>R126+Планирование[[#This Row],[Сутки (цель)]]</f>
        <v>6.8983333333333343</v>
      </c>
      <c r="S127" s="917">
        <f ca="1">Планирование[[#This Row],[Начало (цель)]]</f>
        <v>46181.698749999923</v>
      </c>
      <c r="T127" s="913">
        <f ca="1">Планирование[[#This Row],[Начало (план)]]+Планирование[[#This Row],[Сутки (план)]]</f>
        <v>46181.755833333256</v>
      </c>
      <c r="U127" s="914">
        <f>Планирование[[#This Row],[Часы (цель)]]</f>
        <v>1.37</v>
      </c>
      <c r="V127" s="918">
        <f>Планирование[[#This Row],[Забой, м (цель)]]</f>
        <v>0</v>
      </c>
      <c r="W127" s="916">
        <f>Планирование[[#This Row],[Часы (план)]]/24</f>
        <v>5.708333333333334E-2</v>
      </c>
      <c r="X127" s="919">
        <f>X126+Планирование[[#This Row],[Сутки (план)]]</f>
        <v>6.8983333333333343</v>
      </c>
      <c r="Y127" s="912">
        <f t="array" aca="1" ref="Y127" ca="1">IFERROR(
    INDEX(Хронология[Начало], MATCH(1, (Хронология[Ключ]=Планирование[[#This Row],[Ключ]]) * (Хронология[Подытог за операцию]=MIN(IF(Хронология[Ключ]=Планирование[[#This Row],[Ключ]], Хронология[Подытог за операцию]))), 0)),
    Z83
)</f>
        <v>46174.857499999933</v>
      </c>
      <c r="Z127" s="920">
        <f t="array" aca="1" ref="Z127" ca="1">MAX(IFERROR(
    INDEX(Хронология[Окончание], MATCH(1, (Хронология[Ключ]=Планирование[[#This Row],[Ключ]]) * (Хронология[Подытог за операцию]=MAX(IF(Хронология[Ключ]=Планирование[[#This Row],[Ключ]], Хронология[Подытог за операцию]))), 0)),
    Y84+AC84
), Планирование[[#This Row],[Начало (факт)]]+Планирование[[#This Row],[Сутки (факт)]])</f>
        <v>46175.034999999931</v>
      </c>
      <c r="AA127" s="921">
        <f ca="1">IF(AND(Планирование[[#This Row],[Начало (факт)]]=Y128,Планирование[[#This Row],[Забой, м (факт)]]=AE128),0,Планирование[[#This Row],[Конец (факт, прогноз)]]-Планирование[[#This Row],[Начало (факт)]])</f>
        <v>0</v>
      </c>
      <c r="AB127" s="921">
        <f ca="1">Планирование[[#This Row],[Часы (факт)]]-Планирование[[#This Row],[НПВ за операцию, часы]]-Планирование[[#This Row],[ПНВ, часы]]</f>
        <v>0</v>
      </c>
      <c r="AC127" s="922">
        <f t="array" aca="1" ref="AC127" ca="1">IFERROR(
  IF(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окончены",
    MAX(IF(Хронология[Ключ]=Планирование[[#This Row],[Ключ]], Хронология[Подытог за операцию])),
    IF(
      Планирование[[#This Row],[Событие]]="Мех. бурение",
      (MAX(Хронология[Окончание]) - Планирование[[#This Row],[Начало (факт)]]) +
      (Планирование[[#This Row],[Забой, м (план)]] - Планирование[[#This Row],[Забой, м (факт)]]) /
      ((Планирование[[#This Row],[Забой, м (план)]] - V83)/Планирование[[#This Row],[Сутки (план)]]),
      IF(
        AND(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продолжаются",
          Планирование[[#This Row],[Начало (факт)]]&gt;0
        ),
        (TODAY()-Планирование[[#This Row],[Начало (факт)]]),
        IF(
          AND(Планирование[[#This Row],[Начало (факт)]]=0,
            Планирование[[#This Row],[Начало (план)]] &gt; MAX(Хронология[Начало])),
          Планирование[[#This Row],[Сутки (план)]],
          IF(
            AND((TODAY()-Планирование[[#This Row],[Начало (план)]])&gt;1,
              ISERR(MATCH(Планирование[[#This Row],[Ключ]], Хронология[Ключ], 0))),
            0,
            Планирование[[#This Row],[Сутки (план)]]
          )
        )
      )
    )
  ),
  Планирование[[#This Row],[Сутки (план)]]
)</f>
        <v>5.708333333333334E-2</v>
      </c>
      <c r="AD127" s="922">
        <f ca="1">Планирование[[#This Row],[Сутки (факт)]]</f>
        <v>5.708333333333334E-2</v>
      </c>
      <c r="AE127" s="923">
        <f t="array" ref="AE127">MAX(IF(Хронология[Ключ]=Планирование[[#This Row],[Ключ]], Хронология[Забой, м]))</f>
        <v>0</v>
      </c>
      <c r="AF127" s="914">
        <f ca="1">IFERROR(
    SUMIFS(
        Хронология[Часы],
        Хронология[Результат], "НПВ: нет в ГГД",
        Хронология[Начало], "&gt;=" &amp; Планирование[[#This Row],[Начало (факт)]],
        Хронология[Окончание], "&lt;=" &amp; Планирование[[#This Row],[Конец (факт, прогноз)]]
    ),
    0
)</f>
        <v>0</v>
      </c>
      <c r="AG127" s="914">
        <f ca="1">IFERROR(
    SUMIFS(
        Хронология[Часы],
        Хронология[Результат], "НПВ: нет в ГГД",
        Хронология[Начало], "&gt;=" &amp; Планирование[[#This Row],[Конец (факт, прогноз)]],
        Хронология[Окончание], "&lt;=" &amp; Y85
    ),
    0
)</f>
        <v>0</v>
      </c>
      <c r="AH127" s="919">
        <f ca="1">ROUND(IF(Планирование[[#This Row],[Часы (факт)]]-Планирование[[#This Row],[НПВ за операцию, часы]]-Планирование[[#This Row],[Часы (план)]] &lt;0, 0, Планирование[[#This Row],[Часы (факт)]]-Планирование[[#This Row],[НПВ за операцию, часы]]-Планирование[[#This Row],[Часы (план)]]), 2)</f>
        <v>0</v>
      </c>
      <c r="AI127" s="918" t="s">
        <v>1060</v>
      </c>
      <c r="AJ127" s="924">
        <f ca="1">Планирование[[#This Row],[Конец (план)]]-Планирование[[#This Row],[Конец (факт, прогноз)]]</f>
        <v>6.7208333333255723</v>
      </c>
    </row>
    <row r="128" spans="1:36" s="915" customFormat="1" ht="30" customHeight="1">
      <c r="A128" s="909" t="s">
        <v>1145</v>
      </c>
      <c r="B128" s="910" t="s">
        <v>266</v>
      </c>
      <c r="C128" s="911"/>
      <c r="D128" s="911" t="s">
        <v>263</v>
      </c>
      <c r="E128" s="911" t="s">
        <v>58</v>
      </c>
      <c r="F128" s="911"/>
      <c r="G128" s="911" t="s">
        <v>95</v>
      </c>
      <c r="H128" s="911" t="s">
        <v>1146</v>
      </c>
      <c r="I128" s="911" t="s">
        <v>1131</v>
      </c>
      <c r="J128" s="911" t="s">
        <v>1136</v>
      </c>
      <c r="K128" s="911"/>
      <c r="L128" s="911" t="str">
        <f>IF(Планирование[[#This Row],[Контекст простоя]]="Штатно", Планирование[[#This Row],[Скважина]] &amp; " " &amp; "ОК–" &amp;Планирование[[#This Row],[ОК]] &amp; " "  &amp; Планирование[[#This Row],[Этап]] &amp; " " &amp; Планирование[[#This Row],[Вид работ]] &amp; " " &amp; Планирование[[#This Row],[Объект работ]] &amp; " " &amp; Планирование[[#This Row],[Рейс]], Планирование[[#This Row],[Скважина]] &amp; " " &amp; "ОК–" &amp;Планирование[[#This Row],[ОК]] &amp; " " &amp; Планирование[[#This Row],[Этап]] &amp; " " &amp; Планирование[[#This Row],[Контекст простоя]] &amp; " " &amp; Планирование[[#This Row],[Событие]] &amp; " " &amp; Планирование[[#This Row],[Вид работ]] &amp; " " &amp; Планирование[[#This Row],[Объект работ]] &amp; " " &amp; Планирование[[#This Row],[Рейс]])</f>
        <v xml:space="preserve">600 ОК– ЗБС Активация Клин-отклонитель </v>
      </c>
      <c r="M128" s="912">
        <f ca="1">IF(Планирование[[#This Row],[Скважина]]&lt;&gt;B127,Планирование[[#This Row],[Начало (факт)]],N127)</f>
        <v>46181.755833333256</v>
      </c>
      <c r="N128" s="913">
        <f ca="1">Планирование[[#This Row],[Начало (цель)]]+Планирование[[#This Row],[Сутки (цель)]]</f>
        <v>46181.922499999921</v>
      </c>
      <c r="O128" s="914">
        <v>4</v>
      </c>
      <c r="Q128" s="916">
        <f>Планирование[[#This Row],[Часы (цель)]]/24</f>
        <v>0.16666666666666666</v>
      </c>
      <c r="R128" s="916">
        <f>R127+Планирование[[#This Row],[Сутки (цель)]]</f>
        <v>7.0650000000000013</v>
      </c>
      <c r="S128" s="917">
        <f ca="1">Планирование[[#This Row],[Начало (цель)]]</f>
        <v>46181.755833333256</v>
      </c>
      <c r="T128" s="913">
        <f ca="1">Планирование[[#This Row],[Начало (план)]]+Планирование[[#This Row],[Сутки (план)]]</f>
        <v>46181.922499999921</v>
      </c>
      <c r="U128" s="914">
        <f>Планирование[[#This Row],[Часы (цель)]]</f>
        <v>4</v>
      </c>
      <c r="V128" s="918">
        <f>Планирование[[#This Row],[Забой, м (цель)]]</f>
        <v>0</v>
      </c>
      <c r="W128" s="916">
        <f>Планирование[[#This Row],[Часы (план)]]/24</f>
        <v>0.16666666666666666</v>
      </c>
      <c r="X128" s="919">
        <f>X127+Планирование[[#This Row],[Сутки (план)]]</f>
        <v>7.0650000000000013</v>
      </c>
      <c r="Y128" s="912">
        <f t="array" aca="1" ref="Y128" ca="1">IFERROR(
    INDEX(Хронология[Начало], MATCH(1, (Хронология[Ключ]=Планирование[[#This Row],[Ключ]]) * (Хронология[Подытог за операцию]=MIN(IF(Хронология[Ключ]=Планирование[[#This Row],[Ключ]], Хронология[Подытог за операцию]))), 0)),
    Z83
)</f>
        <v>46174.857499999933</v>
      </c>
      <c r="Z128" s="920">
        <f t="array" aca="1" ref="Z128" ca="1">MAX(IFERROR(
    INDEX(Хронология[Окончание], MATCH(1, (Хронология[Ключ]=Планирование[[#This Row],[Ключ]]) * (Хронология[Подытог за операцию]=MAX(IF(Хронология[Ключ]=Планирование[[#This Row],[Ключ]], Хронология[Подытог за операцию]))), 0)),
    Y84+AC84
), Планирование[[#This Row],[Начало (факт)]]+Планирование[[#This Row],[Сутки (факт)]])</f>
        <v>46175.034999999931</v>
      </c>
      <c r="AA128" s="921">
        <f ca="1">IF(AND(Планирование[[#This Row],[Начало (факт)]]=Y129,Планирование[[#This Row],[Забой, м (факт)]]=AE129),0,Планирование[[#This Row],[Конец (факт, прогноз)]]-Планирование[[#This Row],[Начало (факт)]])</f>
        <v>0</v>
      </c>
      <c r="AB128" s="921">
        <f ca="1">Планирование[[#This Row],[Часы (факт)]]-Планирование[[#This Row],[НПВ за операцию, часы]]-Планирование[[#This Row],[ПНВ, часы]]</f>
        <v>0</v>
      </c>
      <c r="AC128" s="922">
        <f t="array" aca="1" ref="AC128" ca="1">IFERROR(
  IF(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окончены",
    MAX(IF(Хронология[Ключ]=Планирование[[#This Row],[Ключ]], Хронология[Подытог за операцию])),
    IF(
      Планирование[[#This Row],[Событие]]="Мех. бурение",
      (MAX(Хронология[Окончание]) - Планирование[[#This Row],[Начало (факт)]]) +
      (Планирование[[#This Row],[Забой, м (план)]] - Планирование[[#This Row],[Забой, м (факт)]]) /
      ((Планирование[[#This Row],[Забой, м (план)]] - V83)/Планирование[[#This Row],[Сутки (план)]]),
      IF(
        AND(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продолжаются",
          Планирование[[#This Row],[Начало (факт)]]&gt;0
        ),
        (TODAY()-Планирование[[#This Row],[Начало (факт)]]),
        IF(
          AND(Планирование[[#This Row],[Начало (факт)]]=0,
            Планирование[[#This Row],[Начало (план)]] &gt; MAX(Хронология[Начало])),
          Планирование[[#This Row],[Сутки (план)]],
          IF(
            AND((TODAY()-Планирование[[#This Row],[Начало (план)]])&gt;1,
              ISERR(MATCH(Планирование[[#This Row],[Ключ]], Хронология[Ключ], 0))),
            0,
            Планирование[[#This Row],[Сутки (план)]]
          )
        )
      )
    )
  ),
  Планирование[[#This Row],[Сутки (план)]]
)</f>
        <v>0.16666666666666666</v>
      </c>
      <c r="AD128" s="922">
        <f ca="1">Планирование[[#This Row],[Сутки (факт)]]</f>
        <v>0.16666666666666666</v>
      </c>
      <c r="AE128" s="923">
        <f t="array" ref="AE128">MAX(IF(Хронология[Ключ]=Планирование[[#This Row],[Ключ]], Хронология[Забой, м]))</f>
        <v>0</v>
      </c>
      <c r="AF128" s="914">
        <f ca="1">IFERROR(
    SUMIFS(
        Хронология[Часы],
        Хронология[Результат], "НПВ: нет в ГГД",
        Хронология[Начало], "&gt;=" &amp; Планирование[[#This Row],[Начало (факт)]],
        Хронология[Окончание], "&lt;=" &amp; Планирование[[#This Row],[Конец (факт, прогноз)]]
    ),
    0
)</f>
        <v>0</v>
      </c>
      <c r="AG128" s="914">
        <f ca="1">IFERROR(
    SUMIFS(
        Хронология[Часы],
        Хронология[Результат], "НПВ: нет в ГГД",
        Хронология[Начало], "&gt;=" &amp; Планирование[[#This Row],[Конец (факт, прогноз)]],
        Хронология[Окончание], "&lt;=" &amp; Y85
    ),
    0
)</f>
        <v>0</v>
      </c>
      <c r="AH128" s="919">
        <f ca="1">ROUND(IF(Планирование[[#This Row],[Часы (факт)]]-Планирование[[#This Row],[НПВ за операцию, часы]]-Планирование[[#This Row],[Часы (план)]] &lt;0, 0, Планирование[[#This Row],[Часы (факт)]]-Планирование[[#This Row],[НПВ за операцию, часы]]-Планирование[[#This Row],[Часы (план)]]), 2)</f>
        <v>0</v>
      </c>
      <c r="AI128" s="918" t="s">
        <v>1060</v>
      </c>
      <c r="AJ128" s="924">
        <f ca="1">Планирование[[#This Row],[Конец (план)]]-Планирование[[#This Row],[Конец (факт, прогноз)]]</f>
        <v>6.8874999999898137</v>
      </c>
    </row>
    <row r="129" spans="1:36" s="915" customFormat="1" ht="30" customHeight="1">
      <c r="A129" s="909" t="s">
        <v>1147</v>
      </c>
      <c r="B129" s="910" t="s">
        <v>266</v>
      </c>
      <c r="C129" s="911"/>
      <c r="D129" s="911" t="s">
        <v>263</v>
      </c>
      <c r="E129" s="911" t="s">
        <v>58</v>
      </c>
      <c r="F129" s="911"/>
      <c r="G129" s="911" t="s">
        <v>90</v>
      </c>
      <c r="H129" s="911" t="s">
        <v>91</v>
      </c>
      <c r="I129" s="911" t="s">
        <v>1124</v>
      </c>
      <c r="J129" s="911" t="s">
        <v>1148</v>
      </c>
      <c r="K129" s="911"/>
      <c r="L129" s="911" t="str">
        <f>IF(Планирование[[#This Row],[Контекст простоя]]="Штатно", Планирование[[#This Row],[Скважина]] &amp; " " &amp; "ОК–" &amp;Планирование[[#This Row],[ОК]] &amp; " "  &amp; Планирование[[#This Row],[Этап]] &amp; " " &amp; Планирование[[#This Row],[Вид работ]] &amp; " " &amp; Планирование[[#This Row],[Объект работ]] &amp; " " &amp; Планирование[[#This Row],[Рейс]], Планирование[[#This Row],[Скважина]] &amp; " " &amp; "ОК–" &amp;Планирование[[#This Row],[ОК]] &amp; " " &amp; Планирование[[#This Row],[Этап]] &amp; " " &amp; Планирование[[#This Row],[Контекст простоя]] &amp; " " &amp; Планирование[[#This Row],[Событие]] &amp; " " &amp; Планирование[[#This Row],[Вид работ]] &amp; " " &amp; Планирование[[#This Row],[Объект работ]] &amp; " " &amp; Планирование[[#This Row],[Рейс]])</f>
        <v xml:space="preserve">600 ОК– ЗБС Подъем ФКНБК </v>
      </c>
      <c r="M129" s="912">
        <f ca="1">IF(Планирование[[#This Row],[Скважина]]&lt;&gt;B128,Планирование[[#This Row],[Начало (факт)]],N128)</f>
        <v>46181.922499999921</v>
      </c>
      <c r="N129" s="913">
        <f ca="1">Планирование[[#This Row],[Начало (цель)]]+Планирование[[#This Row],[Сутки (цель)]]</f>
        <v>46181.922499999921</v>
      </c>
      <c r="O129" s="914">
        <v>0</v>
      </c>
      <c r="Q129" s="916">
        <f>Планирование[[#This Row],[Часы (цель)]]/24</f>
        <v>0</v>
      </c>
      <c r="R129" s="916">
        <f>R128+Планирование[[#This Row],[Сутки (цель)]]</f>
        <v>7.0650000000000013</v>
      </c>
      <c r="S129" s="917">
        <f ca="1">Планирование[[#This Row],[Начало (цель)]]</f>
        <v>46181.922499999921</v>
      </c>
      <c r="T129" s="913">
        <f ca="1">Планирование[[#This Row],[Начало (план)]]+Планирование[[#This Row],[Сутки (план)]]</f>
        <v>46181.922499999921</v>
      </c>
      <c r="U129" s="914">
        <f>Планирование[[#This Row],[Часы (цель)]]</f>
        <v>0</v>
      </c>
      <c r="V129" s="918">
        <f>Планирование[[#This Row],[Забой, м (цель)]]</f>
        <v>0</v>
      </c>
      <c r="W129" s="916">
        <f>Планирование[[#This Row],[Часы (план)]]/24</f>
        <v>0</v>
      </c>
      <c r="X129" s="919">
        <f>X128+Планирование[[#This Row],[Сутки (план)]]</f>
        <v>7.0650000000000013</v>
      </c>
      <c r="Y129" s="912">
        <f t="array" aca="1" ref="Y129" ca="1">IFERROR(
    INDEX(Хронология[Начало], MATCH(1, (Хронология[Ключ]=Планирование[[#This Row],[Ключ]]) * (Хронология[Подытог за операцию]=MIN(IF(Хронология[Ключ]=Планирование[[#This Row],[Ключ]], Хронология[Подытог за операцию]))), 0)),
    Z83
)</f>
        <v>46174.857499999933</v>
      </c>
      <c r="Z129" s="920">
        <f t="array" aca="1" ref="Z129" ca="1">MAX(IFERROR(
    INDEX(Хронология[Окончание], MATCH(1, (Хронология[Ключ]=Планирование[[#This Row],[Ключ]]) * (Хронология[Подытог за операцию]=MAX(IF(Хронология[Ключ]=Планирование[[#This Row],[Ключ]], Хронология[Подытог за операцию]))), 0)),
    Y84+AC84
), Планирование[[#This Row],[Начало (факт)]]+Планирование[[#This Row],[Сутки (факт)]])</f>
        <v>46175.034999999931</v>
      </c>
      <c r="AA129" s="921">
        <f ca="1">IF(AND(Планирование[[#This Row],[Начало (факт)]]=Y130,Планирование[[#This Row],[Забой, м (факт)]]=AE130),0,Планирование[[#This Row],[Конец (факт, прогноз)]]-Планирование[[#This Row],[Начало (факт)]])</f>
        <v>0</v>
      </c>
      <c r="AB129" s="921">
        <f ca="1">Планирование[[#This Row],[Часы (факт)]]-Планирование[[#This Row],[НПВ за операцию, часы]]-Планирование[[#This Row],[ПНВ, часы]]</f>
        <v>0</v>
      </c>
      <c r="AC129" s="922">
        <f t="array" aca="1" ref="AC129" ca="1">IFERROR(
  IF(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окончены",
    MAX(IF(Хронология[Ключ]=Планирование[[#This Row],[Ключ]], Хронология[Подытог за операцию])),
    IF(
      Планирование[[#This Row],[Событие]]="Мех. бурение",
      (MAX(Хронология[Окончание]) - Планирование[[#This Row],[Начало (факт)]]) +
      (Планирование[[#This Row],[Забой, м (план)]] - Планирование[[#This Row],[Забой, м (факт)]]) /
      ((Планирование[[#This Row],[Забой, м (план)]] - V83)/Планирование[[#This Row],[Сутки (план)]]),
      IF(
        AND(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продолжаются",
          Планирование[[#This Row],[Начало (факт)]]&gt;0
        ),
        (TODAY()-Планирование[[#This Row],[Начало (факт)]]),
        IF(
          AND(Планирование[[#This Row],[Начало (факт)]]=0,
            Планирование[[#This Row],[Начало (план)]] &gt; MAX(Хронология[Начало])),
          Планирование[[#This Row],[Сутки (план)]],
          IF(
            AND((TODAY()-Планирование[[#This Row],[Начало (план)]])&gt;1,
              ISERR(MATCH(Планирование[[#This Row],[Ключ]], Хронология[Ключ], 0))),
            0,
            Планирование[[#This Row],[Сутки (план)]]
          )
        )
      )
    )
  ),
  Планирование[[#This Row],[Сутки (план)]]
)</f>
        <v>0</v>
      </c>
      <c r="AD129" s="922">
        <f ca="1">Планирование[[#This Row],[Сутки (факт)]]</f>
        <v>0</v>
      </c>
      <c r="AE129" s="923">
        <f t="array" ref="AE129">MAX(IF(Хронология[Ключ]=Планирование[[#This Row],[Ключ]], Хронология[Забой, м]))</f>
        <v>0</v>
      </c>
      <c r="AF129" s="914">
        <f ca="1">IFERROR(
    SUMIFS(
        Хронология[Часы],
        Хронология[Результат], "НПВ: нет в ГГД",
        Хронология[Начало], "&gt;=" &amp; Планирование[[#This Row],[Начало (факт)]],
        Хронология[Окончание], "&lt;=" &amp; Планирование[[#This Row],[Конец (факт, прогноз)]]
    ),
    0
)</f>
        <v>0</v>
      </c>
      <c r="AG129" s="914">
        <f ca="1">IFERROR(
    SUMIFS(
        Хронология[Часы],
        Хронология[Результат], "НПВ: нет в ГГД",
        Хронология[Начало], "&gt;=" &amp; Планирование[[#This Row],[Конец (факт, прогноз)]],
        Хронология[Окончание], "&lt;=" &amp; Y85
    ),
    0
)</f>
        <v>0</v>
      </c>
      <c r="AH129" s="919">
        <f ca="1">ROUND(IF(Планирование[[#This Row],[Часы (факт)]]-Планирование[[#This Row],[НПВ за операцию, часы]]-Планирование[[#This Row],[Часы (план)]] &lt;0, 0, Планирование[[#This Row],[Часы (факт)]]-Планирование[[#This Row],[НПВ за операцию, часы]]-Планирование[[#This Row],[Часы (план)]]), 2)</f>
        <v>0</v>
      </c>
      <c r="AI129" s="918" t="s">
        <v>1060</v>
      </c>
      <c r="AJ129" s="924">
        <f ca="1">Планирование[[#This Row],[Конец (план)]]-Планирование[[#This Row],[Конец (факт, прогноз)]]</f>
        <v>6.8874999999898137</v>
      </c>
    </row>
    <row r="130" spans="1:36" s="915" customFormat="1" ht="30" customHeight="1">
      <c r="A130" s="909" t="s">
        <v>1149</v>
      </c>
      <c r="B130" s="910" t="s">
        <v>266</v>
      </c>
      <c r="C130" s="911"/>
      <c r="D130" s="911" t="s">
        <v>59</v>
      </c>
      <c r="E130" s="911" t="s">
        <v>58</v>
      </c>
      <c r="F130" s="911"/>
      <c r="G130" s="911" t="s">
        <v>78</v>
      </c>
      <c r="H130" s="911" t="s">
        <v>393</v>
      </c>
      <c r="I130" s="911" t="s">
        <v>86</v>
      </c>
      <c r="J130" s="911" t="s">
        <v>161</v>
      </c>
      <c r="K130" s="911"/>
      <c r="L130" s="911" t="str">
        <f>IF(Планирование[[#This Row],[Контекст простоя]]="Штатно", Планирование[[#This Row],[Скважина]] &amp; " " &amp; "ОК–" &amp;Планирование[[#This Row],[ОК]] &amp; " "  &amp; Планирование[[#This Row],[Этап]] &amp; " " &amp; Планирование[[#This Row],[Вид работ]] &amp; " " &amp; Планирование[[#This Row],[Объект работ]] &amp; " " &amp; Планирование[[#This Row],[Рейс]], Планирование[[#This Row],[Скважина]] &amp; " " &amp; "ОК–" &amp;Планирование[[#This Row],[ОК]] &amp; " " &amp; Планирование[[#This Row],[Этап]] &amp; " " &amp; Планирование[[#This Row],[Контекст простоя]] &amp; " " &amp; Планирование[[#This Row],[Событие]] &amp; " " &amp; Планирование[[#This Row],[Вид работ]] &amp; " " &amp; Планирование[[#This Row],[Объект работ]] &amp; " " &amp; Планирование[[#This Row],[Рейс]])</f>
        <v xml:space="preserve">600 ОК– ПР Работа комиссии ПВО </v>
      </c>
      <c r="M130" s="912">
        <f ca="1">IF(Планирование[[#This Row],[Скважина]]&lt;&gt;B129,Планирование[[#This Row],[Начало (факт)]],N129)</f>
        <v>46181.922499999921</v>
      </c>
      <c r="N130" s="913">
        <f ca="1">Планирование[[#This Row],[Начало (цель)]]+Планирование[[#This Row],[Сутки (цель)]]</f>
        <v>46181.922499999921</v>
      </c>
      <c r="O130" s="914">
        <v>0</v>
      </c>
      <c r="Q130" s="916">
        <f>Планирование[[#This Row],[Часы (цель)]]/24</f>
        <v>0</v>
      </c>
      <c r="R130" s="916">
        <f>R129+Планирование[[#This Row],[Сутки (цель)]]</f>
        <v>7.0650000000000013</v>
      </c>
      <c r="S130" s="917">
        <f ca="1">Планирование[[#This Row],[Начало (цель)]]</f>
        <v>46181.922499999921</v>
      </c>
      <c r="T130" s="913">
        <f ca="1">Планирование[[#This Row],[Начало (план)]]+Планирование[[#This Row],[Сутки (план)]]</f>
        <v>46181.922499999921</v>
      </c>
      <c r="U130" s="914">
        <f>Планирование[[#This Row],[Часы (цель)]]</f>
        <v>0</v>
      </c>
      <c r="V130" s="918">
        <f>Планирование[[#This Row],[Забой, м (цель)]]</f>
        <v>0</v>
      </c>
      <c r="W130" s="916">
        <f>Планирование[[#This Row],[Часы (план)]]/24</f>
        <v>0</v>
      </c>
      <c r="X130" s="919">
        <f>X129+Планирование[[#This Row],[Сутки (план)]]</f>
        <v>7.0650000000000013</v>
      </c>
      <c r="Y130" s="912">
        <f t="array" aca="1" ref="Y130" ca="1">IFERROR(
    INDEX(Хронология[Начало], MATCH(1, (Хронология[Ключ]=Планирование[[#This Row],[Ключ]]) * (Хронология[Подытог за операцию]=MIN(IF(Хронология[Ключ]=Планирование[[#This Row],[Ключ]], Хронология[Подытог за операцию]))), 0)),
    Z83
)</f>
        <v>46174.857499999933</v>
      </c>
      <c r="Z130" s="920">
        <f t="array" aca="1" ref="Z130" ca="1">MAX(IFERROR(
    INDEX(Хронология[Окончание], MATCH(1, (Хронология[Ключ]=Планирование[[#This Row],[Ключ]]) * (Хронология[Подытог за операцию]=MAX(IF(Хронология[Ключ]=Планирование[[#This Row],[Ключ]], Хронология[Подытог за операцию]))), 0)),
    Y84+AC84
), Планирование[[#This Row],[Начало (факт)]]+Планирование[[#This Row],[Сутки (факт)]])</f>
        <v>46175.034999999931</v>
      </c>
      <c r="AA130" s="921">
        <f ca="1">IF(AND(Планирование[[#This Row],[Начало (факт)]]=Y131,Планирование[[#This Row],[Забой, м (факт)]]=AE131),0,Планирование[[#This Row],[Конец (факт, прогноз)]]-Планирование[[#This Row],[Начало (факт)]])</f>
        <v>0</v>
      </c>
      <c r="AB130" s="921">
        <f ca="1">Планирование[[#This Row],[Часы (факт)]]-Планирование[[#This Row],[НПВ за операцию, часы]]-Планирование[[#This Row],[ПНВ, часы]]</f>
        <v>0</v>
      </c>
      <c r="AC130" s="922">
        <f t="array" aca="1" ref="AC130" ca="1">IFERROR(
  IF(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окончены",
    MAX(IF(Хронология[Ключ]=Планирование[[#This Row],[Ключ]], Хронология[Подытог за операцию])),
    IF(
      Планирование[[#This Row],[Событие]]="Мех. бурение",
      (MAX(Хронология[Окончание]) - Планирование[[#This Row],[Начало (факт)]]) +
      (Планирование[[#This Row],[Забой, м (план)]] - Планирование[[#This Row],[Забой, м (факт)]]) /
      ((Планирование[[#This Row],[Забой, м (план)]] - V83)/Планирование[[#This Row],[Сутки (план)]]),
      IF(
        AND(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продолжаются",
          Планирование[[#This Row],[Начало (факт)]]&gt;0
        ),
        (TODAY()-Планирование[[#This Row],[Начало (факт)]]),
        IF(
          AND(Планирование[[#This Row],[Начало (факт)]]=0,
            Планирование[[#This Row],[Начало (план)]] &gt; MAX(Хронология[Начало])),
          Планирование[[#This Row],[Сутки (план)]],
          IF(
            AND((TODAY()-Планирование[[#This Row],[Начало (план)]])&gt;1,
              ISERR(MATCH(Планирование[[#This Row],[Ключ]], Хронология[Ключ], 0))),
            0,
            Планирование[[#This Row],[Сутки (план)]]
          )
        )
      )
    )
  ),
  Планирование[[#This Row],[Сутки (план)]]
)</f>
        <v>0</v>
      </c>
      <c r="AD130" s="922">
        <f ca="1">Планирование[[#This Row],[Сутки (факт)]]</f>
        <v>0</v>
      </c>
      <c r="AE130" s="923">
        <f t="array" ref="AE130">MAX(IF(Хронология[Ключ]=Планирование[[#This Row],[Ключ]], Хронология[Забой, м]))</f>
        <v>0</v>
      </c>
      <c r="AF130" s="914">
        <f ca="1">IFERROR(
    SUMIFS(
        Хронология[Часы],
        Хронология[Результат], "НПВ: нет в ГГД",
        Хронология[Начало], "&gt;=" &amp; Планирование[[#This Row],[Начало (факт)]],
        Хронология[Окончание], "&lt;=" &amp; Планирование[[#This Row],[Конец (факт, прогноз)]]
    ),
    0
)</f>
        <v>0</v>
      </c>
      <c r="AG130" s="914">
        <f ca="1">IFERROR(
    SUMIFS(
        Хронология[Часы],
        Хронология[Результат], "НПВ: нет в ГГД",
        Хронология[Начало], "&gt;=" &amp; Планирование[[#This Row],[Конец (факт, прогноз)]],
        Хронология[Окончание], "&lt;=" &amp; Y85
    ),
    0
)</f>
        <v>0</v>
      </c>
      <c r="AH130" s="919">
        <f ca="1">ROUND(IF(Планирование[[#This Row],[Часы (факт)]]-Планирование[[#This Row],[НПВ за операцию, часы]]-Планирование[[#This Row],[Часы (план)]] &lt;0, 0, Планирование[[#This Row],[Часы (факт)]]-Планирование[[#This Row],[НПВ за операцию, часы]]-Планирование[[#This Row],[Часы (план)]]), 2)</f>
        <v>0</v>
      </c>
      <c r="AI130" s="918" t="s">
        <v>1060</v>
      </c>
      <c r="AJ130" s="924">
        <f ca="1">Планирование[[#This Row],[Конец (план)]]-Планирование[[#This Row],[Конец (факт, прогноз)]]</f>
        <v>6.8874999999898137</v>
      </c>
    </row>
    <row r="131" spans="1:36" s="915" customFormat="1" ht="30" customHeight="1">
      <c r="A131" s="909" t="s">
        <v>1150</v>
      </c>
      <c r="B131" s="910" t="s">
        <v>266</v>
      </c>
      <c r="C131" s="911"/>
      <c r="D131" s="911" t="s">
        <v>57</v>
      </c>
      <c r="E131" s="911" t="s">
        <v>58</v>
      </c>
      <c r="F131" s="911"/>
      <c r="G131" s="911" t="s">
        <v>69</v>
      </c>
      <c r="H131" s="911" t="s">
        <v>108</v>
      </c>
      <c r="I131" s="911" t="s">
        <v>86</v>
      </c>
      <c r="J131" s="911" t="s">
        <v>161</v>
      </c>
      <c r="K131" s="911"/>
      <c r="L131" s="911" t="str">
        <f>IF(Планирование[[#This Row],[Контекст простоя]]="Штатно", Планирование[[#This Row],[Скважина]] &amp; " " &amp; "ОК–" &amp;Планирование[[#This Row],[ОК]] &amp; " "  &amp; Планирование[[#This Row],[Этап]] &amp; " " &amp; Планирование[[#This Row],[Вид работ]] &amp; " " &amp; Планирование[[#This Row],[Объект работ]] &amp; " " &amp; Планирование[[#This Row],[Рейс]], Планирование[[#This Row],[Скважина]] &amp; " " &amp; "ОК–" &amp;Планирование[[#This Row],[ОК]] &amp; " " &amp; Планирование[[#This Row],[Этап]] &amp; " " &amp; Планирование[[#This Row],[Контекст простоя]] &amp; " " &amp; Планирование[[#This Row],[Событие]] &amp; " " &amp; Планирование[[#This Row],[Вид работ]] &amp; " " &amp; Планирование[[#This Row],[Объект работ]] &amp; " " &amp; Планирование[[#This Row],[Рейс]])</f>
        <v xml:space="preserve">600 ОК– ДПМ Демонтаж ПВО </v>
      </c>
      <c r="M131" s="912">
        <f ca="1">IF(Планирование[[#This Row],[Скважина]]&lt;&gt;B130,Планирование[[#This Row],[Начало (факт)]],N130)</f>
        <v>46181.922499999921</v>
      </c>
      <c r="N131" s="913">
        <f ca="1">Планирование[[#This Row],[Начало (цель)]]+Планирование[[#This Row],[Сутки (цель)]]</f>
        <v>46182.009999999922</v>
      </c>
      <c r="O131" s="914">
        <v>2.1</v>
      </c>
      <c r="Q131" s="916">
        <f>Планирование[[#This Row],[Часы (цель)]]/24</f>
        <v>8.7500000000000008E-2</v>
      </c>
      <c r="R131" s="916">
        <f>R130+Планирование[[#This Row],[Сутки (цель)]]</f>
        <v>7.1525000000000016</v>
      </c>
      <c r="S131" s="917">
        <f ca="1">Планирование[[#This Row],[Начало (цель)]]</f>
        <v>46181.922499999921</v>
      </c>
      <c r="T131" s="913">
        <f ca="1">Планирование[[#This Row],[Начало (план)]]+Планирование[[#This Row],[Сутки (план)]]</f>
        <v>46182.009999999922</v>
      </c>
      <c r="U131" s="914">
        <f>Планирование[[#This Row],[Часы (цель)]]</f>
        <v>2.1</v>
      </c>
      <c r="V131" s="918">
        <f>Планирование[[#This Row],[Забой, м (цель)]]</f>
        <v>0</v>
      </c>
      <c r="W131" s="916">
        <f>Планирование[[#This Row],[Часы (план)]]/24</f>
        <v>8.7500000000000008E-2</v>
      </c>
      <c r="X131" s="919">
        <f>X130+Планирование[[#This Row],[Сутки (план)]]</f>
        <v>7.1525000000000016</v>
      </c>
      <c r="Y131" s="912">
        <f t="array" aca="1" ref="Y131" ca="1">IFERROR(
    INDEX(Хронология[Начало], MATCH(1, (Хронология[Ключ]=Планирование[[#This Row],[Ключ]]) * (Хронология[Подытог за операцию]=MIN(IF(Хронология[Ключ]=Планирование[[#This Row],[Ключ]], Хронология[Подытог за операцию]))), 0)),
    Z83
)</f>
        <v>46174.857499999933</v>
      </c>
      <c r="Z131" s="920">
        <f t="array" aca="1" ref="Z131" ca="1">MAX(IFERROR(
    INDEX(Хронология[Окончание], MATCH(1, (Хронология[Ключ]=Планирование[[#This Row],[Ключ]]) * (Хронология[Подытог за операцию]=MAX(IF(Хронология[Ключ]=Планирование[[#This Row],[Ключ]], Хронология[Подытог за операцию]))), 0)),
    Y84+AC84
), Планирование[[#This Row],[Начало (факт)]]+Планирование[[#This Row],[Сутки (факт)]])</f>
        <v>46175.034999999931</v>
      </c>
      <c r="AA131" s="921">
        <f ca="1">IF(AND(Планирование[[#This Row],[Начало (факт)]]=Y132,Планирование[[#This Row],[Забой, м (факт)]]=AE132),0,Планирование[[#This Row],[Конец (факт, прогноз)]]-Планирование[[#This Row],[Начало (факт)]])</f>
        <v>0</v>
      </c>
      <c r="AB131" s="921">
        <f ca="1">Планирование[[#This Row],[Часы (факт)]]-Планирование[[#This Row],[НПВ за операцию, часы]]-Планирование[[#This Row],[ПНВ, часы]]</f>
        <v>0</v>
      </c>
      <c r="AC131" s="922">
        <f t="array" aca="1" ref="AC131" ca="1">IFERROR(
  IF(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окончены",
    MAX(IF(Хронология[Ключ]=Планирование[[#This Row],[Ключ]], Хронология[Подытог за операцию])),
    IF(
      Планирование[[#This Row],[Событие]]="Мех. бурение",
      (MAX(Хронология[Окончание]) - Планирование[[#This Row],[Начало (факт)]]) +
      (Планирование[[#This Row],[Забой, м (план)]] - Планирование[[#This Row],[Забой, м (факт)]]) /
      ((Планирование[[#This Row],[Забой, м (план)]] - V83)/Планирование[[#This Row],[Сутки (план)]]),
      IF(
        AND(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продолжаются",
          Планирование[[#This Row],[Начало (факт)]]&gt;0
        ),
        (TODAY()-Планирование[[#This Row],[Начало (факт)]]),
        IF(
          AND(Планирование[[#This Row],[Начало (факт)]]=0,
            Планирование[[#This Row],[Начало (план)]] &gt; MAX(Хронология[Начало])),
          Планирование[[#This Row],[Сутки (план)]],
          IF(
            AND((TODAY()-Планирование[[#This Row],[Начало (план)]])&gt;1,
              ISERR(MATCH(Планирование[[#This Row],[Ключ]], Хронология[Ключ], 0))),
            0,
            Планирование[[#This Row],[Сутки (план)]]
          )
        )
      )
    )
  ),
  Планирование[[#This Row],[Сутки (план)]]
)</f>
        <v>8.7500000000000008E-2</v>
      </c>
      <c r="AD131" s="922">
        <f ca="1">Планирование[[#This Row],[Сутки (факт)]]</f>
        <v>8.7500000000000008E-2</v>
      </c>
      <c r="AE131" s="923">
        <f t="array" ref="AE131">MAX(IF(Хронология[Ключ]=Планирование[[#This Row],[Ключ]], Хронология[Забой, м]))</f>
        <v>0</v>
      </c>
      <c r="AF131" s="914">
        <f ca="1">IFERROR(
    SUMIFS(
        Хронология[Часы],
        Хронология[Результат], "НПВ: нет в ГГД",
        Хронология[Начало], "&gt;=" &amp; Планирование[[#This Row],[Начало (факт)]],
        Хронология[Окончание], "&lt;=" &amp; Планирование[[#This Row],[Конец (факт, прогноз)]]
    ),
    0
)</f>
        <v>0</v>
      </c>
      <c r="AG131" s="914">
        <f ca="1">IFERROR(
    SUMIFS(
        Хронология[Часы],
        Хронология[Результат], "НПВ: нет в ГГД",
        Хронология[Начало], "&gt;=" &amp; Планирование[[#This Row],[Конец (факт, прогноз)]],
        Хронология[Окончание], "&lt;=" &amp; Y85
    ),
    0
)</f>
        <v>0</v>
      </c>
      <c r="AH131" s="919">
        <f ca="1">ROUND(IF(Планирование[[#This Row],[Часы (факт)]]-Планирование[[#This Row],[НПВ за операцию, часы]]-Планирование[[#This Row],[Часы (план)]] &lt;0, 0, Планирование[[#This Row],[Часы (факт)]]-Планирование[[#This Row],[НПВ за операцию, часы]]-Планирование[[#This Row],[Часы (план)]]), 2)</f>
        <v>0</v>
      </c>
      <c r="AI131" s="918" t="s">
        <v>1060</v>
      </c>
      <c r="AJ131" s="924">
        <f ca="1">Планирование[[#This Row],[Конец (план)]]-Планирование[[#This Row],[Конец (факт, прогноз)]]</f>
        <v>6.9749999999912689</v>
      </c>
    </row>
    <row r="132" spans="1:36" s="915" customFormat="1" ht="30" customHeight="1">
      <c r="A132" s="909" t="s">
        <v>1151</v>
      </c>
      <c r="B132" s="910" t="s">
        <v>266</v>
      </c>
      <c r="C132" s="911"/>
      <c r="D132" s="911" t="s">
        <v>57</v>
      </c>
      <c r="E132" s="911" t="s">
        <v>58</v>
      </c>
      <c r="F132" s="911"/>
      <c r="G132" s="911" t="s">
        <v>69</v>
      </c>
      <c r="H132" s="911" t="s">
        <v>108</v>
      </c>
      <c r="I132" s="911" t="s">
        <v>61</v>
      </c>
      <c r="J132" s="911" t="s">
        <v>1107</v>
      </c>
      <c r="K132" s="911"/>
      <c r="L132" s="911" t="str">
        <f>IF(Планирование[[#This Row],[Контекст простоя]]="Штатно", Планирование[[#This Row],[Скважина]] &amp; " " &amp; "ОК–" &amp;Планирование[[#This Row],[ОК]] &amp; " "  &amp; Планирование[[#This Row],[Этап]] &amp; " " &amp; Планирование[[#This Row],[Вид работ]] &amp; " " &amp; Планирование[[#This Row],[Объект работ]] &amp; " " &amp; Планирование[[#This Row],[Рейс]], Планирование[[#This Row],[Скважина]] &amp; " " &amp; "ОК–" &amp;Планирование[[#This Row],[ОК]] &amp; " " &amp; Планирование[[#This Row],[Этап]] &amp; " " &amp; Планирование[[#This Row],[Контекст простоя]] &amp; " " &amp; Планирование[[#This Row],[Событие]] &amp; " " &amp; Планирование[[#This Row],[Вид работ]] &amp; " " &amp; Планирование[[#This Row],[Объект работ]] &amp; " " &amp; Планирование[[#This Row],[Рейс]])</f>
        <v xml:space="preserve">600 ОК– ДПМ Демонтаж Подъемный агрегат </v>
      </c>
      <c r="M132" s="912">
        <f ca="1">IF(Планирование[[#This Row],[Скважина]]&lt;&gt;B131,Планирование[[#This Row],[Начало (факт)]],N131)</f>
        <v>46182.009999999922</v>
      </c>
      <c r="N132" s="913">
        <f ca="1">Планирование[[#This Row],[Начало (цель)]]+Планирование[[#This Row],[Сутки (цель)]]</f>
        <v>46182.019166666585</v>
      </c>
      <c r="O132" s="914">
        <v>0.22</v>
      </c>
      <c r="Q132" s="916">
        <f>Планирование[[#This Row],[Часы (цель)]]/24</f>
        <v>9.1666666666666667E-3</v>
      </c>
      <c r="R132" s="916">
        <f>R131+Планирование[[#This Row],[Сутки (цель)]]</f>
        <v>7.161666666666668</v>
      </c>
      <c r="S132" s="917">
        <f ca="1">Планирование[[#This Row],[Начало (цель)]]</f>
        <v>46182.009999999922</v>
      </c>
      <c r="T132" s="913">
        <f ca="1">Планирование[[#This Row],[Начало (план)]]+Планирование[[#This Row],[Сутки (план)]]</f>
        <v>46182.019166666585</v>
      </c>
      <c r="U132" s="914">
        <f>Планирование[[#This Row],[Часы (цель)]]</f>
        <v>0.22</v>
      </c>
      <c r="V132" s="918">
        <f>Планирование[[#This Row],[Забой, м (цель)]]</f>
        <v>0</v>
      </c>
      <c r="W132" s="916">
        <f>Планирование[[#This Row],[Часы (план)]]/24</f>
        <v>9.1666666666666667E-3</v>
      </c>
      <c r="X132" s="919">
        <f>X131+Планирование[[#This Row],[Сутки (план)]]</f>
        <v>7.161666666666668</v>
      </c>
      <c r="Y132" s="912">
        <f t="array" aca="1" ref="Y132" ca="1">IFERROR(
    INDEX(Хронология[Начало], MATCH(1, (Хронология[Ключ]=Планирование[[#This Row],[Ключ]]) * (Хронология[Подытог за операцию]=MIN(IF(Хронология[Ключ]=Планирование[[#This Row],[Ключ]], Хронология[Подытог за операцию]))), 0)),
    Z83
)</f>
        <v>46174.857499999933</v>
      </c>
      <c r="Z132" s="920">
        <f t="array" aca="1" ref="Z132" ca="1">MAX(IFERROR(
    INDEX(Хронология[Окончание], MATCH(1, (Хронология[Ключ]=Планирование[[#This Row],[Ключ]]) * (Хронология[Подытог за операцию]=MAX(IF(Хронология[Ключ]=Планирование[[#This Row],[Ключ]], Хронология[Подытог за операцию]))), 0)),
    Y84+AC84
), Планирование[[#This Row],[Начало (факт)]]+Планирование[[#This Row],[Сутки (факт)]])</f>
        <v>46175.034999999931</v>
      </c>
      <c r="AA132" s="921">
        <f ca="1">IF(AND(Планирование[[#This Row],[Начало (факт)]]=Y133,Планирование[[#This Row],[Забой, м (факт)]]=AE133),0,Планирование[[#This Row],[Конец (факт, прогноз)]]-Планирование[[#This Row],[Начало (факт)]])</f>
        <v>0</v>
      </c>
      <c r="AB132" s="921">
        <f ca="1">Планирование[[#This Row],[Часы (факт)]]-Планирование[[#This Row],[НПВ за операцию, часы]]-Планирование[[#This Row],[ПНВ, часы]]</f>
        <v>0</v>
      </c>
      <c r="AC132" s="922">
        <f t="array" aca="1" ref="AC132" ca="1">IFERROR(
  IF(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окончены",
    MAX(IF(Хронология[Ключ]=Планирование[[#This Row],[Ключ]], Хронология[Подытог за операцию])),
    IF(
      Планирование[[#This Row],[Событие]]="Мех. бурение",
      (MAX(Хронология[Окончание]) - Планирование[[#This Row],[Начало (факт)]]) +
      (Планирование[[#This Row],[Забой, м (план)]] - Планирование[[#This Row],[Забой, м (факт)]]) /
      ((Планирование[[#This Row],[Забой, м (план)]] - V83)/Планирование[[#This Row],[Сутки (план)]]),
      IF(
        AND(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продолжаются",
          Планирование[[#This Row],[Начало (факт)]]&gt;0
        ),
        (TODAY()-Планирование[[#This Row],[Начало (факт)]]),
        IF(
          AND(Планирование[[#This Row],[Начало (факт)]]=0,
            Планирование[[#This Row],[Начало (план)]] &gt; MAX(Хронология[Начало])),
          Планирование[[#This Row],[Сутки (план)]],
          IF(
            AND((TODAY()-Планирование[[#This Row],[Начало (план)]])&gt;1,
              ISERR(MATCH(Планирование[[#This Row],[Ключ]], Хронология[Ключ], 0))),
            0,
            Планирование[[#This Row],[Сутки (план)]]
          )
        )
      )
    )
  ),
  Планирование[[#This Row],[Сутки (план)]]
)</f>
        <v>9.1666666666666667E-3</v>
      </c>
      <c r="AD132" s="922">
        <f ca="1">Планирование[[#This Row],[Сутки (факт)]]</f>
        <v>9.1666666666666667E-3</v>
      </c>
      <c r="AE132" s="923">
        <f t="array" ref="AE132">MAX(IF(Хронология[Ключ]=Планирование[[#This Row],[Ключ]], Хронология[Забой, м]))</f>
        <v>0</v>
      </c>
      <c r="AF132" s="914">
        <f ca="1">IFERROR(
    SUMIFS(
        Хронология[Часы],
        Хронология[Результат], "НПВ: нет в ГГД",
        Хронология[Начало], "&gt;=" &amp; Планирование[[#This Row],[Начало (факт)]],
        Хронология[Окончание], "&lt;=" &amp; Планирование[[#This Row],[Конец (факт, прогноз)]]
    ),
    0
)</f>
        <v>0</v>
      </c>
      <c r="AG132" s="914">
        <f ca="1">IFERROR(
    SUMIFS(
        Хронология[Часы],
        Хронология[Результат], "НПВ: нет в ГГД",
        Хронология[Начало], "&gt;=" &amp; Планирование[[#This Row],[Конец (факт, прогноз)]],
        Хронология[Окончание], "&lt;=" &amp; Y85
    ),
    0
)</f>
        <v>0</v>
      </c>
      <c r="AH132" s="919">
        <f ca="1">ROUND(IF(Планирование[[#This Row],[Часы (факт)]]-Планирование[[#This Row],[НПВ за операцию, часы]]-Планирование[[#This Row],[Часы (план)]] &lt;0, 0, Планирование[[#This Row],[Часы (факт)]]-Планирование[[#This Row],[НПВ за операцию, часы]]-Планирование[[#This Row],[Часы (план)]]), 2)</f>
        <v>0</v>
      </c>
      <c r="AI132" s="918" t="s">
        <v>1060</v>
      </c>
      <c r="AJ132" s="924">
        <f ca="1">Планирование[[#This Row],[Конец (план)]]-Планирование[[#This Row],[Конец (факт, прогноз)]]</f>
        <v>6.984166666654346</v>
      </c>
    </row>
    <row r="133" spans="1:36" s="915" customFormat="1" ht="30" customHeight="1">
      <c r="A133" s="909" t="s">
        <v>1152</v>
      </c>
      <c r="B133" s="910" t="s">
        <v>266</v>
      </c>
      <c r="C133" s="911"/>
      <c r="D133" s="911" t="s">
        <v>57</v>
      </c>
      <c r="E133" s="911" t="s">
        <v>58</v>
      </c>
      <c r="F133" s="911"/>
      <c r="G133" s="911" t="s">
        <v>69</v>
      </c>
      <c r="H133" s="911" t="s">
        <v>108</v>
      </c>
      <c r="I133" s="911" t="s">
        <v>86</v>
      </c>
      <c r="J133" s="911" t="s">
        <v>321</v>
      </c>
      <c r="K133" s="911"/>
      <c r="L133" s="911" t="str">
        <f>IF(Планирование[[#This Row],[Контекст простоя]]="Штатно", Планирование[[#This Row],[Скважина]] &amp; " " &amp; "ОК–" &amp;Планирование[[#This Row],[ОК]] &amp; " "  &amp; Планирование[[#This Row],[Этап]] &amp; " " &amp; Планирование[[#This Row],[Вид работ]] &amp; " " &amp; Планирование[[#This Row],[Объект работ]] &amp; " " &amp; Планирование[[#This Row],[Рейс]], Планирование[[#This Row],[Скважина]] &amp; " " &amp; "ОК–" &amp;Планирование[[#This Row],[ОК]] &amp; " " &amp; Планирование[[#This Row],[Этап]] &amp; " " &amp; Планирование[[#This Row],[Контекст простоя]] &amp; " " &amp; Планирование[[#This Row],[Событие]] &amp; " " &amp; Планирование[[#This Row],[Вид работ]] &amp; " " &amp; Планирование[[#This Row],[Объект работ]] &amp; " " &amp; Планирование[[#This Row],[Рейс]])</f>
        <v xml:space="preserve">600 ОК– ДПМ Демонтаж Блок дросселирования </v>
      </c>
      <c r="M133" s="912">
        <f ca="1">IF(Планирование[[#This Row],[Скважина]]&lt;&gt;B132,Планирование[[#This Row],[Начало (факт)]],N132)</f>
        <v>46182.019166666585</v>
      </c>
      <c r="N133" s="913">
        <f ca="1">Планирование[[#This Row],[Начало (цель)]]+Планирование[[#This Row],[Сутки (цель)]]</f>
        <v>46182.353749999922</v>
      </c>
      <c r="O133" s="914">
        <v>8.0299999999999994</v>
      </c>
      <c r="Q133" s="916">
        <f>Планирование[[#This Row],[Часы (цель)]]/24</f>
        <v>0.33458333333333329</v>
      </c>
      <c r="R133" s="916">
        <f>R132+Планирование[[#This Row],[Сутки (цель)]]</f>
        <v>7.4962500000000016</v>
      </c>
      <c r="S133" s="917">
        <f ca="1">Планирование[[#This Row],[Начало (цель)]]</f>
        <v>46182.019166666585</v>
      </c>
      <c r="T133" s="913">
        <f ca="1">Планирование[[#This Row],[Начало (план)]]+Планирование[[#This Row],[Сутки (план)]]</f>
        <v>46182.353749999922</v>
      </c>
      <c r="U133" s="914">
        <f>Планирование[[#This Row],[Часы (цель)]]</f>
        <v>8.0299999999999994</v>
      </c>
      <c r="V133" s="918">
        <f>Планирование[[#This Row],[Забой, м (цель)]]</f>
        <v>0</v>
      </c>
      <c r="W133" s="916">
        <f>Планирование[[#This Row],[Часы (план)]]/24</f>
        <v>0.33458333333333329</v>
      </c>
      <c r="X133" s="919">
        <f>X132+Планирование[[#This Row],[Сутки (план)]]</f>
        <v>7.4962500000000016</v>
      </c>
      <c r="Y133" s="912">
        <f t="array" aca="1" ref="Y133" ca="1">IFERROR(
    INDEX(Хронология[Начало], MATCH(1, (Хронология[Ключ]=Планирование[[#This Row],[Ключ]]) * (Хронология[Подытог за операцию]=MIN(IF(Хронология[Ключ]=Планирование[[#This Row],[Ключ]], Хронология[Подытог за операцию]))), 0)),
    Z83
)</f>
        <v>46174.857499999933</v>
      </c>
      <c r="Z133" s="920">
        <f t="array" aca="1" ref="Z133" ca="1">MAX(IFERROR(
    INDEX(Хронология[Окончание], MATCH(1, (Хронология[Ключ]=Планирование[[#This Row],[Ключ]]) * (Хронология[Подытог за операцию]=MAX(IF(Хронология[Ключ]=Планирование[[#This Row],[Ключ]], Хронология[Подытог за операцию]))), 0)),
    Y84+AC84
), Планирование[[#This Row],[Начало (факт)]]+Планирование[[#This Row],[Сутки (факт)]])</f>
        <v>46175.19208333327</v>
      </c>
      <c r="AA133" s="921">
        <f ca="1">IF(AND(Планирование[[#This Row],[Начало (факт)]]=Y134,Планирование[[#This Row],[Забой, м (факт)]]=AE134),0,Планирование[[#This Row],[Конец (факт, прогноз)]]-Планирование[[#This Row],[Начало (факт)]])</f>
        <v>0</v>
      </c>
      <c r="AB133" s="921">
        <f ca="1">Планирование[[#This Row],[Часы (факт)]]-Планирование[[#This Row],[НПВ за операцию, часы]]-Планирование[[#This Row],[ПНВ, часы]]</f>
        <v>0</v>
      </c>
      <c r="AC133" s="922">
        <f t="array" aca="1" ref="AC133" ca="1">IFERROR(
  IF(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окончены",
    MAX(IF(Хронология[Ключ]=Планирование[[#This Row],[Ключ]], Хронология[Подытог за операцию])),
    IF(
      Планирование[[#This Row],[Событие]]="Мех. бурение",
      (MAX(Хронология[Окончание]) - Планирование[[#This Row],[Начало (факт)]]) +
      (Планирование[[#This Row],[Забой, м (план)]] - Планирование[[#This Row],[Забой, м (факт)]]) /
      ((Планирование[[#This Row],[Забой, м (план)]] - V83)/Планирование[[#This Row],[Сутки (план)]]),
      IF(
        AND(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продолжаются",
          Планирование[[#This Row],[Начало (факт)]]&gt;0
        ),
        (TODAY()-Планирование[[#This Row],[Начало (факт)]]),
        IF(
          AND(Планирование[[#This Row],[Начало (факт)]]=0,
            Планирование[[#This Row],[Начало (план)]] &gt; MAX(Хронология[Начало])),
          Планирование[[#This Row],[Сутки (план)]],
          IF(
            AND((TODAY()-Планирование[[#This Row],[Начало (план)]])&gt;1,
              ISERR(MATCH(Планирование[[#This Row],[Ключ]], Хронология[Ключ], 0))),
            0,
            Планирование[[#This Row],[Сутки (план)]]
          )
        )
      )
    )
  ),
  Планирование[[#This Row],[Сутки (план)]]
)</f>
        <v>0.33458333333333329</v>
      </c>
      <c r="AD133" s="922">
        <f ca="1">Планирование[[#This Row],[Сутки (факт)]]</f>
        <v>0.33458333333333329</v>
      </c>
      <c r="AE133" s="923">
        <f t="array" ref="AE133">MAX(IF(Хронология[Ключ]=Планирование[[#This Row],[Ключ]], Хронология[Забой, м]))</f>
        <v>0</v>
      </c>
      <c r="AF133" s="914">
        <f ca="1">IFERROR(
    SUMIFS(
        Хронология[Часы],
        Хронология[Результат], "НПВ: нет в ГГД",
        Хронология[Начало], "&gt;=" &amp; Планирование[[#This Row],[Начало (факт)]],
        Хронология[Окончание], "&lt;=" &amp; Планирование[[#This Row],[Конец (факт, прогноз)]]
    ),
    0
)</f>
        <v>0</v>
      </c>
      <c r="AG133" s="914">
        <f ca="1">IFERROR(
    SUMIFS(
        Хронология[Часы],
        Хронология[Результат], "НПВ: нет в ГГД",
        Хронология[Начало], "&gt;=" &amp; Планирование[[#This Row],[Конец (факт, прогноз)]],
        Хронология[Окончание], "&lt;=" &amp; Y85
    ),
    0
)</f>
        <v>0</v>
      </c>
      <c r="AH133" s="919">
        <f ca="1">ROUND(IF(Планирование[[#This Row],[Часы (факт)]]-Планирование[[#This Row],[НПВ за операцию, часы]]-Планирование[[#This Row],[Часы (план)]] &lt;0, 0, Планирование[[#This Row],[Часы (факт)]]-Планирование[[#This Row],[НПВ за операцию, часы]]-Планирование[[#This Row],[Часы (план)]]), 2)</f>
        <v>0</v>
      </c>
      <c r="AI133" s="918" t="s">
        <v>1060</v>
      </c>
      <c r="AJ133" s="924">
        <f ca="1">Планирование[[#This Row],[Конец (план)]]-Планирование[[#This Row],[Конец (факт, прогноз)]]</f>
        <v>7.1616666666523088</v>
      </c>
    </row>
    <row r="134" spans="1:36" s="915" customFormat="1" ht="30" customHeight="1">
      <c r="A134" s="909" t="s">
        <v>1153</v>
      </c>
      <c r="B134" s="910" t="s">
        <v>266</v>
      </c>
      <c r="C134" s="911"/>
      <c r="D134" s="911" t="s">
        <v>57</v>
      </c>
      <c r="E134" s="911" t="s">
        <v>58</v>
      </c>
      <c r="F134" s="911"/>
      <c r="G134" s="911" t="s">
        <v>69</v>
      </c>
      <c r="H134" s="911" t="s">
        <v>108</v>
      </c>
      <c r="I134" s="911" t="s">
        <v>61</v>
      </c>
      <c r="J134" s="911" t="s">
        <v>270</v>
      </c>
      <c r="K134" s="911"/>
      <c r="L134" s="911" t="str">
        <f>IF(Планирование[[#This Row],[Контекст простоя]]="Штатно", Планирование[[#This Row],[Скважина]] &amp; " " &amp; "ОК–" &amp;Планирование[[#This Row],[ОК]] &amp; " "  &amp; Планирование[[#This Row],[Этап]] &amp; " " &amp; Планирование[[#This Row],[Вид работ]] &amp; " " &amp; Планирование[[#This Row],[Объект работ]] &amp; " " &amp; Планирование[[#This Row],[Рейс]], Планирование[[#This Row],[Скважина]] &amp; " " &amp; "ОК–" &amp;Планирование[[#This Row],[ОК]] &amp; " " &amp; Планирование[[#This Row],[Этап]] &amp; " " &amp; Планирование[[#This Row],[Контекст простоя]] &amp; " " &amp; Планирование[[#This Row],[Событие]] &amp; " " &amp; Планирование[[#This Row],[Вид работ]] &amp; " " &amp; Планирование[[#This Row],[Объект работ]] &amp; " " &amp; Планирование[[#This Row],[Рейс]])</f>
        <v xml:space="preserve">600 ОК– ДПМ Демонтаж Буровая установка </v>
      </c>
      <c r="M134" s="912">
        <f ca="1">IF(Планирование[[#This Row],[Скважина]]&lt;&gt;B133,Планирование[[#This Row],[Начало (факт)]],N133)</f>
        <v>46182.353749999922</v>
      </c>
      <c r="N134" s="913">
        <f ca="1">Планирование[[#This Row],[Начало (цель)]]+Планирование[[#This Row],[Сутки (цель)]]</f>
        <v>46182.353749999922</v>
      </c>
      <c r="O134" s="914">
        <v>0</v>
      </c>
      <c r="Q134" s="916">
        <f>Планирование[[#This Row],[Часы (цель)]]/24</f>
        <v>0</v>
      </c>
      <c r="R134" s="916">
        <f>R133+Планирование[[#This Row],[Сутки (цель)]]</f>
        <v>7.4962500000000016</v>
      </c>
      <c r="S134" s="917">
        <f ca="1">Планирование[[#This Row],[Начало (цель)]]</f>
        <v>46182.353749999922</v>
      </c>
      <c r="T134" s="913">
        <f ca="1">Планирование[[#This Row],[Начало (план)]]+Планирование[[#This Row],[Сутки (план)]]</f>
        <v>46182.353749999922</v>
      </c>
      <c r="U134" s="914">
        <f>Планирование[[#This Row],[Часы (цель)]]</f>
        <v>0</v>
      </c>
      <c r="V134" s="918">
        <f>Планирование[[#This Row],[Забой, м (цель)]]</f>
        <v>0</v>
      </c>
      <c r="W134" s="916">
        <f>Планирование[[#This Row],[Часы (план)]]/24</f>
        <v>0</v>
      </c>
      <c r="X134" s="919">
        <f>X133+Планирование[[#This Row],[Сутки (план)]]</f>
        <v>7.4962500000000016</v>
      </c>
      <c r="Y134" s="912">
        <f t="array" aca="1" ref="Y134" ca="1">IFERROR(
    INDEX(Хронология[Начало], MATCH(1, (Хронология[Ключ]=Планирование[[#This Row],[Ключ]]) * (Хронология[Подытог за операцию]=MIN(IF(Хронология[Ключ]=Планирование[[#This Row],[Ключ]], Хронология[Подытог за операцию]))), 0)),
    Z83
)</f>
        <v>46174.857499999933</v>
      </c>
      <c r="Z134" s="920">
        <f t="array" aca="1" ref="Z134" ca="1">MAX(IFERROR(
    INDEX(Хронология[Окончание], MATCH(1, (Хронология[Ключ]=Планирование[[#This Row],[Ключ]]) * (Хронология[Подытог за операцию]=MAX(IF(Хронология[Ключ]=Планирование[[#This Row],[Ключ]], Хронология[Подытог за операцию]))), 0)),
    Y84+AC84
), Планирование[[#This Row],[Начало (факт)]]+Планирование[[#This Row],[Сутки (факт)]])</f>
        <v>46175.034999999931</v>
      </c>
      <c r="AA134" s="921">
        <f ca="1">IF(AND(Планирование[[#This Row],[Начало (факт)]]=Y135,Планирование[[#This Row],[Забой, м (факт)]]=AE135),0,Планирование[[#This Row],[Конец (факт, прогноз)]]-Планирование[[#This Row],[Начало (факт)]])</f>
        <v>0</v>
      </c>
      <c r="AB134" s="921">
        <f ca="1">Планирование[[#This Row],[Часы (факт)]]-Планирование[[#This Row],[НПВ за операцию, часы]]-Планирование[[#This Row],[ПНВ, часы]]</f>
        <v>0</v>
      </c>
      <c r="AC134" s="922">
        <f t="array" aca="1" ref="AC134" ca="1">IFERROR(
  IF(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окончены",
    MAX(IF(Хронология[Ключ]=Планирование[[#This Row],[Ключ]], Хронология[Подытог за операцию])),
    IF(
      Планирование[[#This Row],[Событие]]="Мех. бурение",
      (MAX(Хронология[Окончание]) - Планирование[[#This Row],[Начало (факт)]]) +
      (Планирование[[#This Row],[Забой, м (план)]] - Планирование[[#This Row],[Забой, м (факт)]]) /
      ((Планирование[[#This Row],[Забой, м (план)]] - V83)/Планирование[[#This Row],[Сутки (план)]]),
      IF(
        AND(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продолжаются",
          Планирование[[#This Row],[Начало (факт)]]&gt;0
        ),
        (TODAY()-Планирование[[#This Row],[Начало (факт)]]),
        IF(
          AND(Планирование[[#This Row],[Начало (факт)]]=0,
            Планирование[[#This Row],[Начало (план)]] &gt; MAX(Хронология[Начало])),
          Планирование[[#This Row],[Сутки (план)]],
          IF(
            AND((TODAY()-Планирование[[#This Row],[Начало (план)]])&gt;1,
              ISERR(MATCH(Планирование[[#This Row],[Ключ]], Хронология[Ключ], 0))),
            0,
            Планирование[[#This Row],[Сутки (план)]]
          )
        )
      )
    )
  ),
  Планирование[[#This Row],[Сутки (план)]]
)</f>
        <v>0</v>
      </c>
      <c r="AD134" s="922">
        <f ca="1">Планирование[[#This Row],[Сутки (факт)]]</f>
        <v>0</v>
      </c>
      <c r="AE134" s="923">
        <f t="array" ref="AE134">MAX(IF(Хронология[Ключ]=Планирование[[#This Row],[Ключ]], Хронология[Забой, м]))</f>
        <v>0</v>
      </c>
      <c r="AF134" s="914">
        <f ca="1">IFERROR(
    SUMIFS(
        Хронология[Часы],
        Хронология[Результат], "НПВ: нет в ГГД",
        Хронология[Начало], "&gt;=" &amp; Планирование[[#This Row],[Начало (факт)]],
        Хронология[Окончание], "&lt;=" &amp; Планирование[[#This Row],[Конец (факт, прогноз)]]
    ),
    0
)</f>
        <v>0</v>
      </c>
      <c r="AG134" s="914">
        <f ca="1">IFERROR(
    SUMIFS(
        Хронология[Часы],
        Хронология[Результат], "НПВ: нет в ГГД",
        Хронология[Начало], "&gt;=" &amp; Планирование[[#This Row],[Конец (факт, прогноз)]],
        Хронология[Окончание], "&lt;=" &amp; Y85
    ),
    0
)</f>
        <v>0</v>
      </c>
      <c r="AH134" s="919">
        <f ca="1">ROUND(IF(Планирование[[#This Row],[Часы (факт)]]-Планирование[[#This Row],[НПВ за операцию, часы]]-Планирование[[#This Row],[Часы (план)]] &lt;0, 0, Планирование[[#This Row],[Часы (факт)]]-Планирование[[#This Row],[НПВ за операцию, часы]]-Планирование[[#This Row],[Часы (план)]]), 2)</f>
        <v>0</v>
      </c>
      <c r="AI134" s="918" t="s">
        <v>1060</v>
      </c>
      <c r="AJ134" s="924">
        <f ca="1">Планирование[[#This Row],[Конец (план)]]-Планирование[[#This Row],[Конец (факт, прогноз)]]</f>
        <v>7.3187499999912689</v>
      </c>
    </row>
    <row r="135" spans="1:36" s="915" customFormat="1" ht="30" customHeight="1">
      <c r="A135" s="909" t="s">
        <v>1154</v>
      </c>
      <c r="B135" s="910" t="s">
        <v>266</v>
      </c>
      <c r="C135" s="911"/>
      <c r="D135" s="911" t="s">
        <v>59</v>
      </c>
      <c r="E135" s="911" t="s">
        <v>58</v>
      </c>
      <c r="F135" s="911"/>
      <c r="G135" s="911" t="s">
        <v>78</v>
      </c>
      <c r="H135" s="911" t="s">
        <v>1155</v>
      </c>
      <c r="I135" s="911" t="s">
        <v>167</v>
      </c>
      <c r="J135" s="911" t="s">
        <v>4</v>
      </c>
      <c r="K135" s="911"/>
      <c r="L135" s="911" t="str">
        <f>IF(Планирование[[#This Row],[Контекст простоя]]="Штатно", Планирование[[#This Row],[Скважина]] &amp; " " &amp; "ОК–" &amp;Планирование[[#This Row],[ОК]] &amp; " "  &amp; Планирование[[#This Row],[Этап]] &amp; " " &amp; Планирование[[#This Row],[Вид работ]] &amp; " " &amp; Планирование[[#This Row],[Объект работ]] &amp; " " &amp; Планирование[[#This Row],[Рейс]], Планирование[[#This Row],[Скважина]] &amp; " " &amp; "ОК–" &amp;Планирование[[#This Row],[ОК]] &amp; " " &amp; Планирование[[#This Row],[Этап]] &amp; " " &amp; Планирование[[#This Row],[Контекст простоя]] &amp; " " &amp; Планирование[[#This Row],[Событие]] &amp; " " &amp; Планирование[[#This Row],[Вид работ]] &amp; " " &amp; Планирование[[#This Row],[Объект работ]] &amp; " " &amp; Планирование[[#This Row],[Рейс]])</f>
        <v xml:space="preserve">600 ОК– ПР Сдача Скважина </v>
      </c>
      <c r="M135" s="912">
        <f ca="1">IF(Планирование[[#This Row],[Скважина]]&lt;&gt;B134,Планирование[[#This Row],[Начало (факт)]],N134)</f>
        <v>46182.353749999922</v>
      </c>
      <c r="N135" s="913">
        <f ca="1">Планирование[[#This Row],[Начало (цель)]]+Планирование[[#This Row],[Сутки (цель)]]</f>
        <v>46182.353749999922</v>
      </c>
      <c r="O135" s="914">
        <v>0</v>
      </c>
      <c r="Q135" s="916">
        <f>Планирование[[#This Row],[Часы (цель)]]/24</f>
        <v>0</v>
      </c>
      <c r="R135" s="916">
        <f>R134+Планирование[[#This Row],[Сутки (цель)]]</f>
        <v>7.4962500000000016</v>
      </c>
      <c r="S135" s="917">
        <f ca="1">Планирование[[#This Row],[Начало (цель)]]</f>
        <v>46182.353749999922</v>
      </c>
      <c r="T135" s="913">
        <f ca="1">Планирование[[#This Row],[Начало (план)]]+Планирование[[#This Row],[Сутки (план)]]</f>
        <v>46182.353749999922</v>
      </c>
      <c r="U135" s="914">
        <f>Планирование[[#This Row],[Часы (цель)]]</f>
        <v>0</v>
      </c>
      <c r="V135" s="918">
        <f>Планирование[[#This Row],[Забой, м (цель)]]</f>
        <v>0</v>
      </c>
      <c r="W135" s="916">
        <f>Планирование[[#This Row],[Часы (план)]]/24</f>
        <v>0</v>
      </c>
      <c r="X135" s="919">
        <f>X134+Планирование[[#This Row],[Сутки (план)]]</f>
        <v>7.4962500000000016</v>
      </c>
      <c r="Y135" s="912">
        <f t="array" aca="1" ref="Y135" ca="1">IFERROR(
    INDEX(Хронология[Начало], MATCH(1, (Хронология[Ключ]=Планирование[[#This Row],[Ключ]]) * (Хронология[Подытог за операцию]=MIN(IF(Хронология[Ключ]=Планирование[[#This Row],[Ключ]], Хронология[Подытог за операцию]))), 0)),
    Z83
)</f>
        <v>46174.857499999933</v>
      </c>
      <c r="Z135" s="920">
        <f t="array" aca="1" ref="Z135" ca="1">MAX(IFERROR(
    INDEX(Хронология[Окончание], MATCH(1, (Хронология[Ключ]=Планирование[[#This Row],[Ключ]]) * (Хронология[Подытог за операцию]=MAX(IF(Хронология[Ключ]=Планирование[[#This Row],[Ключ]], Хронология[Подытог за операцию]))), 0)),
    Y84+AC84
), Планирование[[#This Row],[Начало (факт)]]+Планирование[[#This Row],[Сутки (факт)]])</f>
        <v>46175.034999999931</v>
      </c>
      <c r="AA135" s="921">
        <f ca="1">IF(AND(Планирование[[#This Row],[Начало (факт)]]=Y136,Планирование[[#This Row],[Забой, м (факт)]]=AE136),0,Планирование[[#This Row],[Конец (факт, прогноз)]]-Планирование[[#This Row],[Начало (факт)]])</f>
        <v>0.17749999999796273</v>
      </c>
      <c r="AB135" s="921">
        <f ca="1">Планирование[[#This Row],[Часы (факт)]]-Планирование[[#This Row],[НПВ за операцию, часы]]-Планирование[[#This Row],[ПНВ, часы]]</f>
        <v>-2.5000000020372615E-3</v>
      </c>
      <c r="AC135" s="922">
        <f t="array" aca="1" ref="AC135" ca="1">IFERROR(
  IF(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окончены",
    MAX(IF(Хронология[Ключ]=Планирование[[#This Row],[Ключ]], Хронология[Подытог за операцию])),
    IF(
      Планирование[[#This Row],[Событие]]="Мех. бурение",
      (MAX(Хронология[Окончание]) - Планирование[[#This Row],[Начало (факт)]]) +
      (Планирование[[#This Row],[Забой, м (план)]] - Планирование[[#This Row],[Забой, м (факт)]]) /
      ((Планирование[[#This Row],[Забой, м (план)]] - V83)/Планирование[[#This Row],[Сутки (план)]]),
      IF(
        AND(
          INDEX(Хронология[Статус],
            MATCH(1, (Хронология[Ключ]=Планирование[[#This Row],[Ключ]])*
                            (Хронология[Подытог за операцию]=
                              MAX(IF(Хронология[Ключ]=Планирование[[#This Row],[Ключ]],
                                        Хронология[Подытог за операцию]))), 0)
          )="Работы продолжаются",
          Планирование[[#This Row],[Начало (факт)]]&gt;0
        ),
        (TODAY()-Планирование[[#This Row],[Начало (факт)]]),
        IF(
          AND(Планирование[[#This Row],[Начало (факт)]]=0,
            Планирование[[#This Row],[Начало (план)]] &gt; MAX(Хронология[Начало])),
          Планирование[[#This Row],[Сутки (план)]],
          IF(
            AND((TODAY()-Планирование[[#This Row],[Начало (план)]])&gt;1,
              ISERR(MATCH(Планирование[[#This Row],[Ключ]], Хронология[Ключ], 0))),
            0,
            Планирование[[#This Row],[Сутки (план)]]
          )
        )
      )
    )
  ),
  Планирование[[#This Row],[Сутки (план)]]
)</f>
        <v>0</v>
      </c>
      <c r="AD135" s="922">
        <f ca="1">Планирование[[#This Row],[Сутки (факт)]]</f>
        <v>0</v>
      </c>
      <c r="AE135" s="923">
        <f t="array" ref="AE135">MAX(IF(Хронология[Ключ]=Планирование[[#This Row],[Ключ]], Хронология[Забой, м]))</f>
        <v>0</v>
      </c>
      <c r="AF135" s="914">
        <f ca="1">IFERROR(
    SUMIFS(
        Хронология[Часы],
        Хронология[Результат], "НПВ: нет в ГГД",
        Хронология[Начало], "&gt;=" &amp; Планирование[[#This Row],[Начало (факт)]],
        Хронология[Окончание], "&lt;=" &amp; Планирование[[#This Row],[Конец (факт, прогноз)]]
    ),
    0
)</f>
        <v>0</v>
      </c>
      <c r="AG135" s="914">
        <f ca="1">IFERROR(
    SUMIFS(
        Хронология[Часы],
        Хронология[Результат], "НПВ: нет в ГГД",
        Хронология[Начало], "&gt;=" &amp; Планирование[[#This Row],[Конец (факт, прогноз)]],
        Хронология[Окончание], "&lt;=" &amp; Y85
    ),
    0
)</f>
        <v>0</v>
      </c>
      <c r="AH135" s="919">
        <f ca="1">ROUND(IF(Планирование[[#This Row],[Часы (факт)]]-Планирование[[#This Row],[НПВ за операцию, часы]]-Планирование[[#This Row],[Часы (план)]] &lt;0, 0, Планирование[[#This Row],[Часы (факт)]]-Планирование[[#This Row],[НПВ за операцию, часы]]-Планирование[[#This Row],[Часы (план)]]), 2)</f>
        <v>0.18</v>
      </c>
      <c r="AI135" s="918" t="s">
        <v>1060</v>
      </c>
      <c r="AJ135" s="924">
        <f ca="1">Планирование[[#This Row],[Конец (план)]]-Планирование[[#This Row],[Конец (факт, прогноз)]]</f>
        <v>7.3187499999912689</v>
      </c>
    </row>
    <row r="136" spans="1:36" ht="30" customHeight="1">
      <c r="Z136" s="500"/>
    </row>
    <row r="137" spans="1:36" ht="30" customHeight="1">
      <c r="Z137" s="500"/>
    </row>
    <row r="138" spans="1:36" ht="30" customHeight="1">
      <c r="Z138" s="500"/>
    </row>
    <row r="139" spans="1:36" ht="30" customHeight="1">
      <c r="Z139" s="500"/>
    </row>
    <row r="140" spans="1:36" ht="30" customHeight="1">
      <c r="Z140" s="500"/>
    </row>
    <row r="141" spans="1:36" ht="30" customHeight="1">
      <c r="Z141" s="500"/>
    </row>
    <row r="142" spans="1:36" ht="30" customHeight="1">
      <c r="Z142" s="500"/>
    </row>
    <row r="143" spans="1:36" ht="30" customHeight="1">
      <c r="Z143" s="500"/>
    </row>
    <row r="144" spans="1:36" ht="30" customHeight="1">
      <c r="Z144" s="500"/>
    </row>
    <row r="145" spans="26:26" ht="30" customHeight="1">
      <c r="Z145" s="500"/>
    </row>
    <row r="146" spans="26:26" ht="30" customHeight="1">
      <c r="Z146" s="500"/>
    </row>
    <row r="147" spans="26:26" ht="30" customHeight="1">
      <c r="Z147" s="500"/>
    </row>
    <row r="148" spans="26:26" ht="30" customHeight="1">
      <c r="Z148" s="500"/>
    </row>
    <row r="149" spans="26:26" ht="30" customHeight="1">
      <c r="Z149" s="500"/>
    </row>
    <row r="150" spans="26:26" ht="30" customHeight="1">
      <c r="Z150" s="500"/>
    </row>
    <row r="151" spans="26:26" ht="30" customHeight="1">
      <c r="Z151" s="500"/>
    </row>
    <row r="152" spans="26:26" ht="30" customHeight="1">
      <c r="Z152" s="500"/>
    </row>
    <row r="153" spans="26:26" ht="30" customHeight="1">
      <c r="Z153" s="500"/>
    </row>
    <row r="154" spans="26:26" ht="30" customHeight="1">
      <c r="Z154" s="500"/>
    </row>
    <row r="155" spans="26:26" ht="30" customHeight="1">
      <c r="Z155" s="500"/>
    </row>
    <row r="156" spans="26:26" ht="30" customHeight="1">
      <c r="Z156" s="500"/>
    </row>
    <row r="157" spans="26:26" ht="30" customHeight="1">
      <c r="Z157" s="500"/>
    </row>
    <row r="158" spans="26:26" ht="30" customHeight="1">
      <c r="Z158" s="500"/>
    </row>
    <row r="159" spans="26:26" ht="30" customHeight="1">
      <c r="Z159" s="500"/>
    </row>
    <row r="160" spans="26:26" ht="30" customHeight="1">
      <c r="Z160" s="500"/>
    </row>
    <row r="161" spans="26:26" ht="30" customHeight="1">
      <c r="Z161" s="500"/>
    </row>
    <row r="162" spans="26:26" ht="30" customHeight="1">
      <c r="Z162" s="500"/>
    </row>
    <row r="163" spans="26:26" ht="30" customHeight="1">
      <c r="Z163" s="500"/>
    </row>
    <row r="164" spans="26:26" ht="30" customHeight="1">
      <c r="Z164" s="500"/>
    </row>
    <row r="165" spans="26:26" ht="30" customHeight="1">
      <c r="Z165" s="500"/>
    </row>
  </sheetData>
  <mergeCells count="11">
    <mergeCell ref="S3:T3"/>
    <mergeCell ref="X3:Y3"/>
    <mergeCell ref="M11:R11"/>
    <mergeCell ref="S11:X11"/>
    <mergeCell ref="Y11:AE11"/>
    <mergeCell ref="S6:U6"/>
    <mergeCell ref="S7:U7"/>
    <mergeCell ref="S5:U5"/>
    <mergeCell ref="S4:U4"/>
    <mergeCell ref="S9:U9"/>
    <mergeCell ref="S8:U8"/>
  </mergeCells>
  <dataValidations count="6">
    <dataValidation type="list" allowBlank="1" showInputMessage="1" showErrorMessage="1" sqref="X89:X90" xr:uid="{00000000-0002-0000-0700-000000000000}">
      <formula1>INDIRECT($W89)</formula1>
    </dataValidation>
    <dataValidation type="list" allowBlank="1" showInputMessage="1" showErrorMessage="1" sqref="W89:W90" xr:uid="{00000000-0002-0000-0700-000001000000}">
      <formula1>#REF!</formula1>
    </dataValidation>
    <dataValidation type="list" allowBlank="1" showInputMessage="1" showErrorMessage="1" sqref="F13:F84" xr:uid="{00000000-0002-0000-0700-000002000000}">
      <formula1>INDIRECT($E13)</formula1>
    </dataValidation>
    <dataValidation type="list" allowBlank="1" showInputMessage="1" showErrorMessage="1" sqref="H13:H84" xr:uid="{00000000-0002-0000-0700-000003000000}">
      <formula1>INDIRECT($G13)</formula1>
    </dataValidation>
    <dataValidation type="whole" allowBlank="1" showInputMessage="1" showErrorMessage="1" sqref="K13:K1048576" xr:uid="{00000000-0002-0000-0700-000004000000}">
      <formula1>0</formula1>
      <formula2>100</formula2>
    </dataValidation>
    <dataValidation type="list" allowBlank="1" showInputMessage="1" showErrorMessage="1" sqref="J13:J1048576" xr:uid="{00000000-0002-0000-0700-000005000000}">
      <formula1>INDIRECT(I13)</formula1>
    </dataValidation>
  </dataValidations>
  <pageMargins left="0.70866141732283472" right="0.70866141732283472" top="0.74803149606299213" bottom="0.74803149606299213" header="0.31496062992125978" footer="0.31496062992125978"/>
  <pageSetup paperSize="8" scale="11" orientation="portrait"/>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8"/>
    <pageSetUpPr fitToPage="1"/>
  </sheetPr>
  <dimension ref="A1:AI78"/>
  <sheetViews>
    <sheetView view="pageBreakPreview" topLeftCell="BD26" zoomScale="125" zoomScaleNormal="100" zoomScaleSheetLayoutView="100" zoomScalePageLayoutView="84" workbookViewId="0">
      <selection activeCell="BY35" sqref="BY35"/>
    </sheetView>
  </sheetViews>
  <sheetFormatPr defaultColWidth="5.69140625" defaultRowHeight="15.5"/>
  <sheetData>
    <row r="1" spans="1:35" ht="40" customHeight="1">
      <c r="A1" s="832" t="s">
        <v>1156</v>
      </c>
      <c r="B1" s="794"/>
      <c r="C1" s="794"/>
      <c r="D1" s="794"/>
      <c r="E1" s="794"/>
      <c r="F1" s="794"/>
      <c r="G1" s="794"/>
      <c r="H1" s="794"/>
      <c r="I1" s="794"/>
      <c r="J1" s="794"/>
      <c r="K1" s="794"/>
      <c r="L1" s="794"/>
      <c r="M1" s="794"/>
      <c r="N1" s="794"/>
      <c r="O1" s="794"/>
      <c r="P1" s="794"/>
      <c r="Q1" s="794"/>
      <c r="R1" s="794"/>
      <c r="S1" s="794"/>
      <c r="T1" s="794"/>
      <c r="U1" s="794"/>
      <c r="V1" s="794"/>
      <c r="W1" s="794"/>
      <c r="X1" s="794"/>
      <c r="Y1" s="794"/>
      <c r="Z1" s="794"/>
      <c r="AA1" s="794"/>
      <c r="AB1" s="794"/>
      <c r="AC1" s="794"/>
      <c r="AD1" s="794"/>
      <c r="AE1" s="794"/>
      <c r="AF1" s="794"/>
      <c r="AG1" s="794"/>
      <c r="AH1" s="794"/>
      <c r="AI1" s="794"/>
    </row>
    <row r="2" spans="1:35" ht="40" customHeight="1">
      <c r="A2" s="529"/>
      <c r="B2" s="529"/>
      <c r="C2" s="529"/>
      <c r="D2" s="529"/>
      <c r="E2" s="529"/>
      <c r="F2" s="529"/>
      <c r="G2" s="529"/>
      <c r="H2" s="529"/>
      <c r="I2" s="529"/>
      <c r="J2" s="529"/>
      <c r="K2" s="832"/>
      <c r="L2" s="794"/>
      <c r="M2" s="794"/>
      <c r="N2" s="794"/>
      <c r="O2" s="794"/>
      <c r="P2" s="794"/>
      <c r="Q2" s="794"/>
      <c r="R2" s="794"/>
      <c r="S2" s="794"/>
      <c r="T2" s="794"/>
      <c r="U2" s="794"/>
      <c r="V2" s="794"/>
      <c r="W2" s="794"/>
      <c r="X2" s="794"/>
      <c r="Y2" s="794"/>
      <c r="Z2" s="529"/>
      <c r="AA2" s="529"/>
      <c r="AB2" s="529"/>
      <c r="AC2" s="529"/>
      <c r="AD2" s="529"/>
      <c r="AE2" s="529"/>
      <c r="AF2" s="529"/>
      <c r="AG2" s="529"/>
      <c r="AH2" s="529"/>
      <c r="AI2" s="529"/>
    </row>
    <row r="3" spans="1:35" ht="40" customHeight="1">
      <c r="A3" s="529"/>
      <c r="B3" s="529"/>
      <c r="C3" s="529"/>
      <c r="D3" s="529"/>
      <c r="E3" s="529"/>
      <c r="F3" s="529"/>
      <c r="G3" s="529"/>
      <c r="H3" s="529"/>
      <c r="I3" s="529"/>
      <c r="J3" s="529"/>
      <c r="K3" s="529"/>
      <c r="L3" s="529"/>
      <c r="M3" s="529"/>
      <c r="O3" s="529"/>
      <c r="P3" s="529"/>
      <c r="Q3" s="529"/>
      <c r="R3" s="529"/>
      <c r="S3" s="529"/>
      <c r="T3" s="529"/>
      <c r="U3" s="529"/>
      <c r="V3" s="529"/>
      <c r="W3" s="529"/>
    </row>
    <row r="4" spans="1:35" ht="40" customHeight="1">
      <c r="A4" s="529"/>
      <c r="B4" s="529"/>
      <c r="C4" s="529"/>
      <c r="D4" s="529"/>
      <c r="E4" s="529"/>
      <c r="F4" s="529"/>
      <c r="G4" s="529"/>
      <c r="H4" s="529"/>
      <c r="I4" s="529"/>
      <c r="J4" s="529"/>
      <c r="K4" s="529"/>
      <c r="L4" s="529"/>
      <c r="M4" s="529"/>
      <c r="O4" s="529"/>
      <c r="P4" s="529"/>
      <c r="Q4" s="529"/>
      <c r="R4" s="529"/>
      <c r="S4" s="529"/>
      <c r="T4" s="529"/>
      <c r="U4" s="529"/>
      <c r="V4" s="529"/>
      <c r="W4" s="529"/>
    </row>
    <row r="5" spans="1:35" ht="40" customHeight="1">
      <c r="A5" s="530"/>
    </row>
    <row r="6" spans="1:35" ht="40" customHeight="1"/>
    <row r="7" spans="1:35" ht="40" customHeight="1"/>
    <row r="8" spans="1:35" ht="40" customHeight="1"/>
    <row r="9" spans="1:35" ht="40" customHeight="1"/>
    <row r="10" spans="1:35" ht="40" customHeight="1"/>
    <row r="11" spans="1:35" ht="40" customHeight="1">
      <c r="N11" s="529"/>
    </row>
    <row r="12" spans="1:35" ht="40" customHeight="1">
      <c r="N12" s="529"/>
    </row>
    <row r="13" spans="1:35" ht="40" customHeight="1"/>
    <row r="14" spans="1:35" ht="40" customHeight="1"/>
    <row r="15" spans="1:35" ht="40" customHeight="1"/>
    <row r="16" spans="1:35" ht="40" customHeight="1"/>
    <row r="17" spans="1:35" ht="40" customHeight="1"/>
    <row r="18" spans="1:35" ht="40" customHeight="1"/>
    <row r="19" spans="1:35" ht="40" customHeight="1">
      <c r="N19" s="529"/>
    </row>
    <row r="20" spans="1:35" ht="40" customHeight="1">
      <c r="N20" s="529"/>
    </row>
    <row r="21" spans="1:35" ht="40" customHeight="1"/>
    <row r="22" spans="1:35" ht="40" customHeight="1"/>
    <row r="23" spans="1:35" ht="40" customHeight="1"/>
    <row r="24" spans="1:35" ht="40" customHeight="1"/>
    <row r="25" spans="1:35" ht="40" customHeight="1"/>
    <row r="26" spans="1:35" ht="39" customHeight="1">
      <c r="A26" s="529"/>
      <c r="B26" s="529"/>
      <c r="C26" s="529"/>
      <c r="D26" s="529"/>
      <c r="E26" s="529"/>
      <c r="F26" s="529"/>
      <c r="G26" s="529"/>
      <c r="H26" s="529"/>
      <c r="I26" s="529"/>
      <c r="J26" s="529"/>
      <c r="K26" s="529"/>
      <c r="L26" s="529"/>
      <c r="M26" s="529"/>
      <c r="N26" s="529"/>
      <c r="O26" s="529"/>
      <c r="P26" s="529"/>
      <c r="Q26" s="529"/>
      <c r="R26" s="529"/>
      <c r="S26" s="529"/>
      <c r="T26" s="529"/>
      <c r="U26" s="529"/>
      <c r="V26" s="529"/>
      <c r="W26" s="529"/>
      <c r="X26" s="529"/>
      <c r="Y26" s="529"/>
      <c r="Z26" s="529"/>
      <c r="AA26" s="529"/>
      <c r="AB26" s="529"/>
      <c r="AC26" s="529"/>
      <c r="AD26" s="529"/>
      <c r="AE26" s="529"/>
      <c r="AF26" s="529"/>
      <c r="AG26" s="529"/>
      <c r="AH26" s="529"/>
      <c r="AI26" s="529"/>
    </row>
    <row r="27" spans="1:35" ht="39" customHeight="1">
      <c r="A27" s="529"/>
      <c r="B27" s="529"/>
      <c r="C27" s="529"/>
      <c r="D27" s="529"/>
      <c r="E27" s="529"/>
      <c r="F27" s="529"/>
      <c r="G27" s="529"/>
      <c r="H27" s="529"/>
      <c r="I27" s="529"/>
      <c r="J27" s="529"/>
      <c r="K27" s="529"/>
      <c r="L27" s="529"/>
      <c r="M27" s="529"/>
      <c r="O27" s="529"/>
      <c r="P27" s="529"/>
      <c r="Q27" s="529"/>
      <c r="R27" s="529"/>
      <c r="S27" s="529"/>
      <c r="T27" s="529"/>
      <c r="U27" s="529"/>
      <c r="V27" s="529"/>
      <c r="W27" s="529"/>
    </row>
    <row r="28" spans="1:35" ht="39" customHeight="1">
      <c r="A28" s="529"/>
      <c r="B28" s="529"/>
      <c r="C28" s="529"/>
      <c r="D28" s="529"/>
      <c r="E28" s="529"/>
      <c r="F28" s="529"/>
      <c r="G28" s="529"/>
      <c r="H28" s="529"/>
      <c r="I28" s="529"/>
      <c r="J28" s="529"/>
      <c r="K28" s="529"/>
      <c r="L28" s="529"/>
      <c r="M28" s="529"/>
      <c r="O28" s="529"/>
      <c r="P28" s="529"/>
      <c r="Q28" s="529"/>
      <c r="R28" s="529"/>
      <c r="S28" s="529"/>
      <c r="T28" s="529"/>
      <c r="U28" s="529"/>
      <c r="V28" s="529"/>
      <c r="W28" s="529"/>
    </row>
    <row r="29" spans="1:35" ht="39" customHeight="1">
      <c r="A29" s="530"/>
    </row>
    <row r="30" spans="1:35" ht="39" customHeight="1"/>
    <row r="31" spans="1:35" ht="39" customHeight="1"/>
    <row r="32" spans="1:35" ht="39" customHeight="1"/>
    <row r="33" spans="14:14" ht="39" customHeight="1"/>
    <row r="34" spans="14:14" ht="39" customHeight="1"/>
    <row r="35" spans="14:14" ht="39" customHeight="1">
      <c r="N35" s="529"/>
    </row>
    <row r="36" spans="14:14" ht="39" customHeight="1">
      <c r="N36" s="529"/>
    </row>
    <row r="37" spans="14:14" ht="39" customHeight="1"/>
    <row r="38" spans="14:14" ht="39" customHeight="1"/>
    <row r="39" spans="14:14" ht="39" customHeight="1"/>
    <row r="40" spans="14:14" ht="39" customHeight="1"/>
    <row r="41" spans="14:14" ht="39" customHeight="1"/>
    <row r="42" spans="14:14" ht="39" customHeight="1"/>
    <row r="43" spans="14:14" ht="39" customHeight="1">
      <c r="N43" s="529"/>
    </row>
    <row r="44" spans="14:14" ht="39" customHeight="1">
      <c r="N44" s="529"/>
    </row>
    <row r="45" spans="14:14" ht="39" customHeight="1"/>
    <row r="46" spans="14:14" ht="39" customHeight="1"/>
    <row r="47" spans="14:14" ht="39" customHeight="1"/>
    <row r="48" spans="14:14" ht="39" customHeight="1"/>
    <row r="49" ht="39" customHeight="1"/>
    <row r="50" ht="39" customHeight="1"/>
    <row r="51" ht="39" customHeight="1"/>
    <row r="52" ht="39" customHeight="1"/>
    <row r="53" ht="39" customHeight="1"/>
    <row r="54" ht="39" customHeight="1"/>
    <row r="55" ht="39" customHeight="1"/>
    <row r="56" ht="39" customHeight="1"/>
    <row r="57" ht="39" customHeight="1"/>
    <row r="58" ht="39" customHeight="1"/>
    <row r="59" ht="39" customHeight="1"/>
    <row r="60" ht="39" customHeight="1"/>
    <row r="61" ht="39" customHeight="1"/>
    <row r="62" ht="39" customHeight="1"/>
    <row r="63" ht="39" customHeight="1"/>
    <row r="64" ht="39" customHeight="1"/>
    <row r="65" ht="39" customHeight="1"/>
    <row r="66" ht="39" customHeight="1"/>
    <row r="67" ht="39" customHeight="1"/>
    <row r="68" ht="39" customHeight="1"/>
    <row r="69" ht="39" customHeight="1"/>
    <row r="70" ht="39" customHeight="1"/>
    <row r="71" ht="39" customHeight="1"/>
    <row r="72" ht="39" customHeight="1"/>
    <row r="73" ht="39" customHeight="1"/>
    <row r="74" ht="39" customHeight="1"/>
    <row r="75" ht="39" customHeight="1"/>
    <row r="76" ht="39" customHeight="1"/>
    <row r="77" ht="39" customHeight="1"/>
    <row r="78" ht="39" customHeight="1"/>
  </sheetData>
  <mergeCells count="2">
    <mergeCell ref="A1:AI1"/>
    <mergeCell ref="K2:Y2"/>
  </mergeCells>
  <printOptions horizontalCentered="1" verticalCentered="1"/>
  <pageMargins left="0.23622047244094491" right="0.23622047244094491" top="0.23622047244094491" bottom="0.23622047244094491" header="0" footer="0"/>
  <pageSetup paperSize="8" scale="60"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5"/>
    <pageSetUpPr fitToPage="1"/>
  </sheetPr>
  <dimension ref="A1:L68"/>
  <sheetViews>
    <sheetView view="pageBreakPreview" topLeftCell="A7" zoomScaleNormal="75" zoomScaleSheetLayoutView="100" workbookViewId="0">
      <selection activeCell="F40" sqref="F40:K40"/>
    </sheetView>
  </sheetViews>
  <sheetFormatPr defaultColWidth="11.15234375" defaultRowHeight="14"/>
  <cols>
    <col min="1" max="1" width="11.15234375" style="244" customWidth="1"/>
    <col min="2" max="2" width="13.53515625" style="244" customWidth="1"/>
    <col min="3" max="5" width="4.53515625" style="244" customWidth="1"/>
    <col min="6" max="11" width="22.3046875" style="244" customWidth="1"/>
    <col min="12" max="13" width="11.15234375" style="244" customWidth="1"/>
    <col min="14" max="16384" width="11.15234375" style="244"/>
  </cols>
  <sheetData>
    <row r="1" spans="1:11" ht="22" customHeight="1" thickBot="1">
      <c r="A1" s="891" t="s">
        <v>1157</v>
      </c>
      <c r="B1" s="821"/>
      <c r="C1" s="821"/>
      <c r="D1" s="821"/>
      <c r="E1" s="821"/>
      <c r="F1" s="821"/>
      <c r="G1" s="821"/>
      <c r="H1" s="821"/>
      <c r="I1" s="821"/>
      <c r="J1" s="821"/>
      <c r="K1" s="821"/>
    </row>
    <row r="2" spans="1:11" ht="19" customHeight="1" thickBot="1">
      <c r="A2" s="249" t="s">
        <v>973</v>
      </c>
      <c r="B2" s="407" t="s">
        <v>1158</v>
      </c>
      <c r="C2" s="844" t="s">
        <v>1159</v>
      </c>
      <c r="D2" s="836"/>
      <c r="E2" s="844" t="s">
        <v>2</v>
      </c>
      <c r="F2" s="835"/>
      <c r="G2" s="836"/>
      <c r="H2" s="844" t="s">
        <v>3</v>
      </c>
      <c r="I2" s="835"/>
      <c r="J2" s="836"/>
      <c r="K2" s="407" t="s">
        <v>4</v>
      </c>
    </row>
    <row r="3" spans="1:11" ht="17" customHeight="1" thickBot="1">
      <c r="A3" s="250">
        <v>46083</v>
      </c>
      <c r="B3" s="408" t="s">
        <v>1160</v>
      </c>
      <c r="C3" s="857" t="s">
        <v>1161</v>
      </c>
      <c r="D3" s="836"/>
      <c r="E3" s="903" t="s">
        <v>52</v>
      </c>
      <c r="F3" s="835"/>
      <c r="G3" s="836"/>
      <c r="H3" s="857">
        <v>26</v>
      </c>
      <c r="I3" s="835"/>
      <c r="J3" s="836"/>
      <c r="K3" s="408">
        <v>430</v>
      </c>
    </row>
    <row r="4" spans="1:11" ht="19.5" customHeight="1" thickBot="1">
      <c r="A4" s="844" t="str">
        <f>"Задание на рабочую смену № 87"</f>
        <v>Задание на рабочую смену № 87</v>
      </c>
      <c r="B4" s="835"/>
      <c r="C4" s="835"/>
      <c r="D4" s="835"/>
      <c r="E4" s="835"/>
      <c r="F4" s="835"/>
      <c r="G4" s="835"/>
      <c r="H4" s="835"/>
      <c r="I4" s="835"/>
      <c r="J4" s="835"/>
      <c r="K4" s="836"/>
    </row>
    <row r="5" spans="1:11" ht="17" customHeight="1" thickBot="1">
      <c r="A5" s="857" t="s">
        <v>1162</v>
      </c>
      <c r="B5" s="835"/>
      <c r="C5" s="835"/>
      <c r="D5" s="835"/>
      <c r="E5" s="835"/>
      <c r="F5" s="835"/>
      <c r="G5" s="835"/>
      <c r="H5" s="835"/>
      <c r="I5" s="835"/>
      <c r="J5" s="835"/>
      <c r="K5" s="836"/>
    </row>
    <row r="6" spans="1:11" ht="15" customHeight="1" thickBot="1">
      <c r="A6" s="895" t="s">
        <v>910</v>
      </c>
      <c r="B6" s="825"/>
      <c r="C6" s="895" t="s">
        <v>1163</v>
      </c>
      <c r="D6" s="823"/>
      <c r="E6" s="825"/>
      <c r="F6" s="889" t="s">
        <v>702</v>
      </c>
      <c r="G6" s="823"/>
      <c r="H6" s="823"/>
      <c r="I6" s="823"/>
      <c r="J6" s="823"/>
      <c r="K6" s="825"/>
    </row>
    <row r="7" spans="1:11" ht="15" customHeight="1" thickBot="1">
      <c r="A7" s="850" t="s">
        <v>1164</v>
      </c>
      <c r="B7" s="838"/>
      <c r="C7" s="858" t="s">
        <v>1165</v>
      </c>
      <c r="D7" s="859"/>
      <c r="E7" s="859"/>
      <c r="F7" s="898" t="s">
        <v>685</v>
      </c>
      <c r="G7" s="821"/>
      <c r="H7" s="821"/>
      <c r="I7" s="821"/>
      <c r="J7" s="821"/>
      <c r="K7" s="838"/>
    </row>
    <row r="8" spans="1:11" ht="15.75" customHeight="1" thickBot="1">
      <c r="A8" s="839" t="s">
        <v>1166</v>
      </c>
      <c r="B8" s="836"/>
      <c r="C8" s="884" t="s">
        <v>1167</v>
      </c>
      <c r="D8" s="849"/>
      <c r="E8" s="849"/>
      <c r="F8" s="849"/>
      <c r="G8" s="849"/>
      <c r="H8" s="849"/>
      <c r="I8" s="849"/>
      <c r="J8" s="849"/>
      <c r="K8" s="849"/>
    </row>
    <row r="9" spans="1:11" ht="15.75" customHeight="1" thickBot="1">
      <c r="A9" s="839" t="s">
        <v>1168</v>
      </c>
      <c r="B9" s="836"/>
      <c r="C9" s="846">
        <v>3510</v>
      </c>
      <c r="D9" s="849"/>
      <c r="E9" s="847"/>
      <c r="F9" s="839" t="s">
        <v>1169</v>
      </c>
      <c r="G9" s="835"/>
      <c r="H9" s="835"/>
      <c r="I9" s="836"/>
      <c r="J9" s="846">
        <v>3591</v>
      </c>
      <c r="K9" s="847"/>
    </row>
    <row r="10" spans="1:11" ht="15" customHeight="1" thickBot="1">
      <c r="A10" s="839" t="s">
        <v>1170</v>
      </c>
      <c r="B10" s="835"/>
      <c r="C10" s="835"/>
      <c r="D10" s="835"/>
      <c r="E10" s="836"/>
      <c r="F10" s="896">
        <f>J9-C9</f>
        <v>81</v>
      </c>
      <c r="G10" s="859"/>
      <c r="H10" s="859"/>
      <c r="I10" s="859"/>
      <c r="J10" s="859"/>
      <c r="K10" s="861"/>
    </row>
    <row r="11" spans="1:11" ht="249.75" customHeight="1">
      <c r="A11" s="894" t="s">
        <v>1171</v>
      </c>
      <c r="B11" s="823"/>
      <c r="C11" s="823"/>
      <c r="D11" s="823"/>
      <c r="E11" s="825"/>
      <c r="F11" s="876" t="s">
        <v>1172</v>
      </c>
      <c r="G11" s="797"/>
      <c r="H11" s="797"/>
      <c r="I11" s="797"/>
      <c r="J11" s="797"/>
      <c r="K11" s="877"/>
    </row>
    <row r="12" spans="1:11" ht="249.75" customHeight="1" thickBot="1">
      <c r="A12" s="852"/>
      <c r="B12" s="853"/>
      <c r="C12" s="853"/>
      <c r="D12" s="853"/>
      <c r="E12" s="854"/>
      <c r="F12" s="878"/>
      <c r="G12" s="804"/>
      <c r="H12" s="804"/>
      <c r="I12" s="804"/>
      <c r="J12" s="804"/>
      <c r="K12" s="879"/>
    </row>
    <row r="13" spans="1:11" ht="15" customHeight="1">
      <c r="A13" s="894" t="s">
        <v>1173</v>
      </c>
      <c r="B13" s="823"/>
      <c r="C13" s="823"/>
      <c r="D13" s="823"/>
      <c r="E13" s="825"/>
      <c r="F13" s="906" t="s">
        <v>1174</v>
      </c>
      <c r="G13" s="797"/>
      <c r="H13" s="797"/>
      <c r="I13" s="797"/>
      <c r="J13" s="797"/>
      <c r="K13" s="877"/>
    </row>
    <row r="14" spans="1:11" ht="12.75" customHeight="1" thickBot="1">
      <c r="A14" s="852"/>
      <c r="B14" s="853"/>
      <c r="C14" s="853"/>
      <c r="D14" s="853"/>
      <c r="E14" s="854"/>
      <c r="F14" s="852"/>
      <c r="G14" s="853"/>
      <c r="H14" s="853"/>
      <c r="I14" s="853"/>
      <c r="J14" s="853"/>
      <c r="K14" s="854"/>
    </row>
    <row r="15" spans="1:11" ht="15" customHeight="1" thickBot="1">
      <c r="A15" s="839"/>
      <c r="B15" s="835"/>
      <c r="C15" s="835"/>
      <c r="D15" s="835"/>
      <c r="E15" s="835"/>
      <c r="F15" s="835"/>
      <c r="G15" s="835"/>
      <c r="H15" s="835"/>
      <c r="I15" s="835"/>
      <c r="J15" s="835"/>
      <c r="K15" s="836"/>
    </row>
    <row r="16" spans="1:11" ht="15.75" customHeight="1" thickBot="1">
      <c r="A16" s="885" t="s">
        <v>1175</v>
      </c>
      <c r="B16" s="823"/>
      <c r="C16" s="823"/>
      <c r="D16" s="823"/>
      <c r="E16" s="825"/>
      <c r="F16" s="834" t="s">
        <v>1176</v>
      </c>
      <c r="G16" s="835"/>
      <c r="H16" s="836"/>
      <c r="I16" s="848" t="s">
        <v>1177</v>
      </c>
      <c r="J16" s="849"/>
      <c r="K16" s="847"/>
    </row>
    <row r="17" spans="1:11" ht="15" customHeight="1" thickBot="1">
      <c r="A17" s="886"/>
      <c r="B17" s="841"/>
      <c r="C17" s="841"/>
      <c r="D17" s="841"/>
      <c r="E17" s="887"/>
      <c r="F17" s="834" t="s">
        <v>1178</v>
      </c>
      <c r="G17" s="835"/>
      <c r="H17" s="836"/>
      <c r="I17" s="856" t="s">
        <v>1179</v>
      </c>
      <c r="J17" s="849"/>
      <c r="K17" s="847"/>
    </row>
    <row r="18" spans="1:11" ht="15" customHeight="1" thickBot="1">
      <c r="A18" s="886"/>
      <c r="B18" s="841"/>
      <c r="C18" s="841"/>
      <c r="D18" s="841"/>
      <c r="E18" s="887"/>
      <c r="F18" s="834" t="s">
        <v>1180</v>
      </c>
      <c r="G18" s="835"/>
      <c r="H18" s="836"/>
      <c r="I18" s="848" t="s">
        <v>1181</v>
      </c>
      <c r="J18" s="849"/>
      <c r="K18" s="847"/>
    </row>
    <row r="19" spans="1:11" ht="15" customHeight="1" thickBot="1">
      <c r="A19" s="886"/>
      <c r="B19" s="841"/>
      <c r="C19" s="841"/>
      <c r="D19" s="841"/>
      <c r="E19" s="887"/>
      <c r="F19" s="834" t="s">
        <v>1182</v>
      </c>
      <c r="G19" s="835"/>
      <c r="H19" s="836"/>
      <c r="I19" s="856" t="s">
        <v>1183</v>
      </c>
      <c r="J19" s="849"/>
      <c r="K19" s="847"/>
    </row>
    <row r="20" spans="1:11" ht="15" customHeight="1" thickBot="1">
      <c r="A20" s="852"/>
      <c r="B20" s="853"/>
      <c r="C20" s="853"/>
      <c r="D20" s="853"/>
      <c r="E20" s="854"/>
      <c r="F20" s="834" t="s">
        <v>1184</v>
      </c>
      <c r="G20" s="835"/>
      <c r="H20" s="836"/>
      <c r="I20" s="848" t="s">
        <v>1185</v>
      </c>
      <c r="J20" s="849"/>
      <c r="K20" s="847"/>
    </row>
    <row r="21" spans="1:11" ht="19.5" customHeight="1" thickBot="1">
      <c r="A21" s="839" t="s">
        <v>1186</v>
      </c>
      <c r="B21" s="835"/>
      <c r="C21" s="835"/>
      <c r="D21" s="835"/>
      <c r="E21" s="836"/>
      <c r="F21" s="856" t="s">
        <v>1187</v>
      </c>
      <c r="G21" s="849"/>
      <c r="H21" s="849"/>
      <c r="I21" s="849"/>
      <c r="J21" s="849"/>
      <c r="K21" s="847"/>
    </row>
    <row r="22" spans="1:11" ht="18" customHeight="1" thickBot="1">
      <c r="A22" s="885" t="s">
        <v>1188</v>
      </c>
      <c r="B22" s="823"/>
      <c r="C22" s="823"/>
      <c r="D22" s="823"/>
      <c r="E22" s="825"/>
      <c r="F22" s="839" t="s">
        <v>1189</v>
      </c>
      <c r="G22" s="835"/>
      <c r="H22" s="836"/>
      <c r="I22" s="856">
        <v>3591</v>
      </c>
      <c r="J22" s="849"/>
      <c r="K22" s="847"/>
    </row>
    <row r="23" spans="1:11" ht="15" customHeight="1" thickBot="1">
      <c r="A23" s="886"/>
      <c r="B23" s="841"/>
      <c r="C23" s="841"/>
      <c r="D23" s="841"/>
      <c r="E23" s="887"/>
      <c r="F23" s="839" t="s">
        <v>1190</v>
      </c>
      <c r="G23" s="835"/>
      <c r="H23" s="836"/>
      <c r="I23" s="856">
        <v>200</v>
      </c>
      <c r="J23" s="849"/>
      <c r="K23" s="847"/>
    </row>
    <row r="24" spans="1:11" ht="14.5" customHeight="1" thickBot="1">
      <c r="A24" s="886"/>
      <c r="B24" s="841"/>
      <c r="C24" s="841"/>
      <c r="D24" s="841"/>
      <c r="E24" s="887"/>
      <c r="F24" s="839" t="s">
        <v>1180</v>
      </c>
      <c r="G24" s="835"/>
      <c r="H24" s="836"/>
      <c r="I24" s="848" t="s">
        <v>1191</v>
      </c>
      <c r="J24" s="849"/>
      <c r="K24" s="847"/>
    </row>
    <row r="25" spans="1:11" ht="14.5" customHeight="1" thickBot="1">
      <c r="A25" s="886"/>
      <c r="B25" s="841"/>
      <c r="C25" s="841"/>
      <c r="D25" s="841"/>
      <c r="E25" s="887"/>
      <c r="F25" s="839" t="s">
        <v>1192</v>
      </c>
      <c r="G25" s="835"/>
      <c r="H25" s="836"/>
      <c r="I25" s="856" t="s">
        <v>1179</v>
      </c>
      <c r="J25" s="849"/>
      <c r="K25" s="847"/>
    </row>
    <row r="26" spans="1:11" ht="14.5" customHeight="1" thickBot="1">
      <c r="A26" s="852"/>
      <c r="B26" s="853"/>
      <c r="C26" s="853"/>
      <c r="D26" s="853"/>
      <c r="E26" s="854"/>
      <c r="F26" s="839" t="s">
        <v>1193</v>
      </c>
      <c r="G26" s="835"/>
      <c r="H26" s="836"/>
      <c r="I26" s="856" t="s">
        <v>1194</v>
      </c>
      <c r="J26" s="849"/>
      <c r="K26" s="847"/>
    </row>
    <row r="27" spans="1:11" ht="18.75" customHeight="1" thickBot="1">
      <c r="A27" s="839" t="s">
        <v>1195</v>
      </c>
      <c r="B27" s="835"/>
      <c r="C27" s="835"/>
      <c r="D27" s="835"/>
      <c r="E27" s="836"/>
      <c r="F27" s="856" t="s">
        <v>1196</v>
      </c>
      <c r="G27" s="849"/>
      <c r="H27" s="849"/>
      <c r="I27" s="849"/>
      <c r="J27" s="849"/>
      <c r="K27" s="847"/>
    </row>
    <row r="28" spans="1:11" ht="15.5" customHeight="1">
      <c r="A28" s="875"/>
      <c r="B28" s="823"/>
      <c r="C28" s="823"/>
      <c r="D28" s="823"/>
      <c r="E28" s="823"/>
      <c r="F28" s="823"/>
      <c r="G28" s="823"/>
      <c r="H28" s="823"/>
      <c r="I28" s="823"/>
      <c r="J28" s="823"/>
      <c r="K28" s="825"/>
    </row>
    <row r="29" spans="1:11" ht="15.5" customHeight="1">
      <c r="A29" s="904" t="s">
        <v>1197</v>
      </c>
      <c r="B29" s="867"/>
      <c r="C29" s="867"/>
      <c r="D29" s="867"/>
      <c r="E29" s="867"/>
      <c r="F29" s="867"/>
      <c r="G29" s="867"/>
      <c r="H29" s="867"/>
      <c r="I29" s="867"/>
      <c r="J29" s="867"/>
      <c r="K29" s="868"/>
    </row>
    <row r="30" spans="1:11" ht="15.5" customHeight="1">
      <c r="A30" s="870" t="s">
        <v>1198</v>
      </c>
      <c r="B30" s="867"/>
      <c r="C30" s="867"/>
      <c r="D30" s="867"/>
      <c r="E30" s="867"/>
      <c r="F30" s="867"/>
      <c r="G30" s="867"/>
      <c r="H30" s="867"/>
      <c r="I30" s="867"/>
      <c r="J30" s="867"/>
      <c r="K30" s="868"/>
    </row>
    <row r="31" spans="1:11" ht="15.5" customHeight="1">
      <c r="A31" s="870" t="s">
        <v>1199</v>
      </c>
      <c r="B31" s="867"/>
      <c r="C31" s="867"/>
      <c r="D31" s="867"/>
      <c r="E31" s="867"/>
      <c r="F31" s="867"/>
      <c r="G31" s="867"/>
      <c r="H31" s="867"/>
      <c r="I31" s="867"/>
      <c r="J31" s="867"/>
      <c r="K31" s="868"/>
    </row>
    <row r="32" spans="1:11" ht="15.5" customHeight="1">
      <c r="A32" s="870" t="s">
        <v>1200</v>
      </c>
      <c r="B32" s="867"/>
      <c r="C32" s="867"/>
      <c r="D32" s="867"/>
      <c r="E32" s="867"/>
      <c r="F32" s="867"/>
      <c r="G32" s="867"/>
      <c r="H32" s="867"/>
      <c r="I32" s="867"/>
      <c r="J32" s="867"/>
      <c r="K32" s="868"/>
    </row>
    <row r="33" spans="1:12" ht="15.5" customHeight="1">
      <c r="A33" s="866" t="s">
        <v>1201</v>
      </c>
      <c r="B33" s="867"/>
      <c r="C33" s="867"/>
      <c r="D33" s="867"/>
      <c r="E33" s="867"/>
      <c r="F33" s="867"/>
      <c r="G33" s="867"/>
      <c r="H33" s="867"/>
      <c r="I33" s="867"/>
      <c r="J33" s="867"/>
      <c r="K33" s="868"/>
    </row>
    <row r="34" spans="1:12" ht="15.5" customHeight="1">
      <c r="A34" s="870" t="s">
        <v>1202</v>
      </c>
      <c r="B34" s="867"/>
      <c r="C34" s="867"/>
      <c r="D34" s="867"/>
      <c r="E34" s="867"/>
      <c r="F34" s="867"/>
      <c r="G34" s="867"/>
      <c r="H34" s="867"/>
      <c r="I34" s="867"/>
      <c r="J34" s="867"/>
      <c r="K34" s="868"/>
    </row>
    <row r="35" spans="1:12" ht="15.5" customHeight="1">
      <c r="A35" s="870" t="s">
        <v>1203</v>
      </c>
      <c r="B35" s="867"/>
      <c r="C35" s="867"/>
      <c r="D35" s="867"/>
      <c r="E35" s="867"/>
      <c r="F35" s="867"/>
      <c r="G35" s="867"/>
      <c r="H35" s="867"/>
      <c r="I35" s="867"/>
      <c r="J35" s="867"/>
      <c r="K35" s="868"/>
    </row>
    <row r="36" spans="1:12" ht="15.5" customHeight="1">
      <c r="A36" s="870" t="s">
        <v>1204</v>
      </c>
      <c r="B36" s="867"/>
      <c r="C36" s="867"/>
      <c r="D36" s="867"/>
      <c r="E36" s="867"/>
      <c r="F36" s="867"/>
      <c r="G36" s="867"/>
      <c r="H36" s="867"/>
      <c r="I36" s="867"/>
      <c r="J36" s="867"/>
      <c r="K36" s="868"/>
    </row>
    <row r="37" spans="1:12" ht="15.5" customHeight="1">
      <c r="A37" s="893" t="s">
        <v>1205</v>
      </c>
      <c r="B37" s="867"/>
      <c r="C37" s="867"/>
      <c r="D37" s="867"/>
      <c r="E37" s="867"/>
      <c r="F37" s="867"/>
      <c r="G37" s="867"/>
      <c r="H37" s="867"/>
      <c r="I37" s="867"/>
      <c r="J37" s="867"/>
      <c r="K37" s="867"/>
    </row>
    <row r="38" spans="1:12" ht="15" customHeight="1" thickBot="1">
      <c r="A38" s="905"/>
      <c r="B38" s="867"/>
      <c r="C38" s="867"/>
      <c r="D38" s="867"/>
      <c r="E38" s="867"/>
      <c r="F38" s="867"/>
      <c r="G38" s="867"/>
      <c r="H38" s="867"/>
      <c r="I38" s="867"/>
      <c r="J38" s="867"/>
      <c r="K38" s="867"/>
    </row>
    <row r="39" spans="1:12" ht="16" customHeight="1">
      <c r="A39" s="833" t="s">
        <v>1206</v>
      </c>
      <c r="B39" s="823"/>
      <c r="C39" s="823"/>
      <c r="D39" s="823"/>
      <c r="E39" s="825"/>
      <c r="F39" s="833"/>
      <c r="G39" s="823"/>
      <c r="H39" s="823"/>
      <c r="I39" s="823"/>
      <c r="J39" s="823"/>
      <c r="K39" s="825"/>
      <c r="L39" s="245"/>
    </row>
    <row r="40" spans="1:12" ht="15" customHeight="1" thickBot="1">
      <c r="A40" s="890" t="s">
        <v>1207</v>
      </c>
      <c r="B40" s="821"/>
      <c r="C40" s="821"/>
      <c r="D40" s="821"/>
      <c r="E40" s="838"/>
      <c r="F40" s="890" t="s">
        <v>1208</v>
      </c>
      <c r="G40" s="821"/>
      <c r="H40" s="821"/>
      <c r="I40" s="821"/>
      <c r="J40" s="821"/>
      <c r="K40" s="838"/>
    </row>
    <row r="41" spans="1:12" ht="17" customHeight="1" thickBot="1">
      <c r="A41" s="888" t="s">
        <v>1209</v>
      </c>
      <c r="B41" s="835"/>
      <c r="C41" s="835"/>
      <c r="D41" s="835"/>
      <c r="E41" s="836"/>
      <c r="F41" s="843"/>
      <c r="G41" s="835"/>
      <c r="H41" s="835"/>
      <c r="I41" s="835"/>
      <c r="J41" s="835"/>
      <c r="K41" s="836"/>
    </row>
    <row r="42" spans="1:12" ht="15" customHeight="1" thickBot="1">
      <c r="A42" s="888" t="s">
        <v>1210</v>
      </c>
      <c r="B42" s="835"/>
      <c r="C42" s="835"/>
      <c r="D42" s="835"/>
      <c r="E42" s="836"/>
      <c r="F42" s="888" t="s">
        <v>1211</v>
      </c>
      <c r="G42" s="835"/>
      <c r="H42" s="835"/>
      <c r="I42" s="835"/>
      <c r="J42" s="835"/>
      <c r="K42" s="836"/>
    </row>
    <row r="43" spans="1:12" ht="15" customHeight="1" thickBot="1">
      <c r="A43" s="871"/>
      <c r="B43" s="872"/>
      <c r="C43" s="872"/>
      <c r="D43" s="872"/>
      <c r="E43" s="873"/>
      <c r="F43" s="871"/>
      <c r="G43" s="872"/>
      <c r="H43" s="872"/>
      <c r="I43" s="872"/>
      <c r="J43" s="872"/>
      <c r="K43" s="873"/>
    </row>
    <row r="44" spans="1:12" ht="15" customHeight="1" thickBot="1">
      <c r="A44" s="888" t="s">
        <v>1212</v>
      </c>
      <c r="B44" s="835"/>
      <c r="C44" s="836"/>
      <c r="D44" s="888" t="s">
        <v>1165</v>
      </c>
      <c r="E44" s="835"/>
      <c r="F44" s="836"/>
      <c r="G44" s="897" t="s">
        <v>685</v>
      </c>
      <c r="H44" s="835"/>
      <c r="I44" s="835"/>
      <c r="J44" s="835"/>
      <c r="K44" s="836"/>
    </row>
    <row r="45" spans="1:12" s="246" customFormat="1" ht="15.75" customHeight="1">
      <c r="A45" s="845" t="s">
        <v>1213</v>
      </c>
      <c r="B45" s="823"/>
      <c r="C45" s="825"/>
      <c r="D45" s="865"/>
      <c r="E45" s="823"/>
      <c r="F45" s="825"/>
      <c r="G45" s="855" t="s">
        <v>912</v>
      </c>
      <c r="H45" s="823"/>
      <c r="I45" s="823"/>
      <c r="J45" s="823"/>
      <c r="K45" s="825"/>
    </row>
    <row r="46" spans="1:12" ht="15.75" customHeight="1" thickBot="1">
      <c r="A46" s="837" t="s">
        <v>1164</v>
      </c>
      <c r="B46" s="821"/>
      <c r="C46" s="838"/>
      <c r="D46" s="852"/>
      <c r="E46" s="853"/>
      <c r="F46" s="854"/>
      <c r="G46" s="852"/>
      <c r="H46" s="853"/>
      <c r="I46" s="853"/>
      <c r="J46" s="853"/>
      <c r="K46" s="854"/>
    </row>
    <row r="47" spans="1:12" ht="15" customHeight="1">
      <c r="A47" s="845" t="s">
        <v>1214</v>
      </c>
      <c r="B47" s="823"/>
      <c r="C47" s="825"/>
      <c r="D47" s="865"/>
      <c r="E47" s="823"/>
      <c r="F47" s="825"/>
      <c r="G47" s="860" t="s">
        <v>1215</v>
      </c>
      <c r="H47" s="859"/>
      <c r="I47" s="859"/>
      <c r="J47" s="859"/>
      <c r="K47" s="861"/>
    </row>
    <row r="48" spans="1:12" ht="15.75" customHeight="1" thickBot="1">
      <c r="A48" s="837" t="s">
        <v>1216</v>
      </c>
      <c r="B48" s="821"/>
      <c r="C48" s="838"/>
      <c r="D48" s="852"/>
      <c r="E48" s="853"/>
      <c r="F48" s="854"/>
      <c r="G48" s="862"/>
      <c r="H48" s="863"/>
      <c r="I48" s="863"/>
      <c r="J48" s="863"/>
      <c r="K48" s="864"/>
    </row>
    <row r="49" spans="1:11" ht="15" customHeight="1">
      <c r="A49" s="845" t="s">
        <v>1217</v>
      </c>
      <c r="B49" s="823"/>
      <c r="C49" s="825"/>
      <c r="D49" s="865"/>
      <c r="E49" s="823"/>
      <c r="F49" s="825"/>
      <c r="G49" s="860" t="s">
        <v>1218</v>
      </c>
      <c r="H49" s="859"/>
      <c r="I49" s="859"/>
      <c r="J49" s="859"/>
      <c r="K49" s="861"/>
    </row>
    <row r="50" spans="1:11" ht="15.75" customHeight="1" thickBot="1">
      <c r="A50" s="837" t="s">
        <v>1164</v>
      </c>
      <c r="B50" s="821"/>
      <c r="C50" s="838"/>
      <c r="D50" s="852"/>
      <c r="E50" s="853"/>
      <c r="F50" s="854"/>
      <c r="G50" s="862"/>
      <c r="H50" s="863"/>
      <c r="I50" s="863"/>
      <c r="J50" s="863"/>
      <c r="K50" s="864"/>
    </row>
    <row r="51" spans="1:11" ht="15" customHeight="1">
      <c r="A51" s="845" t="s">
        <v>1217</v>
      </c>
      <c r="B51" s="823"/>
      <c r="C51" s="825"/>
      <c r="D51" s="851"/>
      <c r="E51" s="823"/>
      <c r="F51" s="825"/>
      <c r="G51" s="860" t="s">
        <v>1219</v>
      </c>
      <c r="H51" s="859"/>
      <c r="I51" s="859"/>
      <c r="J51" s="859"/>
      <c r="K51" s="861"/>
    </row>
    <row r="52" spans="1:11" ht="15.75" customHeight="1" thickBot="1">
      <c r="A52" s="837" t="s">
        <v>1164</v>
      </c>
      <c r="B52" s="821"/>
      <c r="C52" s="838"/>
      <c r="D52" s="852"/>
      <c r="E52" s="853"/>
      <c r="F52" s="854"/>
      <c r="G52" s="862"/>
      <c r="H52" s="863"/>
      <c r="I52" s="863"/>
      <c r="J52" s="863"/>
      <c r="K52" s="864"/>
    </row>
    <row r="53" spans="1:11" ht="17" customHeight="1">
      <c r="A53" s="845" t="s">
        <v>1220</v>
      </c>
      <c r="B53" s="823"/>
      <c r="C53" s="825"/>
      <c r="D53" s="851"/>
      <c r="E53" s="823"/>
      <c r="F53" s="825"/>
      <c r="G53" s="855" t="s">
        <v>1221</v>
      </c>
      <c r="H53" s="823"/>
      <c r="I53" s="823"/>
      <c r="J53" s="823"/>
      <c r="K53" s="825"/>
    </row>
    <row r="54" spans="1:11" ht="17" customHeight="1" thickBot="1">
      <c r="A54" s="899" t="s">
        <v>736</v>
      </c>
      <c r="B54" s="821"/>
      <c r="C54" s="838"/>
      <c r="D54" s="852"/>
      <c r="E54" s="853"/>
      <c r="F54" s="854"/>
      <c r="G54" s="852"/>
      <c r="H54" s="853"/>
      <c r="I54" s="853"/>
      <c r="J54" s="853"/>
      <c r="K54" s="854"/>
    </row>
    <row r="55" spans="1:11" ht="17" customHeight="1">
      <c r="A55" s="880" t="s">
        <v>906</v>
      </c>
      <c r="B55" s="881"/>
      <c r="C55" s="882"/>
      <c r="D55" s="851"/>
      <c r="E55" s="823"/>
      <c r="F55" s="825"/>
      <c r="G55" s="860" t="s">
        <v>905</v>
      </c>
      <c r="H55" s="859"/>
      <c r="I55" s="859"/>
      <c r="J55" s="859"/>
      <c r="K55" s="861"/>
    </row>
    <row r="56" spans="1:11" ht="17" customHeight="1" thickBot="1">
      <c r="A56" s="900" t="s">
        <v>1164</v>
      </c>
      <c r="B56" s="901"/>
      <c r="C56" s="902"/>
      <c r="D56" s="852"/>
      <c r="E56" s="853"/>
      <c r="F56" s="854"/>
      <c r="G56" s="862"/>
      <c r="H56" s="863"/>
      <c r="I56" s="863"/>
      <c r="J56" s="863"/>
      <c r="K56" s="864"/>
    </row>
    <row r="57" spans="1:11" ht="15" customHeight="1">
      <c r="A57" s="845" t="s">
        <v>692</v>
      </c>
      <c r="B57" s="823"/>
      <c r="C57" s="825"/>
      <c r="D57" s="851"/>
      <c r="E57" s="823"/>
      <c r="F57" s="825"/>
      <c r="G57" s="860" t="s">
        <v>909</v>
      </c>
      <c r="H57" s="859"/>
      <c r="I57" s="859"/>
      <c r="J57" s="859"/>
      <c r="K57" s="861"/>
    </row>
    <row r="58" spans="1:11" ht="15.75" customHeight="1" thickBot="1">
      <c r="A58" s="837" t="s">
        <v>1164</v>
      </c>
      <c r="B58" s="821"/>
      <c r="C58" s="838"/>
      <c r="D58" s="852"/>
      <c r="E58" s="853"/>
      <c r="F58" s="854"/>
      <c r="G58" s="862"/>
      <c r="H58" s="863"/>
      <c r="I58" s="863"/>
      <c r="J58" s="863"/>
      <c r="K58" s="864"/>
    </row>
    <row r="59" spans="1:11" ht="15.5" customHeight="1">
      <c r="A59" s="845" t="s">
        <v>1222</v>
      </c>
      <c r="B59" s="823"/>
      <c r="C59" s="825"/>
      <c r="D59" s="851"/>
      <c r="E59" s="823"/>
      <c r="F59" s="825"/>
      <c r="G59" s="860" t="s">
        <v>1010</v>
      </c>
      <c r="H59" s="859"/>
      <c r="I59" s="859"/>
      <c r="J59" s="859"/>
      <c r="K59" s="861"/>
    </row>
    <row r="60" spans="1:11" ht="15" customHeight="1" thickBot="1">
      <c r="A60" s="837" t="s">
        <v>1164</v>
      </c>
      <c r="B60" s="821"/>
      <c r="C60" s="838"/>
      <c r="D60" s="852"/>
      <c r="E60" s="853"/>
      <c r="F60" s="854"/>
      <c r="G60" s="862"/>
      <c r="H60" s="863"/>
      <c r="I60" s="863"/>
      <c r="J60" s="863"/>
      <c r="K60" s="864"/>
    </row>
    <row r="61" spans="1:11" ht="18" customHeight="1">
      <c r="A61" s="883" t="s">
        <v>1223</v>
      </c>
      <c r="B61" s="823"/>
      <c r="C61" s="823"/>
      <c r="D61" s="823"/>
      <c r="E61" s="823"/>
      <c r="F61" s="823"/>
      <c r="G61" s="823"/>
      <c r="H61" s="823"/>
      <c r="I61" s="823"/>
      <c r="J61" s="823"/>
      <c r="K61" s="825"/>
    </row>
    <row r="62" spans="1:11" ht="15.5" customHeight="1">
      <c r="A62" s="874"/>
      <c r="B62" s="841"/>
      <c r="C62" s="841"/>
      <c r="D62" s="841"/>
      <c r="E62" s="841"/>
      <c r="F62" s="841"/>
      <c r="G62" s="841"/>
      <c r="H62" s="841"/>
      <c r="I62" s="841"/>
      <c r="J62" s="841"/>
      <c r="K62" s="842"/>
    </row>
    <row r="63" spans="1:11" ht="24" customHeight="1">
      <c r="A63" s="840" t="s">
        <v>1224</v>
      </c>
      <c r="B63" s="841"/>
      <c r="C63" s="841"/>
      <c r="D63" s="841"/>
      <c r="E63" s="841"/>
      <c r="F63" s="841"/>
      <c r="G63" s="841"/>
      <c r="H63" s="841"/>
      <c r="I63" s="841"/>
      <c r="J63" s="841"/>
      <c r="K63" s="842"/>
    </row>
    <row r="64" spans="1:11" ht="24" customHeight="1">
      <c r="A64" s="840" t="s">
        <v>1225</v>
      </c>
      <c r="B64" s="841"/>
      <c r="C64" s="841"/>
      <c r="D64" s="841"/>
      <c r="E64" s="841"/>
      <c r="F64" s="841"/>
      <c r="G64" s="841"/>
      <c r="H64" s="841"/>
      <c r="I64" s="841"/>
      <c r="J64" s="841"/>
      <c r="K64" s="842"/>
    </row>
    <row r="65" spans="1:11" ht="15.5" customHeight="1">
      <c r="A65" s="892"/>
      <c r="B65" s="841"/>
      <c r="C65" s="841"/>
      <c r="D65" s="841"/>
      <c r="E65" s="841"/>
      <c r="F65" s="841"/>
      <c r="G65" s="841"/>
      <c r="H65" s="841"/>
      <c r="I65" s="841"/>
      <c r="J65" s="841"/>
      <c r="K65" s="842"/>
    </row>
    <row r="66" spans="1:11" ht="15" customHeight="1" thickBot="1">
      <c r="A66" s="837"/>
      <c r="B66" s="821"/>
      <c r="C66" s="821"/>
      <c r="D66" s="821"/>
      <c r="E66" s="821"/>
      <c r="F66" s="821"/>
      <c r="G66" s="821"/>
      <c r="H66" s="821"/>
      <c r="I66" s="821"/>
      <c r="J66" s="821"/>
      <c r="K66" s="838"/>
    </row>
    <row r="67" spans="1:11">
      <c r="A67" s="869" t="s">
        <v>1226</v>
      </c>
      <c r="B67" s="823"/>
      <c r="C67" s="823"/>
      <c r="D67" s="823"/>
      <c r="E67" s="823"/>
      <c r="F67" s="823"/>
      <c r="G67" s="823"/>
      <c r="H67" s="823"/>
      <c r="I67" s="823"/>
      <c r="J67" s="823"/>
      <c r="K67" s="825"/>
    </row>
    <row r="68" spans="1:11" ht="15" customHeight="1" thickBot="1">
      <c r="A68" s="852"/>
      <c r="B68" s="853"/>
      <c r="C68" s="853"/>
      <c r="D68" s="853"/>
      <c r="E68" s="853"/>
      <c r="F68" s="853"/>
      <c r="G68" s="853"/>
      <c r="H68" s="853"/>
      <c r="I68" s="853"/>
      <c r="J68" s="853"/>
      <c r="K68" s="854"/>
    </row>
  </sheetData>
  <mergeCells count="117">
    <mergeCell ref="A13:E14"/>
    <mergeCell ref="A41:E41"/>
    <mergeCell ref="A53:C53"/>
    <mergeCell ref="A66:K66"/>
    <mergeCell ref="A27:E27"/>
    <mergeCell ref="F39:K39"/>
    <mergeCell ref="I19:K19"/>
    <mergeCell ref="C2:D2"/>
    <mergeCell ref="E3:G3"/>
    <mergeCell ref="A48:C48"/>
    <mergeCell ref="A5:K5"/>
    <mergeCell ref="G57:K58"/>
    <mergeCell ref="F19:H19"/>
    <mergeCell ref="A45:C45"/>
    <mergeCell ref="A10:E10"/>
    <mergeCell ref="A29:K29"/>
    <mergeCell ref="A38:K38"/>
    <mergeCell ref="F40:K40"/>
    <mergeCell ref="F13:K14"/>
    <mergeCell ref="F21:K21"/>
    <mergeCell ref="A31:K31"/>
    <mergeCell ref="A1:K1"/>
    <mergeCell ref="F23:H23"/>
    <mergeCell ref="E2:G2"/>
    <mergeCell ref="A47:C47"/>
    <mergeCell ref="G51:K52"/>
    <mergeCell ref="A65:K65"/>
    <mergeCell ref="I20:K20"/>
    <mergeCell ref="A37:K37"/>
    <mergeCell ref="A42:E42"/>
    <mergeCell ref="D57:F58"/>
    <mergeCell ref="A11:E12"/>
    <mergeCell ref="D44:F44"/>
    <mergeCell ref="A32:K32"/>
    <mergeCell ref="A59:C59"/>
    <mergeCell ref="C6:E6"/>
    <mergeCell ref="F16:H16"/>
    <mergeCell ref="A4:K4"/>
    <mergeCell ref="F10:K10"/>
    <mergeCell ref="G44:K44"/>
    <mergeCell ref="I26:K26"/>
    <mergeCell ref="F7:K7"/>
    <mergeCell ref="G53:K54"/>
    <mergeCell ref="A54:C54"/>
    <mergeCell ref="F20:H20"/>
    <mergeCell ref="A51:C51"/>
    <mergeCell ref="F25:H25"/>
    <mergeCell ref="A60:C60"/>
    <mergeCell ref="F6:K6"/>
    <mergeCell ref="D53:F54"/>
    <mergeCell ref="A63:K63"/>
    <mergeCell ref="A22:E26"/>
    <mergeCell ref="A40:E40"/>
    <mergeCell ref="F24:H24"/>
    <mergeCell ref="I25:K25"/>
    <mergeCell ref="D55:F56"/>
    <mergeCell ref="A34:K34"/>
    <mergeCell ref="F9:I9"/>
    <mergeCell ref="F42:K42"/>
    <mergeCell ref="C9:E9"/>
    <mergeCell ref="F26:H26"/>
    <mergeCell ref="A36:K36"/>
    <mergeCell ref="A50:C50"/>
    <mergeCell ref="G49:K50"/>
    <mergeCell ref="I16:K16"/>
    <mergeCell ref="G55:K56"/>
    <mergeCell ref="A56:C56"/>
    <mergeCell ref="I18:K18"/>
    <mergeCell ref="A6:B6"/>
    <mergeCell ref="A67:K68"/>
    <mergeCell ref="D47:F48"/>
    <mergeCell ref="A35:K35"/>
    <mergeCell ref="A49:C49"/>
    <mergeCell ref="A43:E43"/>
    <mergeCell ref="A62:K62"/>
    <mergeCell ref="A28:K28"/>
    <mergeCell ref="A9:B9"/>
    <mergeCell ref="C3:D3"/>
    <mergeCell ref="I22:K22"/>
    <mergeCell ref="A30:K30"/>
    <mergeCell ref="F11:K12"/>
    <mergeCell ref="A55:C55"/>
    <mergeCell ref="D51:F52"/>
    <mergeCell ref="A61:K61"/>
    <mergeCell ref="I23:K23"/>
    <mergeCell ref="D49:F50"/>
    <mergeCell ref="G59:K60"/>
    <mergeCell ref="F43:K43"/>
    <mergeCell ref="C8:K8"/>
    <mergeCell ref="A16:E20"/>
    <mergeCell ref="A44:C44"/>
    <mergeCell ref="A58:C58"/>
    <mergeCell ref="A8:B8"/>
    <mergeCell ref="A39:E39"/>
    <mergeCell ref="F18:H18"/>
    <mergeCell ref="A46:C46"/>
    <mergeCell ref="A15:K15"/>
    <mergeCell ref="A64:K64"/>
    <mergeCell ref="F41:K41"/>
    <mergeCell ref="F17:H17"/>
    <mergeCell ref="H2:J2"/>
    <mergeCell ref="A57:C57"/>
    <mergeCell ref="J9:K9"/>
    <mergeCell ref="I24:K24"/>
    <mergeCell ref="F22:H22"/>
    <mergeCell ref="A7:B7"/>
    <mergeCell ref="D59:F60"/>
    <mergeCell ref="G45:K46"/>
    <mergeCell ref="F27:K27"/>
    <mergeCell ref="I17:K17"/>
    <mergeCell ref="H3:J3"/>
    <mergeCell ref="C7:E7"/>
    <mergeCell ref="A52:C52"/>
    <mergeCell ref="G47:K48"/>
    <mergeCell ref="A21:E21"/>
    <mergeCell ref="D45:F46"/>
    <mergeCell ref="A33:K33"/>
  </mergeCells>
  <pageMargins left="0.82677165354330717" right="0.23622047244094491" top="0" bottom="0" header="0.31496062992125978" footer="0.31496062992125978"/>
  <pageSetup paperSize="8" scale="66"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5"/>
    <pageSetUpPr fitToPage="1"/>
  </sheetPr>
  <dimension ref="A1:L68"/>
  <sheetViews>
    <sheetView view="pageBreakPreview" topLeftCell="A30" zoomScale="120" zoomScaleNormal="70" zoomScaleSheetLayoutView="120" workbookViewId="0">
      <selection activeCell="F40" sqref="F40:K40"/>
    </sheetView>
  </sheetViews>
  <sheetFormatPr defaultColWidth="11.15234375" defaultRowHeight="14"/>
  <cols>
    <col min="1" max="1" width="11.15234375" style="244" customWidth="1"/>
    <col min="2" max="2" width="13.53515625" style="244" customWidth="1"/>
    <col min="3" max="5" width="4.53515625" style="244" customWidth="1"/>
    <col min="6" max="11" width="22.3046875" style="244" customWidth="1"/>
    <col min="12" max="13" width="11.15234375" style="244" customWidth="1"/>
    <col min="14" max="16384" width="11.15234375" style="244"/>
  </cols>
  <sheetData>
    <row r="1" spans="1:11" ht="22" customHeight="1" thickBot="1">
      <c r="A1" s="891" t="s">
        <v>1227</v>
      </c>
      <c r="B1" s="821"/>
      <c r="C1" s="821"/>
      <c r="D1" s="821"/>
      <c r="E1" s="821"/>
      <c r="F1" s="821"/>
      <c r="G1" s="821"/>
      <c r="H1" s="821"/>
      <c r="I1" s="821"/>
      <c r="J1" s="821"/>
      <c r="K1" s="821"/>
    </row>
    <row r="2" spans="1:11" ht="19" customHeight="1" thickBot="1">
      <c r="A2" s="249" t="s">
        <v>973</v>
      </c>
      <c r="B2" s="407" t="s">
        <v>1158</v>
      </c>
      <c r="C2" s="844" t="s">
        <v>1159</v>
      </c>
      <c r="D2" s="836"/>
      <c r="E2" s="844" t="s">
        <v>2</v>
      </c>
      <c r="F2" s="835"/>
      <c r="G2" s="836"/>
      <c r="H2" s="844" t="s">
        <v>3</v>
      </c>
      <c r="I2" s="835"/>
      <c r="J2" s="836"/>
      <c r="K2" s="407" t="s">
        <v>4</v>
      </c>
    </row>
    <row r="3" spans="1:11" ht="17" customHeight="1" thickBot="1">
      <c r="A3" s="250">
        <v>46084</v>
      </c>
      <c r="B3" s="408" t="s">
        <v>1228</v>
      </c>
      <c r="C3" s="857" t="s">
        <v>1229</v>
      </c>
      <c r="D3" s="836"/>
      <c r="E3" s="903" t="s">
        <v>52</v>
      </c>
      <c r="F3" s="835"/>
      <c r="G3" s="836"/>
      <c r="H3" s="857">
        <v>26</v>
      </c>
      <c r="I3" s="835"/>
      <c r="J3" s="836"/>
      <c r="K3" s="408">
        <v>430</v>
      </c>
    </row>
    <row r="4" spans="1:11" ht="19.5" customHeight="1" thickBot="1">
      <c r="A4" s="844" t="str">
        <f>"Задание на рабочую смену № 88"</f>
        <v>Задание на рабочую смену № 88</v>
      </c>
      <c r="B4" s="835"/>
      <c r="C4" s="835"/>
      <c r="D4" s="835"/>
      <c r="E4" s="835"/>
      <c r="F4" s="835"/>
      <c r="G4" s="835"/>
      <c r="H4" s="835"/>
      <c r="I4" s="835"/>
      <c r="J4" s="835"/>
      <c r="K4" s="836"/>
    </row>
    <row r="5" spans="1:11" ht="17" customHeight="1" thickBot="1">
      <c r="A5" s="857" t="s">
        <v>1162</v>
      </c>
      <c r="B5" s="835"/>
      <c r="C5" s="835"/>
      <c r="D5" s="835"/>
      <c r="E5" s="835"/>
      <c r="F5" s="835"/>
      <c r="G5" s="835"/>
      <c r="H5" s="835"/>
      <c r="I5" s="835"/>
      <c r="J5" s="835"/>
      <c r="K5" s="836"/>
    </row>
    <row r="6" spans="1:11" ht="15" customHeight="1" thickBot="1">
      <c r="A6" s="895" t="s">
        <v>910</v>
      </c>
      <c r="B6" s="825"/>
      <c r="C6" s="895" t="s">
        <v>1163</v>
      </c>
      <c r="D6" s="823"/>
      <c r="E6" s="825"/>
      <c r="F6" s="889" t="s">
        <v>702</v>
      </c>
      <c r="G6" s="823"/>
      <c r="H6" s="823"/>
      <c r="I6" s="823"/>
      <c r="J6" s="823"/>
      <c r="K6" s="825"/>
    </row>
    <row r="7" spans="1:11" ht="15" customHeight="1" thickBot="1">
      <c r="A7" s="850" t="s">
        <v>1164</v>
      </c>
      <c r="B7" s="838"/>
      <c r="C7" s="858" t="s">
        <v>1165</v>
      </c>
      <c r="D7" s="859"/>
      <c r="E7" s="859"/>
      <c r="F7" s="898" t="s">
        <v>685</v>
      </c>
      <c r="G7" s="821"/>
      <c r="H7" s="821"/>
      <c r="I7" s="821"/>
      <c r="J7" s="821"/>
      <c r="K7" s="838"/>
    </row>
    <row r="8" spans="1:11" ht="15" customHeight="1" thickBot="1">
      <c r="A8" s="839" t="s">
        <v>1166</v>
      </c>
      <c r="B8" s="836"/>
      <c r="C8" s="884" t="s">
        <v>1167</v>
      </c>
      <c r="D8" s="849"/>
      <c r="E8" s="849"/>
      <c r="F8" s="849"/>
      <c r="G8" s="849"/>
      <c r="H8" s="849"/>
      <c r="I8" s="849"/>
      <c r="J8" s="849"/>
      <c r="K8" s="849"/>
    </row>
    <row r="9" spans="1:11" ht="15" customHeight="1" thickBot="1">
      <c r="A9" s="839" t="s">
        <v>1168</v>
      </c>
      <c r="B9" s="836"/>
      <c r="C9" s="846">
        <v>3584</v>
      </c>
      <c r="D9" s="849"/>
      <c r="E9" s="847"/>
      <c r="F9" s="839" t="s">
        <v>1169</v>
      </c>
      <c r="G9" s="835"/>
      <c r="H9" s="835"/>
      <c r="I9" s="836"/>
      <c r="J9" s="846">
        <v>3591</v>
      </c>
      <c r="K9" s="847"/>
    </row>
    <row r="10" spans="1:11" ht="15" customHeight="1" thickBot="1">
      <c r="A10" s="839" t="s">
        <v>1170</v>
      </c>
      <c r="B10" s="835"/>
      <c r="C10" s="835"/>
      <c r="D10" s="835"/>
      <c r="E10" s="836"/>
      <c r="F10" s="896">
        <f>J9-C9</f>
        <v>7</v>
      </c>
      <c r="G10" s="859"/>
      <c r="H10" s="859"/>
      <c r="I10" s="859"/>
      <c r="J10" s="859"/>
      <c r="K10" s="861"/>
    </row>
    <row r="11" spans="1:11" ht="182.25" customHeight="1">
      <c r="A11" s="894" t="s">
        <v>1171</v>
      </c>
      <c r="B11" s="823"/>
      <c r="C11" s="823"/>
      <c r="D11" s="823"/>
      <c r="E11" s="825"/>
      <c r="F11" s="876" t="s">
        <v>1230</v>
      </c>
      <c r="G11" s="797"/>
      <c r="H11" s="797"/>
      <c r="I11" s="797"/>
      <c r="J11" s="797"/>
      <c r="K11" s="877"/>
    </row>
    <row r="12" spans="1:11" ht="182.25" customHeight="1" thickBot="1">
      <c r="A12" s="852"/>
      <c r="B12" s="853"/>
      <c r="C12" s="853"/>
      <c r="D12" s="853"/>
      <c r="E12" s="854"/>
      <c r="F12" s="878"/>
      <c r="G12" s="804"/>
      <c r="H12" s="804"/>
      <c r="I12" s="804"/>
      <c r="J12" s="804"/>
      <c r="K12" s="879"/>
    </row>
    <row r="13" spans="1:11" ht="15" customHeight="1">
      <c r="A13" s="894" t="s">
        <v>1173</v>
      </c>
      <c r="B13" s="823"/>
      <c r="C13" s="823"/>
      <c r="D13" s="823"/>
      <c r="E13" s="825"/>
      <c r="F13" s="906" t="s">
        <v>1231</v>
      </c>
      <c r="G13" s="797"/>
      <c r="H13" s="797"/>
      <c r="I13" s="797"/>
      <c r="J13" s="797"/>
      <c r="K13" s="877"/>
    </row>
    <row r="14" spans="1:11" ht="12.75" customHeight="1" thickBot="1">
      <c r="A14" s="852"/>
      <c r="B14" s="853"/>
      <c r="C14" s="853"/>
      <c r="D14" s="853"/>
      <c r="E14" s="854"/>
      <c r="F14" s="852"/>
      <c r="G14" s="853"/>
      <c r="H14" s="853"/>
      <c r="I14" s="853"/>
      <c r="J14" s="853"/>
      <c r="K14" s="854"/>
    </row>
    <row r="15" spans="1:11" ht="15" customHeight="1" thickBot="1">
      <c r="A15" s="839"/>
      <c r="B15" s="835"/>
      <c r="C15" s="835"/>
      <c r="D15" s="835"/>
      <c r="E15" s="835"/>
      <c r="F15" s="835"/>
      <c r="G15" s="835"/>
      <c r="H15" s="835"/>
      <c r="I15" s="835"/>
      <c r="J15" s="835"/>
      <c r="K15" s="836"/>
    </row>
    <row r="16" spans="1:11" ht="15.75" customHeight="1" thickBot="1">
      <c r="A16" s="885" t="s">
        <v>1175</v>
      </c>
      <c r="B16" s="823"/>
      <c r="C16" s="823"/>
      <c r="D16" s="823"/>
      <c r="E16" s="825"/>
      <c r="F16" s="834" t="s">
        <v>1176</v>
      </c>
      <c r="G16" s="835"/>
      <c r="H16" s="836"/>
      <c r="I16" s="848" t="s">
        <v>1177</v>
      </c>
      <c r="J16" s="849"/>
      <c r="K16" s="847"/>
    </row>
    <row r="17" spans="1:11" ht="15" customHeight="1" thickBot="1">
      <c r="A17" s="886"/>
      <c r="B17" s="841"/>
      <c r="C17" s="841"/>
      <c r="D17" s="841"/>
      <c r="E17" s="887"/>
      <c r="F17" s="834" t="s">
        <v>1178</v>
      </c>
      <c r="G17" s="835"/>
      <c r="H17" s="836"/>
      <c r="I17" s="856" t="s">
        <v>1179</v>
      </c>
      <c r="J17" s="849"/>
      <c r="K17" s="847"/>
    </row>
    <row r="18" spans="1:11" ht="15" customHeight="1" thickBot="1">
      <c r="A18" s="886"/>
      <c r="B18" s="841"/>
      <c r="C18" s="841"/>
      <c r="D18" s="841"/>
      <c r="E18" s="887"/>
      <c r="F18" s="834" t="s">
        <v>1180</v>
      </c>
      <c r="G18" s="835"/>
      <c r="H18" s="836"/>
      <c r="I18" s="848" t="s">
        <v>1181</v>
      </c>
      <c r="J18" s="849"/>
      <c r="K18" s="847"/>
    </row>
    <row r="19" spans="1:11" ht="15" customHeight="1" thickBot="1">
      <c r="A19" s="886"/>
      <c r="B19" s="841"/>
      <c r="C19" s="841"/>
      <c r="D19" s="841"/>
      <c r="E19" s="887"/>
      <c r="F19" s="834" t="s">
        <v>1182</v>
      </c>
      <c r="G19" s="835"/>
      <c r="H19" s="836"/>
      <c r="I19" s="856" t="s">
        <v>1183</v>
      </c>
      <c r="J19" s="849"/>
      <c r="K19" s="847"/>
    </row>
    <row r="20" spans="1:11" ht="15" customHeight="1" thickBot="1">
      <c r="A20" s="852"/>
      <c r="B20" s="853"/>
      <c r="C20" s="853"/>
      <c r="D20" s="853"/>
      <c r="E20" s="854"/>
      <c r="F20" s="834" t="s">
        <v>1184</v>
      </c>
      <c r="G20" s="835"/>
      <c r="H20" s="836"/>
      <c r="I20" s="848" t="s">
        <v>1185</v>
      </c>
      <c r="J20" s="849"/>
      <c r="K20" s="847"/>
    </row>
    <row r="21" spans="1:11" ht="19.5" customHeight="1" thickBot="1">
      <c r="A21" s="839" t="s">
        <v>1186</v>
      </c>
      <c r="B21" s="835"/>
      <c r="C21" s="835"/>
      <c r="D21" s="835"/>
      <c r="E21" s="836"/>
      <c r="F21" s="856" t="s">
        <v>1187</v>
      </c>
      <c r="G21" s="849"/>
      <c r="H21" s="849"/>
      <c r="I21" s="849"/>
      <c r="J21" s="849"/>
      <c r="K21" s="847"/>
    </row>
    <row r="22" spans="1:11" ht="18" customHeight="1" thickBot="1">
      <c r="A22" s="885" t="s">
        <v>1188</v>
      </c>
      <c r="B22" s="823"/>
      <c r="C22" s="823"/>
      <c r="D22" s="823"/>
      <c r="E22" s="825"/>
      <c r="F22" s="839" t="s">
        <v>1189</v>
      </c>
      <c r="G22" s="835"/>
      <c r="H22" s="836"/>
      <c r="I22" s="856">
        <v>3591</v>
      </c>
      <c r="J22" s="849"/>
      <c r="K22" s="847"/>
    </row>
    <row r="23" spans="1:11" ht="15" customHeight="1" thickBot="1">
      <c r="A23" s="886"/>
      <c r="B23" s="841"/>
      <c r="C23" s="841"/>
      <c r="D23" s="841"/>
      <c r="E23" s="887"/>
      <c r="F23" s="839" t="s">
        <v>1190</v>
      </c>
      <c r="G23" s="835"/>
      <c r="H23" s="836"/>
      <c r="I23" s="856">
        <v>200</v>
      </c>
      <c r="J23" s="849"/>
      <c r="K23" s="847"/>
    </row>
    <row r="24" spans="1:11" ht="14.5" customHeight="1" thickBot="1">
      <c r="A24" s="886"/>
      <c r="B24" s="841"/>
      <c r="C24" s="841"/>
      <c r="D24" s="841"/>
      <c r="E24" s="887"/>
      <c r="F24" s="839" t="s">
        <v>1180</v>
      </c>
      <c r="G24" s="835"/>
      <c r="H24" s="836"/>
      <c r="I24" s="848" t="s">
        <v>1191</v>
      </c>
      <c r="J24" s="849"/>
      <c r="K24" s="847"/>
    </row>
    <row r="25" spans="1:11" ht="14.5" customHeight="1" thickBot="1">
      <c r="A25" s="886"/>
      <c r="B25" s="841"/>
      <c r="C25" s="841"/>
      <c r="D25" s="841"/>
      <c r="E25" s="887"/>
      <c r="F25" s="839" t="s">
        <v>1192</v>
      </c>
      <c r="G25" s="835"/>
      <c r="H25" s="836"/>
      <c r="I25" s="856" t="s">
        <v>1179</v>
      </c>
      <c r="J25" s="849"/>
      <c r="K25" s="847"/>
    </row>
    <row r="26" spans="1:11" ht="14.5" customHeight="1" thickBot="1">
      <c r="A26" s="852"/>
      <c r="B26" s="853"/>
      <c r="C26" s="853"/>
      <c r="D26" s="853"/>
      <c r="E26" s="854"/>
      <c r="F26" s="839" t="s">
        <v>1193</v>
      </c>
      <c r="G26" s="835"/>
      <c r="H26" s="836"/>
      <c r="I26" s="856" t="s">
        <v>1194</v>
      </c>
      <c r="J26" s="849"/>
      <c r="K26" s="847"/>
    </row>
    <row r="27" spans="1:11" ht="18.75" customHeight="1" thickBot="1">
      <c r="A27" s="839" t="s">
        <v>1195</v>
      </c>
      <c r="B27" s="835"/>
      <c r="C27" s="835"/>
      <c r="D27" s="835"/>
      <c r="E27" s="836"/>
      <c r="F27" s="856" t="s">
        <v>1196</v>
      </c>
      <c r="G27" s="849"/>
      <c r="H27" s="849"/>
      <c r="I27" s="849"/>
      <c r="J27" s="849"/>
      <c r="K27" s="847"/>
    </row>
    <row r="28" spans="1:11" ht="15.5" customHeight="1">
      <c r="A28" s="875"/>
      <c r="B28" s="823"/>
      <c r="C28" s="823"/>
      <c r="D28" s="823"/>
      <c r="E28" s="823"/>
      <c r="F28" s="823"/>
      <c r="G28" s="823"/>
      <c r="H28" s="823"/>
      <c r="I28" s="823"/>
      <c r="J28" s="823"/>
      <c r="K28" s="825"/>
    </row>
    <row r="29" spans="1:11" ht="15.5" customHeight="1">
      <c r="A29" s="904" t="s">
        <v>1197</v>
      </c>
      <c r="B29" s="867"/>
      <c r="C29" s="867"/>
      <c r="D29" s="867"/>
      <c r="E29" s="867"/>
      <c r="F29" s="867"/>
      <c r="G29" s="867"/>
      <c r="H29" s="867"/>
      <c r="I29" s="867"/>
      <c r="J29" s="867"/>
      <c r="K29" s="868"/>
    </row>
    <row r="30" spans="1:11" ht="15.5" customHeight="1">
      <c r="A30" s="870" t="s">
        <v>1198</v>
      </c>
      <c r="B30" s="867"/>
      <c r="C30" s="867"/>
      <c r="D30" s="867"/>
      <c r="E30" s="867"/>
      <c r="F30" s="867"/>
      <c r="G30" s="867"/>
      <c r="H30" s="867"/>
      <c r="I30" s="867"/>
      <c r="J30" s="867"/>
      <c r="K30" s="868"/>
    </row>
    <row r="31" spans="1:11" ht="15.5" customHeight="1">
      <c r="A31" s="870" t="s">
        <v>1199</v>
      </c>
      <c r="B31" s="867"/>
      <c r="C31" s="867"/>
      <c r="D31" s="867"/>
      <c r="E31" s="867"/>
      <c r="F31" s="867"/>
      <c r="G31" s="867"/>
      <c r="H31" s="867"/>
      <c r="I31" s="867"/>
      <c r="J31" s="867"/>
      <c r="K31" s="868"/>
    </row>
    <row r="32" spans="1:11" ht="15.5" customHeight="1">
      <c r="A32" s="870" t="s">
        <v>1200</v>
      </c>
      <c r="B32" s="867"/>
      <c r="C32" s="867"/>
      <c r="D32" s="867"/>
      <c r="E32" s="867"/>
      <c r="F32" s="867"/>
      <c r="G32" s="867"/>
      <c r="H32" s="867"/>
      <c r="I32" s="867"/>
      <c r="J32" s="867"/>
      <c r="K32" s="868"/>
    </row>
    <row r="33" spans="1:12" ht="15.5" customHeight="1">
      <c r="A33" s="866" t="s">
        <v>1201</v>
      </c>
      <c r="B33" s="867"/>
      <c r="C33" s="867"/>
      <c r="D33" s="867"/>
      <c r="E33" s="867"/>
      <c r="F33" s="867"/>
      <c r="G33" s="867"/>
      <c r="H33" s="867"/>
      <c r="I33" s="867"/>
      <c r="J33" s="867"/>
      <c r="K33" s="868"/>
    </row>
    <row r="34" spans="1:12" ht="15.5" customHeight="1">
      <c r="A34" s="870" t="s">
        <v>1202</v>
      </c>
      <c r="B34" s="867"/>
      <c r="C34" s="867"/>
      <c r="D34" s="867"/>
      <c r="E34" s="867"/>
      <c r="F34" s="867"/>
      <c r="G34" s="867"/>
      <c r="H34" s="867"/>
      <c r="I34" s="867"/>
      <c r="J34" s="867"/>
      <c r="K34" s="868"/>
    </row>
    <row r="35" spans="1:12" ht="15.5" customHeight="1">
      <c r="A35" s="870" t="s">
        <v>1203</v>
      </c>
      <c r="B35" s="867"/>
      <c r="C35" s="867"/>
      <c r="D35" s="867"/>
      <c r="E35" s="867"/>
      <c r="F35" s="867"/>
      <c r="G35" s="867"/>
      <c r="H35" s="867"/>
      <c r="I35" s="867"/>
      <c r="J35" s="867"/>
      <c r="K35" s="868"/>
    </row>
    <row r="36" spans="1:12" ht="15.5" customHeight="1">
      <c r="A36" s="870" t="s">
        <v>1204</v>
      </c>
      <c r="B36" s="867"/>
      <c r="C36" s="867"/>
      <c r="D36" s="867"/>
      <c r="E36" s="867"/>
      <c r="F36" s="867"/>
      <c r="G36" s="867"/>
      <c r="H36" s="867"/>
      <c r="I36" s="867"/>
      <c r="J36" s="867"/>
      <c r="K36" s="868"/>
    </row>
    <row r="37" spans="1:12" ht="15.5" customHeight="1">
      <c r="A37" s="893" t="s">
        <v>1205</v>
      </c>
      <c r="B37" s="867"/>
      <c r="C37" s="867"/>
      <c r="D37" s="867"/>
      <c r="E37" s="867"/>
      <c r="F37" s="867"/>
      <c r="G37" s="867"/>
      <c r="H37" s="867"/>
      <c r="I37" s="867"/>
      <c r="J37" s="867"/>
      <c r="K37" s="867"/>
    </row>
    <row r="38" spans="1:12" ht="15" customHeight="1" thickBot="1">
      <c r="A38" s="905"/>
      <c r="B38" s="867"/>
      <c r="C38" s="867"/>
      <c r="D38" s="867"/>
      <c r="E38" s="867"/>
      <c r="F38" s="867"/>
      <c r="G38" s="867"/>
      <c r="H38" s="867"/>
      <c r="I38" s="867"/>
      <c r="J38" s="867"/>
      <c r="K38" s="867"/>
    </row>
    <row r="39" spans="1:12" ht="16" customHeight="1">
      <c r="A39" s="833" t="s">
        <v>1206</v>
      </c>
      <c r="B39" s="823"/>
      <c r="C39" s="823"/>
      <c r="D39" s="823"/>
      <c r="E39" s="825"/>
      <c r="F39" s="833"/>
      <c r="G39" s="823"/>
      <c r="H39" s="823"/>
      <c r="I39" s="823"/>
      <c r="J39" s="823"/>
      <c r="K39" s="825"/>
      <c r="L39" s="245"/>
    </row>
    <row r="40" spans="1:12" ht="15" customHeight="1" thickBot="1">
      <c r="A40" s="890" t="s">
        <v>1207</v>
      </c>
      <c r="B40" s="821"/>
      <c r="C40" s="821"/>
      <c r="D40" s="821"/>
      <c r="E40" s="838"/>
      <c r="F40" s="890" t="s">
        <v>1208</v>
      </c>
      <c r="G40" s="821"/>
      <c r="H40" s="821"/>
      <c r="I40" s="821"/>
      <c r="J40" s="821"/>
      <c r="K40" s="838"/>
    </row>
    <row r="41" spans="1:12" ht="17" customHeight="1" thickBot="1">
      <c r="A41" s="888" t="s">
        <v>1209</v>
      </c>
      <c r="B41" s="835"/>
      <c r="C41" s="835"/>
      <c r="D41" s="835"/>
      <c r="E41" s="836"/>
      <c r="F41" s="843"/>
      <c r="G41" s="835"/>
      <c r="H41" s="835"/>
      <c r="I41" s="835"/>
      <c r="J41" s="835"/>
      <c r="K41" s="836"/>
    </row>
    <row r="42" spans="1:12" ht="15" customHeight="1" thickBot="1">
      <c r="A42" s="888" t="s">
        <v>1210</v>
      </c>
      <c r="B42" s="835"/>
      <c r="C42" s="835"/>
      <c r="D42" s="835"/>
      <c r="E42" s="836"/>
      <c r="F42" s="888" t="s">
        <v>1211</v>
      </c>
      <c r="G42" s="835"/>
      <c r="H42" s="835"/>
      <c r="I42" s="835"/>
      <c r="J42" s="835"/>
      <c r="K42" s="836"/>
    </row>
    <row r="43" spans="1:12" ht="15" customHeight="1" thickBot="1">
      <c r="A43" s="871"/>
      <c r="B43" s="872"/>
      <c r="C43" s="872"/>
      <c r="D43" s="872"/>
      <c r="E43" s="873"/>
      <c r="F43" s="871"/>
      <c r="G43" s="872"/>
      <c r="H43" s="872"/>
      <c r="I43" s="872"/>
      <c r="J43" s="872"/>
      <c r="K43" s="873"/>
    </row>
    <row r="44" spans="1:12" ht="15" customHeight="1" thickBot="1">
      <c r="A44" s="888" t="s">
        <v>1212</v>
      </c>
      <c r="B44" s="835"/>
      <c r="C44" s="836"/>
      <c r="D44" s="888" t="s">
        <v>1165</v>
      </c>
      <c r="E44" s="835"/>
      <c r="F44" s="836"/>
      <c r="G44" s="897" t="s">
        <v>685</v>
      </c>
      <c r="H44" s="835"/>
      <c r="I44" s="835"/>
      <c r="J44" s="835"/>
      <c r="K44" s="836"/>
    </row>
    <row r="45" spans="1:12" s="246" customFormat="1" ht="15.75" customHeight="1">
      <c r="A45" s="845" t="s">
        <v>907</v>
      </c>
      <c r="B45" s="823"/>
      <c r="C45" s="825"/>
      <c r="D45" s="865"/>
      <c r="E45" s="823"/>
      <c r="F45" s="825"/>
      <c r="G45" s="855" t="s">
        <v>908</v>
      </c>
      <c r="H45" s="823"/>
      <c r="I45" s="823"/>
      <c r="J45" s="823"/>
      <c r="K45" s="825"/>
    </row>
    <row r="46" spans="1:12" ht="15.75" customHeight="1" thickBot="1">
      <c r="A46" s="837" t="s">
        <v>1164</v>
      </c>
      <c r="B46" s="821"/>
      <c r="C46" s="838"/>
      <c r="D46" s="852"/>
      <c r="E46" s="853"/>
      <c r="F46" s="854"/>
      <c r="G46" s="852"/>
      <c r="H46" s="853"/>
      <c r="I46" s="853"/>
      <c r="J46" s="853"/>
      <c r="K46" s="854"/>
    </row>
    <row r="47" spans="1:12" ht="15" customHeight="1">
      <c r="A47" s="845" t="s">
        <v>1214</v>
      </c>
      <c r="B47" s="823"/>
      <c r="C47" s="825"/>
      <c r="D47" s="865"/>
      <c r="E47" s="823"/>
      <c r="F47" s="825"/>
      <c r="G47" s="860" t="s">
        <v>1232</v>
      </c>
      <c r="H47" s="859"/>
      <c r="I47" s="859"/>
      <c r="J47" s="859"/>
      <c r="K47" s="861"/>
    </row>
    <row r="48" spans="1:12" ht="15.75" customHeight="1" thickBot="1">
      <c r="A48" s="837" t="s">
        <v>1216</v>
      </c>
      <c r="B48" s="821"/>
      <c r="C48" s="838"/>
      <c r="D48" s="852"/>
      <c r="E48" s="853"/>
      <c r="F48" s="854"/>
      <c r="G48" s="862"/>
      <c r="H48" s="863"/>
      <c r="I48" s="863"/>
      <c r="J48" s="863"/>
      <c r="K48" s="864"/>
    </row>
    <row r="49" spans="1:11" ht="15" customHeight="1">
      <c r="A49" s="845" t="s">
        <v>1217</v>
      </c>
      <c r="B49" s="823"/>
      <c r="C49" s="825"/>
      <c r="D49" s="865"/>
      <c r="E49" s="823"/>
      <c r="F49" s="825"/>
      <c r="G49" s="860" t="s">
        <v>1233</v>
      </c>
      <c r="H49" s="859"/>
      <c r="I49" s="859"/>
      <c r="J49" s="859"/>
      <c r="K49" s="861"/>
    </row>
    <row r="50" spans="1:11" ht="15.75" customHeight="1" thickBot="1">
      <c r="A50" s="837" t="s">
        <v>1164</v>
      </c>
      <c r="B50" s="821"/>
      <c r="C50" s="838"/>
      <c r="D50" s="852"/>
      <c r="E50" s="853"/>
      <c r="F50" s="854"/>
      <c r="G50" s="862"/>
      <c r="H50" s="863"/>
      <c r="I50" s="863"/>
      <c r="J50" s="863"/>
      <c r="K50" s="864"/>
    </row>
    <row r="51" spans="1:11" ht="15" customHeight="1">
      <c r="A51" s="845" t="s">
        <v>1234</v>
      </c>
      <c r="B51" s="823"/>
      <c r="C51" s="825"/>
      <c r="D51" s="851"/>
      <c r="E51" s="823"/>
      <c r="F51" s="825"/>
      <c r="G51" s="860" t="s">
        <v>1235</v>
      </c>
      <c r="H51" s="859"/>
      <c r="I51" s="859"/>
      <c r="J51" s="859"/>
      <c r="K51" s="861"/>
    </row>
    <row r="52" spans="1:11" ht="15.75" customHeight="1" thickBot="1">
      <c r="A52" s="837" t="s">
        <v>1164</v>
      </c>
      <c r="B52" s="821"/>
      <c r="C52" s="838"/>
      <c r="D52" s="852"/>
      <c r="E52" s="853"/>
      <c r="F52" s="854"/>
      <c r="G52" s="862"/>
      <c r="H52" s="863"/>
      <c r="I52" s="863"/>
      <c r="J52" s="863"/>
      <c r="K52" s="864"/>
    </row>
    <row r="53" spans="1:11" ht="17" customHeight="1">
      <c r="A53" s="845" t="s">
        <v>1220</v>
      </c>
      <c r="B53" s="823"/>
      <c r="C53" s="825"/>
      <c r="D53" s="851"/>
      <c r="E53" s="823"/>
      <c r="F53" s="825"/>
      <c r="G53" s="855" t="s">
        <v>1236</v>
      </c>
      <c r="H53" s="823"/>
      <c r="I53" s="823"/>
      <c r="J53" s="823"/>
      <c r="K53" s="825"/>
    </row>
    <row r="54" spans="1:11" ht="17" customHeight="1" thickBot="1">
      <c r="A54" s="899" t="s">
        <v>736</v>
      </c>
      <c r="B54" s="821"/>
      <c r="C54" s="838"/>
      <c r="D54" s="852"/>
      <c r="E54" s="853"/>
      <c r="F54" s="854"/>
      <c r="G54" s="852"/>
      <c r="H54" s="853"/>
      <c r="I54" s="853"/>
      <c r="J54" s="853"/>
      <c r="K54" s="854"/>
    </row>
    <row r="55" spans="1:11" ht="17" customHeight="1">
      <c r="A55" s="880" t="s">
        <v>906</v>
      </c>
      <c r="B55" s="881"/>
      <c r="C55" s="882"/>
      <c r="D55" s="851"/>
      <c r="E55" s="823"/>
      <c r="F55" s="825"/>
      <c r="G55" s="860" t="s">
        <v>905</v>
      </c>
      <c r="H55" s="859"/>
      <c r="I55" s="859"/>
      <c r="J55" s="859"/>
      <c r="K55" s="861"/>
    </row>
    <row r="56" spans="1:11" ht="17" customHeight="1" thickBot="1">
      <c r="A56" s="900" t="s">
        <v>1164</v>
      </c>
      <c r="B56" s="901"/>
      <c r="C56" s="902"/>
      <c r="D56" s="852"/>
      <c r="E56" s="853"/>
      <c r="F56" s="854"/>
      <c r="G56" s="862"/>
      <c r="H56" s="863"/>
      <c r="I56" s="863"/>
      <c r="J56" s="863"/>
      <c r="K56" s="864"/>
    </row>
    <row r="57" spans="1:11" ht="15" customHeight="1">
      <c r="A57" s="845" t="s">
        <v>692</v>
      </c>
      <c r="B57" s="823"/>
      <c r="C57" s="825"/>
      <c r="D57" s="851"/>
      <c r="E57" s="823"/>
      <c r="F57" s="825"/>
      <c r="G57" s="860" t="s">
        <v>909</v>
      </c>
      <c r="H57" s="859"/>
      <c r="I57" s="859"/>
      <c r="J57" s="859"/>
      <c r="K57" s="861"/>
    </row>
    <row r="58" spans="1:11" ht="15.75" customHeight="1" thickBot="1">
      <c r="A58" s="837" t="s">
        <v>1164</v>
      </c>
      <c r="B58" s="821"/>
      <c r="C58" s="838"/>
      <c r="D58" s="852"/>
      <c r="E58" s="853"/>
      <c r="F58" s="854"/>
      <c r="G58" s="862"/>
      <c r="H58" s="863"/>
      <c r="I58" s="863"/>
      <c r="J58" s="863"/>
      <c r="K58" s="864"/>
    </row>
    <row r="59" spans="1:11" ht="19.5" customHeight="1">
      <c r="A59" s="845" t="s">
        <v>1237</v>
      </c>
      <c r="B59" s="823"/>
      <c r="C59" s="825"/>
      <c r="D59" s="851"/>
      <c r="E59" s="823"/>
      <c r="F59" s="825"/>
      <c r="G59" s="907" t="s">
        <v>1238</v>
      </c>
      <c r="H59" s="859"/>
      <c r="I59" s="859"/>
      <c r="J59" s="859"/>
      <c r="K59" s="861"/>
    </row>
    <row r="60" spans="1:11" ht="19.5" customHeight="1" thickBot="1">
      <c r="A60" s="837" t="s">
        <v>1164</v>
      </c>
      <c r="B60" s="821"/>
      <c r="C60" s="838"/>
      <c r="D60" s="852"/>
      <c r="E60" s="853"/>
      <c r="F60" s="854"/>
      <c r="G60" s="862"/>
      <c r="H60" s="863"/>
      <c r="I60" s="863"/>
      <c r="J60" s="863"/>
      <c r="K60" s="864"/>
    </row>
    <row r="61" spans="1:11" ht="18" customHeight="1">
      <c r="A61" s="883" t="s">
        <v>1223</v>
      </c>
      <c r="B61" s="823"/>
      <c r="C61" s="823"/>
      <c r="D61" s="823"/>
      <c r="E61" s="823"/>
      <c r="F61" s="823"/>
      <c r="G61" s="823"/>
      <c r="H61" s="823"/>
      <c r="I61" s="823"/>
      <c r="J61" s="823"/>
      <c r="K61" s="825"/>
    </row>
    <row r="62" spans="1:11" ht="15.5" customHeight="1">
      <c r="A62" s="874"/>
      <c r="B62" s="841"/>
      <c r="C62" s="841"/>
      <c r="D62" s="841"/>
      <c r="E62" s="841"/>
      <c r="F62" s="841"/>
      <c r="G62" s="841"/>
      <c r="H62" s="841"/>
      <c r="I62" s="841"/>
      <c r="J62" s="841"/>
      <c r="K62" s="842"/>
    </row>
    <row r="63" spans="1:11" ht="24" customHeight="1">
      <c r="A63" s="840" t="s">
        <v>1224</v>
      </c>
      <c r="B63" s="841"/>
      <c r="C63" s="841"/>
      <c r="D63" s="841"/>
      <c r="E63" s="841"/>
      <c r="F63" s="841"/>
      <c r="G63" s="841"/>
      <c r="H63" s="841"/>
      <c r="I63" s="841"/>
      <c r="J63" s="841"/>
      <c r="K63" s="842"/>
    </row>
    <row r="64" spans="1:11" ht="24" customHeight="1">
      <c r="A64" s="840" t="s">
        <v>1239</v>
      </c>
      <c r="B64" s="841"/>
      <c r="C64" s="841"/>
      <c r="D64" s="841"/>
      <c r="E64" s="841"/>
      <c r="F64" s="841"/>
      <c r="G64" s="841"/>
      <c r="H64" s="841"/>
      <c r="I64" s="841"/>
      <c r="J64" s="841"/>
      <c r="K64" s="842"/>
    </row>
    <row r="65" spans="1:11" ht="15.5" customHeight="1">
      <c r="A65" s="892"/>
      <c r="B65" s="841"/>
      <c r="C65" s="841"/>
      <c r="D65" s="841"/>
      <c r="E65" s="841"/>
      <c r="F65" s="841"/>
      <c r="G65" s="841"/>
      <c r="H65" s="841"/>
      <c r="I65" s="841"/>
      <c r="J65" s="841"/>
      <c r="K65" s="842"/>
    </row>
    <row r="66" spans="1:11" ht="15" customHeight="1" thickBot="1">
      <c r="A66" s="837"/>
      <c r="B66" s="821"/>
      <c r="C66" s="821"/>
      <c r="D66" s="821"/>
      <c r="E66" s="821"/>
      <c r="F66" s="821"/>
      <c r="G66" s="821"/>
      <c r="H66" s="821"/>
      <c r="I66" s="821"/>
      <c r="J66" s="821"/>
      <c r="K66" s="838"/>
    </row>
    <row r="67" spans="1:11">
      <c r="A67" s="869" t="s">
        <v>1226</v>
      </c>
      <c r="B67" s="823"/>
      <c r="C67" s="823"/>
      <c r="D67" s="823"/>
      <c r="E67" s="823"/>
      <c r="F67" s="823"/>
      <c r="G67" s="823"/>
      <c r="H67" s="823"/>
      <c r="I67" s="823"/>
      <c r="J67" s="823"/>
      <c r="K67" s="825"/>
    </row>
    <row r="68" spans="1:11" ht="15" customHeight="1" thickBot="1">
      <c r="A68" s="852"/>
      <c r="B68" s="853"/>
      <c r="C68" s="853"/>
      <c r="D68" s="853"/>
      <c r="E68" s="853"/>
      <c r="F68" s="853"/>
      <c r="G68" s="853"/>
      <c r="H68" s="853"/>
      <c r="I68" s="853"/>
      <c r="J68" s="853"/>
      <c r="K68" s="854"/>
    </row>
  </sheetData>
  <mergeCells count="117">
    <mergeCell ref="A13:E14"/>
    <mergeCell ref="A41:E41"/>
    <mergeCell ref="A53:C53"/>
    <mergeCell ref="A66:K66"/>
    <mergeCell ref="A27:E27"/>
    <mergeCell ref="F39:K39"/>
    <mergeCell ref="I19:K19"/>
    <mergeCell ref="C2:D2"/>
    <mergeCell ref="E3:G3"/>
    <mergeCell ref="A48:C48"/>
    <mergeCell ref="A5:K5"/>
    <mergeCell ref="G57:K58"/>
    <mergeCell ref="F19:H19"/>
    <mergeCell ref="A45:C45"/>
    <mergeCell ref="A29:K29"/>
    <mergeCell ref="A10:E10"/>
    <mergeCell ref="A38:K38"/>
    <mergeCell ref="F40:K40"/>
    <mergeCell ref="F13:K14"/>
    <mergeCell ref="F21:K21"/>
    <mergeCell ref="A31:K31"/>
    <mergeCell ref="A1:K1"/>
    <mergeCell ref="F23:H23"/>
    <mergeCell ref="E2:G2"/>
    <mergeCell ref="A47:C47"/>
    <mergeCell ref="G51:K52"/>
    <mergeCell ref="A65:K65"/>
    <mergeCell ref="I20:K20"/>
    <mergeCell ref="A37:K37"/>
    <mergeCell ref="A42:E42"/>
    <mergeCell ref="D57:F58"/>
    <mergeCell ref="A11:E12"/>
    <mergeCell ref="D44:F44"/>
    <mergeCell ref="A32:K32"/>
    <mergeCell ref="A59:C59"/>
    <mergeCell ref="C6:E6"/>
    <mergeCell ref="F16:H16"/>
    <mergeCell ref="A4:K4"/>
    <mergeCell ref="F10:K10"/>
    <mergeCell ref="G44:K44"/>
    <mergeCell ref="I26:K26"/>
    <mergeCell ref="F7:K7"/>
    <mergeCell ref="G53:K54"/>
    <mergeCell ref="A54:C54"/>
    <mergeCell ref="F20:H20"/>
    <mergeCell ref="A51:C51"/>
    <mergeCell ref="F25:H25"/>
    <mergeCell ref="A60:C60"/>
    <mergeCell ref="F6:K6"/>
    <mergeCell ref="D53:F54"/>
    <mergeCell ref="A63:K63"/>
    <mergeCell ref="A22:E26"/>
    <mergeCell ref="A40:E40"/>
    <mergeCell ref="F24:H24"/>
    <mergeCell ref="I25:K25"/>
    <mergeCell ref="D55:F56"/>
    <mergeCell ref="A34:K34"/>
    <mergeCell ref="F9:I9"/>
    <mergeCell ref="F42:K42"/>
    <mergeCell ref="C9:E9"/>
    <mergeCell ref="F26:H26"/>
    <mergeCell ref="A36:K36"/>
    <mergeCell ref="G49:K50"/>
    <mergeCell ref="A50:C50"/>
    <mergeCell ref="I16:K16"/>
    <mergeCell ref="G55:K56"/>
    <mergeCell ref="A56:C56"/>
    <mergeCell ref="I18:K18"/>
    <mergeCell ref="A6:B6"/>
    <mergeCell ref="A67:K68"/>
    <mergeCell ref="D47:F48"/>
    <mergeCell ref="A35:K35"/>
    <mergeCell ref="A49:C49"/>
    <mergeCell ref="A43:E43"/>
    <mergeCell ref="A62:K62"/>
    <mergeCell ref="A28:K28"/>
    <mergeCell ref="A9:B9"/>
    <mergeCell ref="C3:D3"/>
    <mergeCell ref="A30:K30"/>
    <mergeCell ref="I22:K22"/>
    <mergeCell ref="F11:K12"/>
    <mergeCell ref="A55:C55"/>
    <mergeCell ref="D51:F52"/>
    <mergeCell ref="A61:K61"/>
    <mergeCell ref="I23:K23"/>
    <mergeCell ref="D49:F50"/>
    <mergeCell ref="F43:K43"/>
    <mergeCell ref="G59:K60"/>
    <mergeCell ref="C8:K8"/>
    <mergeCell ref="A16:E20"/>
    <mergeCell ref="A44:C44"/>
    <mergeCell ref="A58:C58"/>
    <mergeCell ref="A8:B8"/>
    <mergeCell ref="A39:E39"/>
    <mergeCell ref="F18:H18"/>
    <mergeCell ref="A46:C46"/>
    <mergeCell ref="A64:K64"/>
    <mergeCell ref="A15:K15"/>
    <mergeCell ref="F41:K41"/>
    <mergeCell ref="F17:H17"/>
    <mergeCell ref="H2:J2"/>
    <mergeCell ref="A57:C57"/>
    <mergeCell ref="J9:K9"/>
    <mergeCell ref="I24:K24"/>
    <mergeCell ref="F22:H22"/>
    <mergeCell ref="A7:B7"/>
    <mergeCell ref="D59:F60"/>
    <mergeCell ref="G45:K46"/>
    <mergeCell ref="F27:K27"/>
    <mergeCell ref="I17:K17"/>
    <mergeCell ref="H3:J3"/>
    <mergeCell ref="C7:E7"/>
    <mergeCell ref="A52:C52"/>
    <mergeCell ref="G47:K48"/>
    <mergeCell ref="A21:E21"/>
    <mergeCell ref="D45:F46"/>
    <mergeCell ref="A33:K33"/>
  </mergeCells>
  <pageMargins left="0.51181102362204722" right="0.31496062992125978" top="0.35433070866141742" bottom="0.35433070866141742" header="0.31496062992125978" footer="0.31496062992125978"/>
  <pageSetup paperSize="8" scale="67" fitToHeight="0"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8"/>
  </sheetPr>
  <dimension ref="B6:AF129"/>
  <sheetViews>
    <sheetView topLeftCell="A60" zoomScale="114" zoomScaleNormal="86" workbookViewId="0">
      <selection activeCell="D99" sqref="D99"/>
    </sheetView>
  </sheetViews>
  <sheetFormatPr defaultColWidth="10.69140625" defaultRowHeight="12.5"/>
  <cols>
    <col min="1" max="1" width="10.69140625" style="501" customWidth="1"/>
    <col min="2" max="2" width="29" style="501" bestFit="1" customWidth="1"/>
    <col min="3" max="3" width="2.15234375" style="501" bestFit="1" customWidth="1"/>
    <col min="4" max="4" width="25.15234375" style="501" customWidth="1"/>
    <col min="5" max="5" width="2.15234375" style="501" bestFit="1" customWidth="1"/>
    <col min="6" max="6" width="29.3046875" style="501" customWidth="1"/>
    <col min="7" max="7" width="2.15234375" style="501" bestFit="1" customWidth="1"/>
    <col min="8" max="8" width="29.15234375" style="501" customWidth="1"/>
    <col min="9" max="9" width="2.15234375" style="501" bestFit="1" customWidth="1"/>
    <col min="10" max="10" width="33.15234375" style="501" customWidth="1"/>
    <col min="11" max="11" width="2.15234375" style="501" bestFit="1" customWidth="1"/>
    <col min="12" max="12" width="29.84375" style="501" customWidth="1"/>
    <col min="13" max="13" width="2.15234375" style="501" bestFit="1" customWidth="1"/>
    <col min="14" max="14" width="26.84375" style="501" customWidth="1"/>
    <col min="15" max="15" width="2.15234375" style="501" bestFit="1" customWidth="1"/>
    <col min="16" max="16" width="30.3828125" style="501" customWidth="1"/>
    <col min="17" max="17" width="2.15234375" style="501" bestFit="1" customWidth="1"/>
    <col min="18" max="18" width="32.15234375" style="501" customWidth="1"/>
    <col min="19" max="19" width="2.15234375" style="501" bestFit="1" customWidth="1"/>
    <col min="20" max="20" width="29.3828125" style="501" customWidth="1"/>
    <col min="21" max="21" width="2.15234375" style="501" bestFit="1" customWidth="1"/>
    <col min="22" max="22" width="26.53515625" style="501" customWidth="1"/>
    <col min="23" max="23" width="2.15234375" style="501" bestFit="1" customWidth="1"/>
    <col min="24" max="24" width="29" style="501" bestFit="1" customWidth="1"/>
    <col min="25" max="25" width="2.15234375" style="501" bestFit="1" customWidth="1"/>
    <col min="26" max="26" width="29.15234375" style="501" customWidth="1"/>
    <col min="27" max="27" width="2.15234375" style="501" customWidth="1"/>
    <col min="28" max="28" width="29.15234375" style="501" customWidth="1"/>
    <col min="29" max="29" width="2.15234375" style="501" customWidth="1"/>
    <col min="30" max="30" width="29.15234375" style="501" customWidth="1"/>
    <col min="31" max="31" width="2.15234375" style="501" customWidth="1"/>
    <col min="32" max="32" width="29.15234375" style="501" customWidth="1"/>
    <col min="33" max="34" width="10.69140625" style="501" customWidth="1"/>
    <col min="35" max="16384" width="10.69140625" style="501"/>
  </cols>
  <sheetData>
    <row r="6" spans="2:32">
      <c r="B6" s="501" t="s">
        <v>1240</v>
      </c>
      <c r="D6" s="505" t="s">
        <v>90</v>
      </c>
      <c r="E6" s="502"/>
      <c r="F6" s="505" t="s">
        <v>95</v>
      </c>
      <c r="G6" s="502"/>
      <c r="H6" s="505" t="s">
        <v>69</v>
      </c>
      <c r="I6" s="502"/>
      <c r="J6" s="505" t="s">
        <v>1241</v>
      </c>
      <c r="K6" s="502"/>
      <c r="L6" s="505" t="s">
        <v>169</v>
      </c>
      <c r="M6" s="502"/>
      <c r="N6" s="505" t="s">
        <v>111</v>
      </c>
      <c r="O6" s="502"/>
      <c r="P6" s="505" t="s">
        <v>1242</v>
      </c>
      <c r="Q6" s="502"/>
      <c r="R6" s="505" t="s">
        <v>98</v>
      </c>
      <c r="S6" s="502"/>
      <c r="T6" s="505" t="s">
        <v>1243</v>
      </c>
      <c r="U6" s="502"/>
      <c r="V6" s="505" t="s">
        <v>120</v>
      </c>
      <c r="W6" s="502"/>
      <c r="X6" s="505" t="s">
        <v>1244</v>
      </c>
      <c r="Y6" s="502"/>
      <c r="Z6" s="505" t="s">
        <v>59</v>
      </c>
      <c r="AA6" s="502"/>
      <c r="AB6" s="505" t="s">
        <v>78</v>
      </c>
      <c r="AC6" s="502"/>
      <c r="AD6" s="505" t="s">
        <v>142</v>
      </c>
      <c r="AF6" s="501" t="s">
        <v>191</v>
      </c>
    </row>
    <row r="7" spans="2:32" ht="14" customHeight="1">
      <c r="B7" s="503" t="s">
        <v>59</v>
      </c>
      <c r="D7" s="504" t="s">
        <v>106</v>
      </c>
      <c r="F7" s="504" t="s">
        <v>104</v>
      </c>
      <c r="H7" s="504" t="s">
        <v>70</v>
      </c>
      <c r="J7" s="504" t="s">
        <v>1245</v>
      </c>
      <c r="L7" s="504" t="s">
        <v>188</v>
      </c>
      <c r="N7" s="504" t="s">
        <v>150</v>
      </c>
      <c r="P7" s="504" t="s">
        <v>917</v>
      </c>
      <c r="R7" s="504" t="s">
        <v>98</v>
      </c>
      <c r="T7" s="504" t="s">
        <v>1246</v>
      </c>
      <c r="V7" s="504" t="s">
        <v>1247</v>
      </c>
      <c r="X7" s="504" t="s">
        <v>1248</v>
      </c>
      <c r="Z7" s="504" t="s">
        <v>226</v>
      </c>
      <c r="AB7" s="504" t="s">
        <v>102</v>
      </c>
      <c r="AD7" s="504" t="s">
        <v>142</v>
      </c>
      <c r="AF7" s="501" t="s">
        <v>192</v>
      </c>
    </row>
    <row r="8" spans="2:32" ht="14" customHeight="1">
      <c r="B8" s="503" t="s">
        <v>69</v>
      </c>
      <c r="D8" s="504" t="s">
        <v>91</v>
      </c>
      <c r="F8" s="504" t="s">
        <v>96</v>
      </c>
      <c r="H8" s="504" t="s">
        <v>108</v>
      </c>
      <c r="J8" s="504" t="s">
        <v>1249</v>
      </c>
      <c r="L8" s="504" t="s">
        <v>175</v>
      </c>
      <c r="N8" s="504" t="s">
        <v>1143</v>
      </c>
      <c r="P8" s="504" t="s">
        <v>542</v>
      </c>
      <c r="R8" s="504" t="s">
        <v>1250</v>
      </c>
      <c r="T8" s="504" t="s">
        <v>1248</v>
      </c>
      <c r="V8" s="504" t="s">
        <v>1251</v>
      </c>
      <c r="X8" s="504" t="s">
        <v>1252</v>
      </c>
      <c r="Z8" s="504" t="s">
        <v>1253</v>
      </c>
      <c r="AB8" s="504" t="s">
        <v>1254</v>
      </c>
      <c r="AD8" s="504" t="s">
        <v>1255</v>
      </c>
      <c r="AF8" s="501" t="s">
        <v>1256</v>
      </c>
    </row>
    <row r="9" spans="2:32" ht="14" customHeight="1">
      <c r="B9" s="503" t="s">
        <v>95</v>
      </c>
      <c r="D9" s="504" t="s">
        <v>1257</v>
      </c>
      <c r="F9" s="504" t="s">
        <v>1258</v>
      </c>
      <c r="H9" s="504" t="s">
        <v>1130</v>
      </c>
      <c r="J9" s="504" t="s">
        <v>1259</v>
      </c>
      <c r="L9" s="504" t="s">
        <v>1260</v>
      </c>
      <c r="N9" s="504" t="s">
        <v>1247</v>
      </c>
      <c r="P9" s="504" t="s">
        <v>1261</v>
      </c>
      <c r="R9" s="504" t="s">
        <v>1262</v>
      </c>
      <c r="T9" s="504" t="s">
        <v>1263</v>
      </c>
      <c r="V9" s="504" t="s">
        <v>1264</v>
      </c>
      <c r="X9" s="504" t="s">
        <v>1265</v>
      </c>
      <c r="Z9" s="504" t="s">
        <v>1266</v>
      </c>
      <c r="AB9" s="504" t="s">
        <v>1267</v>
      </c>
      <c r="AD9" s="504" t="s">
        <v>143</v>
      </c>
      <c r="AF9" s="501" t="s">
        <v>1268</v>
      </c>
    </row>
    <row r="10" spans="2:32" ht="14" customHeight="1">
      <c r="B10" s="503" t="s">
        <v>1241</v>
      </c>
      <c r="D10" s="504" t="s">
        <v>1269</v>
      </c>
      <c r="F10" s="504" t="s">
        <v>1270</v>
      </c>
      <c r="H10" s="504" t="s">
        <v>1271</v>
      </c>
      <c r="J10" s="504" t="s">
        <v>1272</v>
      </c>
      <c r="L10" s="504" t="s">
        <v>1273</v>
      </c>
      <c r="N10" s="504" t="s">
        <v>1251</v>
      </c>
      <c r="P10" s="504" t="s">
        <v>1130</v>
      </c>
      <c r="R10" s="504" t="s">
        <v>1274</v>
      </c>
      <c r="T10" s="504"/>
      <c r="V10" s="504" t="s">
        <v>1275</v>
      </c>
      <c r="X10" s="504" t="s">
        <v>1276</v>
      </c>
      <c r="Z10" s="504" t="s">
        <v>60</v>
      </c>
      <c r="AB10" s="504" t="s">
        <v>143</v>
      </c>
      <c r="AD10" s="504" t="s">
        <v>1277</v>
      </c>
    </row>
    <row r="11" spans="2:32" ht="14" customHeight="1">
      <c r="B11" s="503" t="s">
        <v>90</v>
      </c>
      <c r="D11" s="504" t="s">
        <v>1278</v>
      </c>
      <c r="F11" s="504" t="s">
        <v>1277</v>
      </c>
      <c r="H11" s="504" t="s">
        <v>61</v>
      </c>
      <c r="J11" s="504" t="s">
        <v>1279</v>
      </c>
      <c r="L11" s="504" t="s">
        <v>1280</v>
      </c>
      <c r="N11" s="504" t="s">
        <v>112</v>
      </c>
      <c r="P11" s="504"/>
      <c r="R11" s="504" t="s">
        <v>1281</v>
      </c>
      <c r="T11" s="504"/>
      <c r="V11" s="504" t="s">
        <v>1282</v>
      </c>
      <c r="X11" s="504"/>
      <c r="Z11" s="504" t="s">
        <v>170</v>
      </c>
      <c r="AB11" s="504" t="s">
        <v>1283</v>
      </c>
      <c r="AD11" s="504" t="s">
        <v>1284</v>
      </c>
    </row>
    <row r="12" spans="2:32" ht="14" customHeight="1">
      <c r="B12" s="503" t="s">
        <v>169</v>
      </c>
      <c r="D12" s="504" t="s">
        <v>1285</v>
      </c>
      <c r="F12" s="504" t="s">
        <v>1159</v>
      </c>
      <c r="H12" s="504" t="s">
        <v>1286</v>
      </c>
      <c r="J12" s="504" t="s">
        <v>1287</v>
      </c>
      <c r="L12" s="504" t="s">
        <v>1159</v>
      </c>
      <c r="N12" s="504" t="s">
        <v>1288</v>
      </c>
      <c r="P12" s="504"/>
      <c r="R12" s="504" t="s">
        <v>1289</v>
      </c>
      <c r="T12" s="504"/>
      <c r="V12" s="504" t="s">
        <v>121</v>
      </c>
      <c r="X12" s="504"/>
      <c r="Z12" s="504" t="s">
        <v>1290</v>
      </c>
      <c r="AB12" s="504" t="s">
        <v>1291</v>
      </c>
      <c r="AD12" s="504" t="s">
        <v>1292</v>
      </c>
    </row>
    <row r="13" spans="2:32" ht="14" customHeight="1">
      <c r="B13" s="503" t="s">
        <v>111</v>
      </c>
      <c r="D13" s="504" t="s">
        <v>1293</v>
      </c>
      <c r="F13" s="504" t="s">
        <v>143</v>
      </c>
      <c r="H13" s="504" t="s">
        <v>157</v>
      </c>
      <c r="J13" s="504" t="s">
        <v>1294</v>
      </c>
      <c r="L13" s="504" t="s">
        <v>169</v>
      </c>
      <c r="N13" s="504" t="s">
        <v>1295</v>
      </c>
      <c r="P13" s="504"/>
      <c r="R13" s="504" t="s">
        <v>1141</v>
      </c>
      <c r="T13" s="504"/>
      <c r="V13" s="504"/>
      <c r="X13" s="504"/>
      <c r="Z13" s="504" t="s">
        <v>1296</v>
      </c>
      <c r="AB13" s="504" t="s">
        <v>1297</v>
      </c>
      <c r="AD13" s="504" t="s">
        <v>1298</v>
      </c>
    </row>
    <row r="14" spans="2:32" ht="14" customHeight="1">
      <c r="B14" s="503" t="s">
        <v>1242</v>
      </c>
      <c r="D14" s="504" t="s">
        <v>1299</v>
      </c>
      <c r="F14" s="504" t="s">
        <v>102</v>
      </c>
      <c r="H14" s="504" t="s">
        <v>1300</v>
      </c>
      <c r="J14" s="504" t="s">
        <v>1252</v>
      </c>
      <c r="L14" s="504" t="s">
        <v>1283</v>
      </c>
      <c r="N14" s="504" t="s">
        <v>1301</v>
      </c>
      <c r="P14" s="504"/>
      <c r="R14" s="504" t="s">
        <v>1302</v>
      </c>
      <c r="T14" s="504"/>
      <c r="V14" s="504"/>
      <c r="X14" s="504"/>
      <c r="Z14" s="504" t="s">
        <v>1303</v>
      </c>
      <c r="AB14" s="504" t="s">
        <v>1304</v>
      </c>
      <c r="AD14" s="504" t="s">
        <v>1305</v>
      </c>
    </row>
    <row r="15" spans="2:32" ht="14" customHeight="1">
      <c r="B15" s="503" t="s">
        <v>98</v>
      </c>
      <c r="D15" s="504" t="s">
        <v>1306</v>
      </c>
      <c r="F15" s="504" t="s">
        <v>1307</v>
      </c>
      <c r="H15" s="504" t="s">
        <v>1308</v>
      </c>
      <c r="J15" s="504" t="s">
        <v>1241</v>
      </c>
      <c r="L15" s="504" t="s">
        <v>1267</v>
      </c>
      <c r="N15" s="504" t="s">
        <v>1255</v>
      </c>
      <c r="P15" s="504"/>
      <c r="R15" s="504" t="s">
        <v>1309</v>
      </c>
      <c r="T15" s="504"/>
      <c r="V15" s="504"/>
      <c r="X15" s="504"/>
      <c r="Z15" s="504"/>
      <c r="AB15" s="504" t="s">
        <v>79</v>
      </c>
      <c r="AD15" s="504" t="s">
        <v>1310</v>
      </c>
    </row>
    <row r="16" spans="2:32" ht="14" customHeight="1">
      <c r="B16" s="503" t="s">
        <v>1243</v>
      </c>
      <c r="D16" s="504" t="s">
        <v>1311</v>
      </c>
      <c r="F16" s="504" t="s">
        <v>1312</v>
      </c>
      <c r="H16" s="504" t="s">
        <v>1313</v>
      </c>
      <c r="J16" s="504" t="s">
        <v>1314</v>
      </c>
      <c r="L16" s="504" t="s">
        <v>143</v>
      </c>
      <c r="N16" s="504" t="s">
        <v>1315</v>
      </c>
      <c r="P16" s="504"/>
      <c r="V16" s="504"/>
      <c r="Z16" s="504"/>
      <c r="AB16" s="504" t="s">
        <v>1316</v>
      </c>
    </row>
    <row r="17" spans="2:28" ht="14" customHeight="1">
      <c r="B17" s="503" t="s">
        <v>120</v>
      </c>
      <c r="D17" s="504" t="s">
        <v>1317</v>
      </c>
      <c r="F17" s="504" t="s">
        <v>1292</v>
      </c>
      <c r="H17" s="504" t="s">
        <v>1318</v>
      </c>
      <c r="J17" s="504" t="s">
        <v>1319</v>
      </c>
      <c r="L17" s="504" t="s">
        <v>1320</v>
      </c>
      <c r="N17" s="504" t="s">
        <v>1141</v>
      </c>
      <c r="P17" s="504"/>
      <c r="V17" s="504"/>
      <c r="Z17" s="504"/>
      <c r="AB17" s="504" t="s">
        <v>1321</v>
      </c>
    </row>
    <row r="18" spans="2:28" ht="14" customHeight="1">
      <c r="B18" s="503" t="s">
        <v>1244</v>
      </c>
      <c r="D18" s="504" t="s">
        <v>1322</v>
      </c>
      <c r="F18" s="504"/>
      <c r="H18" s="504" t="s">
        <v>117</v>
      </c>
      <c r="J18" s="504" t="s">
        <v>1276</v>
      </c>
      <c r="L18" s="504" t="s">
        <v>1323</v>
      </c>
      <c r="N18" s="504" t="s">
        <v>1324</v>
      </c>
      <c r="P18" s="504"/>
      <c r="Z18" s="504"/>
      <c r="AB18" s="504" t="s">
        <v>192</v>
      </c>
    </row>
    <row r="19" spans="2:28" ht="14" customHeight="1">
      <c r="B19" s="503" t="s">
        <v>78</v>
      </c>
      <c r="D19" s="504" t="s">
        <v>1325</v>
      </c>
      <c r="F19" s="504"/>
      <c r="H19" s="504" t="s">
        <v>1146</v>
      </c>
      <c r="J19" s="504" t="s">
        <v>504</v>
      </c>
      <c r="L19" s="504" t="s">
        <v>1263</v>
      </c>
      <c r="N19" s="504" t="s">
        <v>1326</v>
      </c>
      <c r="P19" s="504"/>
      <c r="Z19" s="504"/>
      <c r="AB19" s="504" t="s">
        <v>1312</v>
      </c>
    </row>
    <row r="20" spans="2:28" ht="14" customHeight="1">
      <c r="B20" s="503" t="s">
        <v>142</v>
      </c>
      <c r="D20" s="504" t="s">
        <v>1327</v>
      </c>
      <c r="F20" s="504"/>
      <c r="H20" s="504" t="s">
        <v>85</v>
      </c>
      <c r="J20" s="504" t="s">
        <v>1265</v>
      </c>
      <c r="L20" s="504" t="s">
        <v>1328</v>
      </c>
      <c r="N20" s="504" t="s">
        <v>1329</v>
      </c>
      <c r="P20" s="504"/>
      <c r="Z20" s="504"/>
      <c r="AB20" s="504" t="s">
        <v>136</v>
      </c>
    </row>
    <row r="21" spans="2:28" ht="14" customHeight="1">
      <c r="B21" s="503" t="s">
        <v>191</v>
      </c>
      <c r="D21" s="504" t="s">
        <v>1330</v>
      </c>
      <c r="F21" s="504"/>
      <c r="H21" s="504" t="s">
        <v>1331</v>
      </c>
      <c r="J21" s="504"/>
      <c r="L21" s="504" t="s">
        <v>170</v>
      </c>
      <c r="P21" s="504"/>
      <c r="Z21" s="504"/>
    </row>
    <row r="22" spans="2:28" ht="14" customHeight="1">
      <c r="D22" s="504" t="s">
        <v>1332</v>
      </c>
      <c r="L22" s="504" t="s">
        <v>177</v>
      </c>
      <c r="P22" s="504"/>
      <c r="Z22" s="504"/>
    </row>
    <row r="23" spans="2:28" ht="14" customHeight="1">
      <c r="D23" s="504" t="s">
        <v>1333</v>
      </c>
      <c r="L23" s="504"/>
      <c r="P23" s="504"/>
    </row>
    <row r="24" spans="2:28" ht="14" customHeight="1">
      <c r="D24" s="504" t="s">
        <v>1334</v>
      </c>
      <c r="L24" s="504"/>
      <c r="P24" s="504"/>
    </row>
    <row r="25" spans="2:28" ht="14" customHeight="1">
      <c r="D25" s="504" t="s">
        <v>1335</v>
      </c>
      <c r="P25" s="504"/>
      <c r="AB25" s="504"/>
    </row>
    <row r="26" spans="2:28" ht="14" customHeight="1">
      <c r="B26" s="503"/>
      <c r="D26" s="504" t="s">
        <v>1174</v>
      </c>
      <c r="AB26" s="504"/>
    </row>
    <row r="27" spans="2:28" ht="14" customHeight="1">
      <c r="B27" s="503"/>
      <c r="D27" s="504" t="s">
        <v>1336</v>
      </c>
      <c r="AB27" s="504"/>
    </row>
    <row r="28" spans="2:28" ht="14" customHeight="1">
      <c r="B28" s="503"/>
      <c r="D28" s="504" t="s">
        <v>1337</v>
      </c>
      <c r="AB28" s="504"/>
    </row>
    <row r="29" spans="2:28">
      <c r="B29" s="503"/>
      <c r="AB29" s="504"/>
    </row>
    <row r="30" spans="2:28">
      <c r="B30" s="503"/>
      <c r="AB30" s="504"/>
    </row>
    <row r="31" spans="2:28">
      <c r="B31" s="503"/>
      <c r="AB31" s="504"/>
    </row>
    <row r="32" spans="2:28">
      <c r="B32" s="503"/>
      <c r="AB32" s="504"/>
    </row>
    <row r="33" spans="2:28">
      <c r="B33" s="503"/>
      <c r="AB33" s="504"/>
    </row>
    <row r="34" spans="2:28">
      <c r="B34" s="503"/>
      <c r="AB34" s="504"/>
    </row>
    <row r="35" spans="2:28">
      <c r="B35" s="503"/>
      <c r="AB35" s="504"/>
    </row>
    <row r="36" spans="2:28">
      <c r="B36" s="503" t="s">
        <v>1338</v>
      </c>
      <c r="D36" s="503" t="s">
        <v>167</v>
      </c>
      <c r="F36" s="503" t="s">
        <v>1124</v>
      </c>
      <c r="H36" s="503" t="s">
        <v>92</v>
      </c>
      <c r="J36" s="503" t="s">
        <v>1131</v>
      </c>
      <c r="L36" s="503" t="s">
        <v>1339</v>
      </c>
      <c r="N36" s="503" t="s">
        <v>99</v>
      </c>
      <c r="P36" s="503" t="s">
        <v>137</v>
      </c>
      <c r="R36" s="501" t="s">
        <v>86</v>
      </c>
      <c r="T36" s="501" t="s">
        <v>61</v>
      </c>
      <c r="V36" s="501" t="s">
        <v>113</v>
      </c>
      <c r="X36" s="503" t="s">
        <v>1340</v>
      </c>
      <c r="Z36" s="503" t="s">
        <v>80</v>
      </c>
    </row>
    <row r="37" spans="2:28" ht="14" customHeight="1">
      <c r="B37" s="503" t="s">
        <v>80</v>
      </c>
      <c r="D37" s="504" t="s">
        <v>4</v>
      </c>
      <c r="F37" s="504" t="s">
        <v>1341</v>
      </c>
      <c r="H37" s="504" t="s">
        <v>513</v>
      </c>
      <c r="J37" s="504" t="s">
        <v>10</v>
      </c>
      <c r="L37" s="504" t="s">
        <v>1243</v>
      </c>
      <c r="N37" s="504" t="s">
        <v>1342</v>
      </c>
      <c r="P37" s="504" t="s">
        <v>1343</v>
      </c>
      <c r="R37" s="504" t="s">
        <v>161</v>
      </c>
      <c r="T37" s="504" t="s">
        <v>270</v>
      </c>
      <c r="V37" s="504" t="s">
        <v>114</v>
      </c>
      <c r="X37" s="504" t="s">
        <v>1344</v>
      </c>
      <c r="Z37" s="582" t="s">
        <v>1345</v>
      </c>
    </row>
    <row r="38" spans="2:28" ht="14" customHeight="1">
      <c r="B38" s="503" t="s">
        <v>167</v>
      </c>
      <c r="D38" s="504" t="s">
        <v>1346</v>
      </c>
      <c r="F38" s="504" t="s">
        <v>1347</v>
      </c>
      <c r="H38" s="504" t="s">
        <v>1348</v>
      </c>
      <c r="J38" s="504" t="s">
        <v>1349</v>
      </c>
      <c r="L38" s="504" t="s">
        <v>1350</v>
      </c>
      <c r="N38" s="504" t="s">
        <v>1351</v>
      </c>
      <c r="P38" s="504" t="s">
        <v>294</v>
      </c>
      <c r="R38" s="504" t="s">
        <v>1352</v>
      </c>
      <c r="T38" s="504" t="s">
        <v>1353</v>
      </c>
      <c r="V38" s="504" t="s">
        <v>1354</v>
      </c>
      <c r="X38" s="504" t="s">
        <v>1355</v>
      </c>
      <c r="Z38" s="583" t="s">
        <v>229</v>
      </c>
    </row>
    <row r="39" spans="2:28" ht="14" customHeight="1">
      <c r="B39" s="503" t="s">
        <v>1124</v>
      </c>
      <c r="D39" s="504" t="s">
        <v>1356</v>
      </c>
      <c r="F39" s="504" t="s">
        <v>1357</v>
      </c>
      <c r="H39" s="504" t="s">
        <v>1358</v>
      </c>
      <c r="J39" s="504" t="s">
        <v>1359</v>
      </c>
      <c r="L39" s="504" t="s">
        <v>1360</v>
      </c>
      <c r="N39" s="504" t="s">
        <v>100</v>
      </c>
      <c r="P39" s="504" t="s">
        <v>1361</v>
      </c>
      <c r="R39" s="504" t="s">
        <v>1362</v>
      </c>
      <c r="T39" s="504" t="s">
        <v>1363</v>
      </c>
      <c r="V39" s="504" t="s">
        <v>1364</v>
      </c>
      <c r="X39" s="504" t="s">
        <v>1365</v>
      </c>
      <c r="Z39" s="582" t="s">
        <v>193</v>
      </c>
    </row>
    <row r="40" spans="2:28" ht="14" customHeight="1">
      <c r="B40" s="503" t="s">
        <v>92</v>
      </c>
      <c r="D40" s="504" t="s">
        <v>1366</v>
      </c>
      <c r="F40" s="504" t="s">
        <v>1367</v>
      </c>
      <c r="H40" s="504" t="s">
        <v>1368</v>
      </c>
      <c r="J40" s="504" t="s">
        <v>1369</v>
      </c>
      <c r="L40" s="504" t="s">
        <v>1370</v>
      </c>
      <c r="N40" s="504" t="s">
        <v>1371</v>
      </c>
      <c r="P40" s="504" t="s">
        <v>1372</v>
      </c>
      <c r="R40" s="504" t="s">
        <v>1373</v>
      </c>
      <c r="T40" s="504" t="s">
        <v>1374</v>
      </c>
      <c r="V40" s="504" t="s">
        <v>1375</v>
      </c>
      <c r="X40" s="504" t="s">
        <v>1376</v>
      </c>
      <c r="Z40" s="583" t="s">
        <v>1377</v>
      </c>
    </row>
    <row r="41" spans="2:28" ht="14" customHeight="1">
      <c r="B41" s="503" t="s">
        <v>1131</v>
      </c>
      <c r="D41" s="504" t="s">
        <v>1378</v>
      </c>
      <c r="F41" s="504" t="s">
        <v>1379</v>
      </c>
      <c r="H41" s="504" t="s">
        <v>1380</v>
      </c>
      <c r="J41" s="504" t="s">
        <v>1381</v>
      </c>
      <c r="L41" s="504" t="s">
        <v>1382</v>
      </c>
      <c r="N41" s="504" t="s">
        <v>1383</v>
      </c>
      <c r="P41" s="504" t="s">
        <v>1384</v>
      </c>
      <c r="R41" s="501" t="s">
        <v>1385</v>
      </c>
      <c r="T41" s="504" t="s">
        <v>1386</v>
      </c>
      <c r="V41" s="504" t="s">
        <v>1387</v>
      </c>
      <c r="X41" s="504" t="s">
        <v>1388</v>
      </c>
      <c r="Z41" s="582" t="s">
        <v>234</v>
      </c>
    </row>
    <row r="42" spans="2:28" ht="14" customHeight="1">
      <c r="B42" s="503" t="s">
        <v>1339</v>
      </c>
      <c r="D42" s="504" t="s">
        <v>1389</v>
      </c>
      <c r="F42" s="504" t="s">
        <v>1390</v>
      </c>
      <c r="H42" s="504" t="s">
        <v>1391</v>
      </c>
      <c r="J42" s="504" t="s">
        <v>1392</v>
      </c>
      <c r="L42" s="504" t="s">
        <v>1393</v>
      </c>
      <c r="N42" s="504" t="s">
        <v>1394</v>
      </c>
      <c r="P42" s="504" t="s">
        <v>1395</v>
      </c>
      <c r="R42" s="504" t="s">
        <v>1396</v>
      </c>
      <c r="T42" s="504" t="s">
        <v>1397</v>
      </c>
      <c r="V42" s="504" t="s">
        <v>1398</v>
      </c>
      <c r="X42" s="504" t="s">
        <v>1399</v>
      </c>
      <c r="Z42" s="583" t="s">
        <v>1400</v>
      </c>
    </row>
    <row r="43" spans="2:28" ht="14" customHeight="1">
      <c r="B43" s="503" t="s">
        <v>99</v>
      </c>
      <c r="D43" s="504" t="s">
        <v>1401</v>
      </c>
      <c r="F43" s="504" t="s">
        <v>1402</v>
      </c>
      <c r="H43" s="504" t="s">
        <v>1403</v>
      </c>
      <c r="J43" s="504" t="s">
        <v>1404</v>
      </c>
      <c r="L43" s="504" t="s">
        <v>1405</v>
      </c>
      <c r="N43" s="504" t="s">
        <v>1406</v>
      </c>
      <c r="P43" s="504" t="s">
        <v>847</v>
      </c>
      <c r="R43" s="504" t="s">
        <v>1407</v>
      </c>
      <c r="T43" s="504" t="s">
        <v>1408</v>
      </c>
      <c r="V43" s="504" t="s">
        <v>1409</v>
      </c>
      <c r="X43" s="504" t="s">
        <v>1410</v>
      </c>
      <c r="Z43" s="582" t="s">
        <v>1411</v>
      </c>
    </row>
    <row r="44" spans="2:28" ht="14" customHeight="1">
      <c r="B44" s="503" t="s">
        <v>137</v>
      </c>
      <c r="D44" s="504" t="s">
        <v>1412</v>
      </c>
      <c r="F44" s="504" t="s">
        <v>1413</v>
      </c>
      <c r="H44" s="504" t="s">
        <v>1414</v>
      </c>
      <c r="J44" s="504" t="s">
        <v>1415</v>
      </c>
      <c r="N44" s="504" t="s">
        <v>1416</v>
      </c>
      <c r="P44" s="504" t="s">
        <v>1417</v>
      </c>
      <c r="R44" s="504" t="s">
        <v>1418</v>
      </c>
      <c r="T44" s="504" t="s">
        <v>1419</v>
      </c>
      <c r="V44" s="504"/>
      <c r="X44" s="504" t="s">
        <v>1420</v>
      </c>
      <c r="Z44" s="583" t="s">
        <v>1421</v>
      </c>
    </row>
    <row r="45" spans="2:28" ht="14" customHeight="1">
      <c r="B45" s="503" t="s">
        <v>86</v>
      </c>
      <c r="D45" s="504" t="s">
        <v>1422</v>
      </c>
      <c r="F45" s="504" t="s">
        <v>1423</v>
      </c>
      <c r="H45" s="504" t="s">
        <v>184</v>
      </c>
      <c r="J45" s="504" t="s">
        <v>1424</v>
      </c>
      <c r="P45" s="504" t="s">
        <v>1425</v>
      </c>
      <c r="R45" s="504" t="s">
        <v>118</v>
      </c>
      <c r="T45" s="504" t="s">
        <v>1426</v>
      </c>
      <c r="V45" s="504"/>
      <c r="X45" s="504"/>
      <c r="Z45" s="582" t="s">
        <v>1427</v>
      </c>
    </row>
    <row r="46" spans="2:28" ht="14" customHeight="1">
      <c r="B46" s="503" t="s">
        <v>61</v>
      </c>
      <c r="D46" s="504" t="s">
        <v>1428</v>
      </c>
      <c r="F46" s="504" t="s">
        <v>1429</v>
      </c>
      <c r="H46" s="504" t="s">
        <v>1430</v>
      </c>
      <c r="J46" s="504" t="s">
        <v>1431</v>
      </c>
      <c r="P46" s="504" t="s">
        <v>1432</v>
      </c>
      <c r="R46" s="504" t="s">
        <v>144</v>
      </c>
      <c r="T46" s="504" t="s">
        <v>1433</v>
      </c>
      <c r="V46" s="504"/>
      <c r="X46" s="504"/>
      <c r="Z46" s="583" t="s">
        <v>915</v>
      </c>
    </row>
    <row r="47" spans="2:28" ht="14" customHeight="1">
      <c r="B47" s="503" t="s">
        <v>113</v>
      </c>
      <c r="D47" s="504" t="s">
        <v>1434</v>
      </c>
      <c r="F47" s="504" t="s">
        <v>1435</v>
      </c>
      <c r="H47" s="504" t="s">
        <v>1133</v>
      </c>
      <c r="J47" s="504" t="s">
        <v>1436</v>
      </c>
      <c r="P47" s="504" t="s">
        <v>169</v>
      </c>
      <c r="R47" s="504" t="s">
        <v>1437</v>
      </c>
      <c r="T47" s="504" t="s">
        <v>1438</v>
      </c>
      <c r="V47" s="504"/>
      <c r="X47" s="504"/>
      <c r="Z47" s="582" t="s">
        <v>1439</v>
      </c>
    </row>
    <row r="48" spans="2:28" ht="14" customHeight="1">
      <c r="B48" s="503" t="s">
        <v>1340</v>
      </c>
      <c r="D48" s="504" t="s">
        <v>1440</v>
      </c>
      <c r="F48" s="504" t="s">
        <v>1441</v>
      </c>
      <c r="H48" s="504" t="s">
        <v>1442</v>
      </c>
      <c r="J48" s="504" t="s">
        <v>1443</v>
      </c>
      <c r="P48" s="504" t="s">
        <v>138</v>
      </c>
      <c r="R48" s="504" t="s">
        <v>87</v>
      </c>
      <c r="T48" s="504" t="s">
        <v>1444</v>
      </c>
      <c r="Z48" s="583" t="s">
        <v>1445</v>
      </c>
    </row>
    <row r="49" spans="4:30" ht="14" customHeight="1">
      <c r="D49" s="504" t="s">
        <v>1446</v>
      </c>
      <c r="F49" s="504" t="s">
        <v>1447</v>
      </c>
      <c r="H49" s="504" t="s">
        <v>1448</v>
      </c>
      <c r="J49" s="504" t="s">
        <v>1449</v>
      </c>
      <c r="R49" s="504" t="s">
        <v>1450</v>
      </c>
      <c r="T49" s="504" t="s">
        <v>1451</v>
      </c>
      <c r="Z49" s="582" t="s">
        <v>1452</v>
      </c>
    </row>
    <row r="50" spans="4:30" ht="14" customHeight="1">
      <c r="D50" s="504" t="s">
        <v>1103</v>
      </c>
      <c r="F50" s="504" t="s">
        <v>1453</v>
      </c>
      <c r="H50" s="504" t="s">
        <v>1454</v>
      </c>
      <c r="J50" s="504" t="s">
        <v>1455</v>
      </c>
      <c r="R50" s="501" t="s">
        <v>158</v>
      </c>
      <c r="T50" s="504" t="s">
        <v>1456</v>
      </c>
      <c r="Z50" s="582" t="s">
        <v>1457</v>
      </c>
    </row>
    <row r="51" spans="4:30" ht="14" customHeight="1">
      <c r="D51" s="504" t="s">
        <v>1458</v>
      </c>
      <c r="F51" s="504" t="s">
        <v>1459</v>
      </c>
      <c r="H51" s="504" t="s">
        <v>1460</v>
      </c>
      <c r="J51" s="504" t="s">
        <v>1461</v>
      </c>
      <c r="R51" s="504" t="s">
        <v>1462</v>
      </c>
      <c r="T51" s="504" t="s">
        <v>1463</v>
      </c>
      <c r="Z51" s="582" t="s">
        <v>1464</v>
      </c>
    </row>
    <row r="52" spans="4:30" ht="14" customHeight="1">
      <c r="D52" s="504" t="s">
        <v>1376</v>
      </c>
      <c r="F52" s="504" t="s">
        <v>1465</v>
      </c>
      <c r="H52" s="504" t="s">
        <v>1466</v>
      </c>
      <c r="J52" s="504" t="s">
        <v>1467</v>
      </c>
      <c r="R52" s="504" t="s">
        <v>1446</v>
      </c>
      <c r="T52" s="504" t="s">
        <v>1468</v>
      </c>
      <c r="Z52" s="583" t="s">
        <v>1469</v>
      </c>
    </row>
    <row r="53" spans="4:30" ht="14" customHeight="1">
      <c r="D53" s="504" t="s">
        <v>1470</v>
      </c>
      <c r="F53" s="504" t="s">
        <v>1471</v>
      </c>
      <c r="H53" s="504" t="s">
        <v>1472</v>
      </c>
      <c r="J53" s="504" t="s">
        <v>542</v>
      </c>
      <c r="R53" s="504" t="s">
        <v>1473</v>
      </c>
      <c r="T53" s="504" t="s">
        <v>1474</v>
      </c>
      <c r="Z53" s="582" t="s">
        <v>1475</v>
      </c>
    </row>
    <row r="54" spans="4:30" ht="14" customHeight="1">
      <c r="D54" s="504" t="s">
        <v>1476</v>
      </c>
      <c r="F54" s="504" t="s">
        <v>1477</v>
      </c>
      <c r="H54" s="504" t="s">
        <v>184</v>
      </c>
      <c r="J54" s="504" t="s">
        <v>1261</v>
      </c>
      <c r="R54" s="504" t="s">
        <v>1478</v>
      </c>
      <c r="T54" s="504" t="s">
        <v>1479</v>
      </c>
      <c r="Z54" s="583" t="s">
        <v>142</v>
      </c>
    </row>
    <row r="55" spans="4:30" ht="14" customHeight="1">
      <c r="D55" s="504" t="s">
        <v>1388</v>
      </c>
      <c r="F55" s="504" t="s">
        <v>1125</v>
      </c>
      <c r="H55" s="504" t="s">
        <v>1430</v>
      </c>
      <c r="J55" s="504" t="s">
        <v>917</v>
      </c>
      <c r="T55" s="504" t="s">
        <v>1480</v>
      </c>
      <c r="Z55" s="584" t="s">
        <v>81</v>
      </c>
      <c r="AD55" s="504"/>
    </row>
    <row r="56" spans="4:30" ht="14" customHeight="1">
      <c r="D56" s="504"/>
      <c r="F56" s="504" t="s">
        <v>1148</v>
      </c>
      <c r="H56" s="504" t="s">
        <v>1481</v>
      </c>
      <c r="J56" s="504" t="s">
        <v>1428</v>
      </c>
      <c r="T56" s="504" t="s">
        <v>1482</v>
      </c>
      <c r="Z56" s="584" t="s">
        <v>1483</v>
      </c>
      <c r="AD56" s="504"/>
    </row>
    <row r="57" spans="4:30" ht="14" customHeight="1">
      <c r="H57" s="504" t="s">
        <v>1484</v>
      </c>
      <c r="J57" s="504" t="s">
        <v>1485</v>
      </c>
      <c r="T57" s="504" t="s">
        <v>1486</v>
      </c>
      <c r="Z57" s="584" t="s">
        <v>1487</v>
      </c>
      <c r="AD57" s="504"/>
    </row>
    <row r="58" spans="4:30" ht="14" customHeight="1">
      <c r="H58" s="504" t="s">
        <v>1488</v>
      </c>
      <c r="J58" s="504" t="s">
        <v>1434</v>
      </c>
      <c r="T58" s="504" t="s">
        <v>1489</v>
      </c>
      <c r="AD58" s="504"/>
    </row>
    <row r="59" spans="4:30" ht="14" customHeight="1">
      <c r="H59" s="504" t="s">
        <v>93</v>
      </c>
      <c r="J59" s="504" t="s">
        <v>1300</v>
      </c>
      <c r="T59" s="504" t="s">
        <v>654</v>
      </c>
      <c r="AD59" s="504"/>
    </row>
    <row r="60" spans="4:30" ht="14" customHeight="1">
      <c r="J60" s="504" t="s">
        <v>1490</v>
      </c>
      <c r="T60" s="504" t="s">
        <v>1491</v>
      </c>
      <c r="AD60" s="504"/>
    </row>
    <row r="61" spans="4:30" ht="14" customHeight="1">
      <c r="J61" s="504" t="s">
        <v>1492</v>
      </c>
      <c r="T61" s="504" t="s">
        <v>1493</v>
      </c>
      <c r="AD61" s="504"/>
    </row>
    <row r="62" spans="4:30" ht="14" customHeight="1">
      <c r="J62" s="504"/>
      <c r="T62" s="504" t="s">
        <v>1494</v>
      </c>
      <c r="AD62" s="504"/>
    </row>
    <row r="63" spans="4:30" ht="14" customHeight="1">
      <c r="J63" s="504"/>
      <c r="T63" s="504" t="s">
        <v>109</v>
      </c>
      <c r="AD63" s="504"/>
    </row>
    <row r="64" spans="4:30" ht="14" customHeight="1">
      <c r="J64" s="504"/>
      <c r="T64" s="504" t="s">
        <v>1495</v>
      </c>
      <c r="AD64" s="504"/>
    </row>
    <row r="65" spans="2:30" ht="14" customHeight="1">
      <c r="J65" s="504"/>
      <c r="T65" s="504" t="s">
        <v>62</v>
      </c>
      <c r="AD65" s="504"/>
    </row>
    <row r="66" spans="2:30" ht="14" customHeight="1">
      <c r="J66" s="504"/>
      <c r="T66" s="504" t="s">
        <v>71</v>
      </c>
      <c r="AD66" s="504"/>
    </row>
    <row r="67" spans="2:30" ht="14" customHeight="1">
      <c r="J67" s="504"/>
      <c r="T67" s="504" t="s">
        <v>1496</v>
      </c>
      <c r="AD67" s="504"/>
    </row>
    <row r="68" spans="2:30" ht="14" customHeight="1">
      <c r="J68" s="504"/>
      <c r="T68" s="504" t="s">
        <v>1497</v>
      </c>
      <c r="AD68" s="504"/>
    </row>
    <row r="69" spans="2:30" ht="14" customHeight="1">
      <c r="J69" s="504"/>
      <c r="T69" s="504" t="s">
        <v>1498</v>
      </c>
      <c r="AD69" s="504"/>
    </row>
    <row r="70" spans="2:30">
      <c r="J70" s="504"/>
      <c r="AD70" s="504"/>
    </row>
    <row r="71" spans="2:30">
      <c r="J71" s="504"/>
      <c r="AD71" s="504"/>
    </row>
    <row r="72" spans="2:30">
      <c r="J72" s="504"/>
      <c r="AD72" s="504"/>
    </row>
    <row r="73" spans="2:30">
      <c r="J73" s="504"/>
    </row>
    <row r="74" spans="2:30">
      <c r="J74" s="504"/>
    </row>
    <row r="75" spans="2:30">
      <c r="J75" s="504"/>
    </row>
    <row r="76" spans="2:30">
      <c r="J76" s="504"/>
    </row>
    <row r="77" spans="2:30">
      <c r="AD77" s="504"/>
    </row>
    <row r="78" spans="2:30" ht="14" customHeight="1">
      <c r="B78" s="503" t="s">
        <v>1499</v>
      </c>
      <c r="D78" s="503" t="s">
        <v>1500</v>
      </c>
      <c r="F78" s="501" t="s">
        <v>1501</v>
      </c>
      <c r="H78" s="501" t="s">
        <v>1502</v>
      </c>
      <c r="J78" s="501" t="s">
        <v>1503</v>
      </c>
      <c r="L78" s="501" t="s">
        <v>1504</v>
      </c>
      <c r="N78" s="501" t="s">
        <v>1505</v>
      </c>
      <c r="P78" s="501" t="s">
        <v>1506</v>
      </c>
      <c r="R78" s="501" t="s">
        <v>1507</v>
      </c>
      <c r="T78" s="501" t="s">
        <v>76</v>
      </c>
      <c r="V78" s="501" t="s">
        <v>1508</v>
      </c>
      <c r="X78" s="501" t="s">
        <v>1509</v>
      </c>
      <c r="Z78" s="501" t="s">
        <v>1510</v>
      </c>
      <c r="AB78" s="506" t="s">
        <v>58</v>
      </c>
      <c r="AD78" s="504" t="s">
        <v>1511</v>
      </c>
    </row>
    <row r="79" spans="2:30" ht="14" customHeight="1">
      <c r="B79" s="503" t="s">
        <v>57</v>
      </c>
      <c r="D79" s="503" t="s">
        <v>58</v>
      </c>
      <c r="F79" s="504" t="s">
        <v>1512</v>
      </c>
      <c r="G79" s="504"/>
      <c r="H79" s="504" t="s">
        <v>1513</v>
      </c>
      <c r="I79" s="504"/>
      <c r="J79" s="504" t="s">
        <v>1514</v>
      </c>
      <c r="K79" s="504"/>
      <c r="L79" s="504" t="s">
        <v>1515</v>
      </c>
      <c r="M79" s="504"/>
      <c r="N79" s="504" t="s">
        <v>1516</v>
      </c>
      <c r="O79" s="504"/>
      <c r="P79" s="504" t="s">
        <v>1517</v>
      </c>
      <c r="Q79" s="504"/>
      <c r="R79" s="504" t="s">
        <v>1518</v>
      </c>
      <c r="S79" s="504"/>
      <c r="T79" s="504" t="s">
        <v>1519</v>
      </c>
      <c r="U79" s="504"/>
      <c r="V79" s="504" t="s">
        <v>1520</v>
      </c>
      <c r="W79" s="504"/>
      <c r="X79" s="504" t="s">
        <v>1521</v>
      </c>
      <c r="Y79" s="504"/>
      <c r="Z79" s="504" t="s">
        <v>1522</v>
      </c>
      <c r="AB79" s="507"/>
      <c r="AD79" s="504" t="s">
        <v>141</v>
      </c>
    </row>
    <row r="80" spans="2:30" ht="14" customHeight="1">
      <c r="B80" s="503" t="s">
        <v>59</v>
      </c>
      <c r="D80" s="503" t="s">
        <v>1501</v>
      </c>
      <c r="F80" s="504" t="s">
        <v>1523</v>
      </c>
      <c r="G80" s="504"/>
      <c r="H80" s="504" t="s">
        <v>1524</v>
      </c>
      <c r="I80" s="504"/>
      <c r="J80" s="504" t="s">
        <v>1525</v>
      </c>
      <c r="K80" s="504"/>
      <c r="L80" s="504" t="s">
        <v>1526</v>
      </c>
      <c r="M80" s="504"/>
      <c r="N80" s="504" t="s">
        <v>1527</v>
      </c>
      <c r="O80" s="504"/>
      <c r="P80" s="504" t="s">
        <v>1528</v>
      </c>
      <c r="Q80" s="504"/>
      <c r="R80" s="504" t="s">
        <v>1529</v>
      </c>
      <c r="S80" s="504"/>
      <c r="T80" s="504" t="s">
        <v>190</v>
      </c>
      <c r="U80" s="504"/>
      <c r="V80" s="504" t="s">
        <v>1530</v>
      </c>
      <c r="W80" s="504"/>
      <c r="X80" s="504" t="s">
        <v>1531</v>
      </c>
      <c r="Y80" s="504"/>
      <c r="Z80" s="504" t="s">
        <v>1532</v>
      </c>
      <c r="AD80" s="504" t="s">
        <v>1533</v>
      </c>
    </row>
    <row r="81" spans="2:30" ht="14" customHeight="1">
      <c r="B81" s="503" t="s">
        <v>51</v>
      </c>
      <c r="D81" s="503" t="s">
        <v>1502</v>
      </c>
      <c r="F81" s="504" t="s">
        <v>1534</v>
      </c>
      <c r="G81" s="504"/>
      <c r="H81" s="504" t="s">
        <v>1535</v>
      </c>
      <c r="I81" s="504"/>
      <c r="J81" s="504" t="s">
        <v>1536</v>
      </c>
      <c r="K81" s="504"/>
      <c r="L81" s="504" t="s">
        <v>1537</v>
      </c>
      <c r="M81" s="504"/>
      <c r="N81" s="504" t="s">
        <v>1538</v>
      </c>
      <c r="O81" s="504"/>
      <c r="P81" s="504" t="s">
        <v>1539</v>
      </c>
      <c r="Q81" s="504"/>
      <c r="R81" s="504" t="s">
        <v>1540</v>
      </c>
      <c r="S81" s="504"/>
      <c r="T81" s="504" t="s">
        <v>1541</v>
      </c>
      <c r="U81" s="504"/>
      <c r="V81" s="504" t="s">
        <v>1542</v>
      </c>
      <c r="W81" s="504"/>
      <c r="X81" s="504" t="s">
        <v>1543</v>
      </c>
      <c r="Y81" s="504"/>
      <c r="Z81" s="504" t="s">
        <v>1544</v>
      </c>
      <c r="AD81" s="504" t="s">
        <v>1305</v>
      </c>
    </row>
    <row r="82" spans="2:30" ht="14" customHeight="1">
      <c r="B82" s="503" t="s">
        <v>1545</v>
      </c>
      <c r="D82" s="503" t="s">
        <v>1503</v>
      </c>
      <c r="F82" s="504" t="s">
        <v>1546</v>
      </c>
      <c r="G82" s="504"/>
      <c r="H82" s="504" t="s">
        <v>1547</v>
      </c>
      <c r="I82" s="504"/>
      <c r="J82" s="504" t="s">
        <v>1548</v>
      </c>
      <c r="K82" s="504"/>
      <c r="L82" s="504" t="s">
        <v>1549</v>
      </c>
      <c r="M82" s="504"/>
      <c r="N82" s="504" t="s">
        <v>1550</v>
      </c>
      <c r="O82" s="504"/>
      <c r="P82" s="504" t="s">
        <v>1551</v>
      </c>
      <c r="Q82" s="504"/>
      <c r="R82" s="504" t="s">
        <v>1552</v>
      </c>
      <c r="S82" s="504"/>
      <c r="T82" s="504" t="s">
        <v>1553</v>
      </c>
      <c r="U82" s="504"/>
      <c r="V82" s="504"/>
      <c r="W82" s="504"/>
      <c r="X82" s="504" t="s">
        <v>1554</v>
      </c>
      <c r="Y82" s="504"/>
      <c r="Z82" s="504" t="s">
        <v>1555</v>
      </c>
      <c r="AD82" s="504" t="s">
        <v>1556</v>
      </c>
    </row>
    <row r="83" spans="2:30" ht="14" customHeight="1">
      <c r="B83" s="503" t="s">
        <v>1557</v>
      </c>
      <c r="D83" s="503" t="s">
        <v>1504</v>
      </c>
      <c r="F83" s="504" t="s">
        <v>1558</v>
      </c>
      <c r="G83" s="504"/>
      <c r="H83" s="504" t="s">
        <v>1559</v>
      </c>
      <c r="I83" s="504"/>
      <c r="J83" s="504" t="s">
        <v>1560</v>
      </c>
      <c r="K83" s="504"/>
      <c r="L83" s="504" t="s">
        <v>1561</v>
      </c>
      <c r="M83" s="504"/>
      <c r="N83" s="504" t="s">
        <v>1562</v>
      </c>
      <c r="O83" s="504"/>
      <c r="P83" s="504" t="s">
        <v>1563</v>
      </c>
      <c r="Q83" s="504"/>
      <c r="R83" s="504" t="s">
        <v>1564</v>
      </c>
      <c r="S83" s="504"/>
      <c r="T83" s="504" t="s">
        <v>1565</v>
      </c>
      <c r="U83" s="504"/>
      <c r="V83" s="504"/>
      <c r="W83" s="504"/>
      <c r="X83" s="504" t="s">
        <v>1566</v>
      </c>
      <c r="Y83" s="504"/>
      <c r="Z83" s="504" t="s">
        <v>1567</v>
      </c>
      <c r="AD83" s="504"/>
    </row>
    <row r="84" spans="2:30" ht="14" customHeight="1">
      <c r="B84" s="503" t="s">
        <v>1242</v>
      </c>
      <c r="D84" s="503" t="s">
        <v>1505</v>
      </c>
      <c r="F84" s="504" t="s">
        <v>1313</v>
      </c>
      <c r="G84" s="504"/>
      <c r="H84" s="504" t="s">
        <v>1568</v>
      </c>
      <c r="I84" s="504"/>
      <c r="J84" s="504" t="s">
        <v>1569</v>
      </c>
      <c r="K84" s="504"/>
      <c r="L84" s="504" t="s">
        <v>1570</v>
      </c>
      <c r="M84" s="504"/>
      <c r="N84" s="504" t="s">
        <v>1571</v>
      </c>
      <c r="O84" s="504"/>
      <c r="P84" s="504" t="s">
        <v>1572</v>
      </c>
      <c r="Q84" s="504"/>
      <c r="R84" s="504" t="s">
        <v>1573</v>
      </c>
      <c r="S84" s="504"/>
      <c r="T84" s="504" t="s">
        <v>1574</v>
      </c>
      <c r="U84" s="504"/>
      <c r="V84" s="504"/>
      <c r="W84" s="504"/>
      <c r="X84" s="504" t="s">
        <v>1575</v>
      </c>
      <c r="Z84" s="504" t="s">
        <v>1576</v>
      </c>
      <c r="AD84" s="504"/>
    </row>
    <row r="85" spans="2:30" ht="14" customHeight="1">
      <c r="B85" s="503" t="s">
        <v>98</v>
      </c>
      <c r="D85" s="503" t="s">
        <v>1506</v>
      </c>
      <c r="F85" s="504" t="s">
        <v>1577</v>
      </c>
      <c r="G85" s="504"/>
      <c r="H85" s="504" t="s">
        <v>1578</v>
      </c>
      <c r="I85" s="504"/>
      <c r="J85" s="504" t="s">
        <v>1579</v>
      </c>
      <c r="K85" s="504"/>
      <c r="L85" s="504" t="s">
        <v>1580</v>
      </c>
      <c r="M85" s="504"/>
      <c r="N85" s="504" t="s">
        <v>1581</v>
      </c>
      <c r="O85" s="504"/>
      <c r="P85" s="504" t="s">
        <v>1582</v>
      </c>
      <c r="Q85" s="504"/>
      <c r="R85" s="504" t="s">
        <v>1583</v>
      </c>
      <c r="S85" s="504"/>
      <c r="T85" s="504" t="s">
        <v>1584</v>
      </c>
      <c r="U85" s="504"/>
      <c r="V85" s="504"/>
      <c r="W85" s="504"/>
      <c r="Z85" s="504" t="s">
        <v>1585</v>
      </c>
      <c r="AD85" s="504"/>
    </row>
    <row r="86" spans="2:30" ht="14" customHeight="1">
      <c r="B86" s="503" t="s">
        <v>1243</v>
      </c>
      <c r="D86" s="503" t="s">
        <v>1507</v>
      </c>
      <c r="F86" s="504" t="s">
        <v>1586</v>
      </c>
      <c r="G86" s="504"/>
      <c r="H86" s="504" t="s">
        <v>1587</v>
      </c>
      <c r="I86" s="504"/>
      <c r="J86" s="504" t="s">
        <v>1588</v>
      </c>
      <c r="K86" s="504"/>
      <c r="L86" s="504" t="s">
        <v>1589</v>
      </c>
      <c r="M86" s="504"/>
      <c r="P86" s="504" t="s">
        <v>1590</v>
      </c>
      <c r="Q86" s="504"/>
      <c r="T86" s="504" t="s">
        <v>1591</v>
      </c>
      <c r="U86" s="504"/>
      <c r="V86" s="504"/>
      <c r="W86" s="504"/>
      <c r="Z86" s="504" t="s">
        <v>1592</v>
      </c>
    </row>
    <row r="87" spans="2:30" ht="14" customHeight="1">
      <c r="B87" s="503" t="s">
        <v>120</v>
      </c>
      <c r="D87" s="503" t="s">
        <v>76</v>
      </c>
      <c r="F87" s="504" t="s">
        <v>1593</v>
      </c>
      <c r="G87" s="504"/>
      <c r="H87" s="504" t="s">
        <v>1518</v>
      </c>
      <c r="I87" s="504"/>
      <c r="J87" s="504" t="s">
        <v>1594</v>
      </c>
      <c r="K87" s="504"/>
      <c r="L87" s="504" t="s">
        <v>1595</v>
      </c>
      <c r="M87" s="504"/>
      <c r="P87" s="504" t="s">
        <v>1596</v>
      </c>
      <c r="Q87" s="504"/>
      <c r="T87" s="504" t="s">
        <v>77</v>
      </c>
      <c r="U87" s="504"/>
      <c r="V87" s="504"/>
      <c r="W87" s="504"/>
    </row>
    <row r="88" spans="2:30" ht="14" customHeight="1">
      <c r="B88" s="503" t="s">
        <v>263</v>
      </c>
      <c r="D88" s="503" t="s">
        <v>1508</v>
      </c>
      <c r="F88" s="504" t="s">
        <v>1597</v>
      </c>
      <c r="G88" s="504"/>
      <c r="H88" s="504" t="s">
        <v>1529</v>
      </c>
      <c r="I88" s="504"/>
      <c r="J88" s="504" t="s">
        <v>1598</v>
      </c>
      <c r="K88" s="504"/>
      <c r="L88" s="504" t="s">
        <v>1599</v>
      </c>
      <c r="M88" s="504"/>
      <c r="P88" s="504" t="s">
        <v>1600</v>
      </c>
      <c r="Q88" s="504"/>
      <c r="T88" s="504" t="s">
        <v>1601</v>
      </c>
      <c r="U88" s="504"/>
      <c r="V88" s="504"/>
      <c r="W88" s="504"/>
    </row>
    <row r="89" spans="2:30" ht="14" customHeight="1">
      <c r="B89" s="503" t="s">
        <v>116</v>
      </c>
      <c r="D89" s="503" t="s">
        <v>1509</v>
      </c>
      <c r="F89" s="504" t="s">
        <v>1602</v>
      </c>
      <c r="G89" s="504"/>
      <c r="H89" s="504" t="s">
        <v>1603</v>
      </c>
      <c r="I89" s="504"/>
      <c r="J89" s="504" t="s">
        <v>1604</v>
      </c>
      <c r="K89" s="504"/>
      <c r="P89" s="504" t="s">
        <v>1605</v>
      </c>
      <c r="T89" s="504" t="s">
        <v>1606</v>
      </c>
      <c r="U89" s="504"/>
      <c r="V89" s="504"/>
      <c r="W89" s="504"/>
    </row>
    <row r="90" spans="2:30" ht="14" customHeight="1">
      <c r="B90" s="503" t="s">
        <v>1275</v>
      </c>
      <c r="D90" s="503" t="s">
        <v>1510</v>
      </c>
      <c r="F90" s="504" t="s">
        <v>1607</v>
      </c>
      <c r="G90" s="504"/>
      <c r="H90" s="504" t="s">
        <v>1608</v>
      </c>
      <c r="I90" s="504"/>
      <c r="J90" s="504" t="s">
        <v>1609</v>
      </c>
      <c r="K90" s="504"/>
      <c r="P90" s="504" t="s">
        <v>1610</v>
      </c>
      <c r="T90" s="504" t="s">
        <v>166</v>
      </c>
      <c r="U90" s="504"/>
      <c r="V90" s="504"/>
      <c r="W90" s="504"/>
    </row>
    <row r="91" spans="2:30" ht="14" customHeight="1">
      <c r="B91" s="503" t="s">
        <v>1611</v>
      </c>
      <c r="D91" s="503" t="s">
        <v>1511</v>
      </c>
      <c r="F91" s="504" t="s">
        <v>1612</v>
      </c>
      <c r="G91" s="504"/>
      <c r="H91" s="504" t="s">
        <v>1613</v>
      </c>
      <c r="I91" s="504"/>
      <c r="J91" s="504" t="s">
        <v>1614</v>
      </c>
      <c r="K91" s="504"/>
      <c r="T91" s="504" t="s">
        <v>1615</v>
      </c>
      <c r="U91" s="504"/>
    </row>
    <row r="92" spans="2:30" ht="14" customHeight="1">
      <c r="B92" s="503" t="s">
        <v>191</v>
      </c>
      <c r="F92" s="504" t="s">
        <v>1616</v>
      </c>
      <c r="G92" s="504"/>
      <c r="H92" s="504" t="s">
        <v>1617</v>
      </c>
      <c r="I92" s="504"/>
      <c r="J92" s="504" t="s">
        <v>1618</v>
      </c>
      <c r="K92" s="504"/>
      <c r="T92" s="504" t="s">
        <v>174</v>
      </c>
    </row>
    <row r="93" spans="2:30" ht="14" customHeight="1">
      <c r="B93" s="503" t="s">
        <v>174</v>
      </c>
      <c r="F93" s="504" t="s">
        <v>1619</v>
      </c>
      <c r="G93" s="504"/>
      <c r="H93" s="504" t="s">
        <v>1620</v>
      </c>
      <c r="I93" s="504"/>
      <c r="J93" s="504" t="s">
        <v>1621</v>
      </c>
      <c r="K93" s="504"/>
      <c r="T93" s="504" t="s">
        <v>1622</v>
      </c>
    </row>
    <row r="94" spans="2:30" ht="14" customHeight="1">
      <c r="F94" s="504" t="s">
        <v>1623</v>
      </c>
      <c r="G94" s="504"/>
      <c r="H94" s="504" t="s">
        <v>1624</v>
      </c>
      <c r="I94" s="504"/>
      <c r="T94" s="504" t="s">
        <v>141</v>
      </c>
    </row>
    <row r="95" spans="2:30" ht="14" customHeight="1">
      <c r="F95" s="504" t="s">
        <v>1625</v>
      </c>
      <c r="G95" s="504"/>
      <c r="H95" s="504" t="s">
        <v>1626</v>
      </c>
      <c r="I95" s="504"/>
    </row>
    <row r="96" spans="2:30" ht="14" customHeight="1">
      <c r="F96" s="504" t="s">
        <v>1627</v>
      </c>
      <c r="G96" s="504"/>
      <c r="H96" s="504" t="s">
        <v>1628</v>
      </c>
      <c r="I96" s="504"/>
    </row>
    <row r="97" spans="6:9" ht="14" customHeight="1">
      <c r="F97" s="504" t="s">
        <v>1629</v>
      </c>
      <c r="G97" s="504"/>
      <c r="H97" s="504" t="s">
        <v>1630</v>
      </c>
      <c r="I97" s="504"/>
    </row>
    <row r="98" spans="6:9" ht="14" customHeight="1">
      <c r="F98" s="504" t="s">
        <v>1631</v>
      </c>
      <c r="G98" s="504"/>
      <c r="H98" s="504" t="s">
        <v>1632</v>
      </c>
      <c r="I98" s="504"/>
    </row>
    <row r="99" spans="6:9" ht="14" customHeight="1">
      <c r="F99" s="504" t="s">
        <v>1633</v>
      </c>
    </row>
    <row r="115" spans="2:10" ht="14" customHeight="1">
      <c r="B115" s="3" t="s">
        <v>10</v>
      </c>
      <c r="D115" s="501" t="s">
        <v>1634</v>
      </c>
      <c r="F115" s="501" t="s">
        <v>1635</v>
      </c>
      <c r="H115" s="501" t="s">
        <v>1636</v>
      </c>
      <c r="J115" s="501" t="s">
        <v>1637</v>
      </c>
    </row>
    <row r="116" spans="2:10" ht="14" customHeight="1">
      <c r="B116" s="1">
        <v>340</v>
      </c>
      <c r="D116" s="501" t="s">
        <v>5</v>
      </c>
      <c r="F116" s="501" t="s">
        <v>1545</v>
      </c>
      <c r="H116" s="501" t="s">
        <v>64</v>
      </c>
      <c r="J116" s="501" t="s">
        <v>1638</v>
      </c>
    </row>
    <row r="117" spans="2:10" ht="14" customHeight="1">
      <c r="B117" s="2">
        <v>324</v>
      </c>
      <c r="D117" s="501" t="s">
        <v>7</v>
      </c>
      <c r="F117" s="501" t="s">
        <v>51</v>
      </c>
      <c r="H117" s="501" t="s">
        <v>472</v>
      </c>
      <c r="J117" s="501" t="s">
        <v>1408</v>
      </c>
    </row>
    <row r="118" spans="2:10" ht="14" customHeight="1">
      <c r="B118" s="1">
        <v>299</v>
      </c>
      <c r="D118" s="501" t="s">
        <v>1639</v>
      </c>
      <c r="F118" s="501" t="s">
        <v>263</v>
      </c>
      <c r="J118" s="501" t="s">
        <v>24</v>
      </c>
    </row>
    <row r="119" spans="2:10" ht="14" customHeight="1">
      <c r="B119" s="2">
        <v>273</v>
      </c>
      <c r="D119" s="501" t="s">
        <v>1640</v>
      </c>
    </row>
    <row r="120" spans="2:10" ht="14" customHeight="1">
      <c r="B120" s="1">
        <v>245</v>
      </c>
      <c r="D120" s="501" t="s">
        <v>1641</v>
      </c>
    </row>
    <row r="121" spans="2:10" ht="14" customHeight="1">
      <c r="B121" s="2">
        <v>219</v>
      </c>
      <c r="D121" s="501" t="s">
        <v>1642</v>
      </c>
    </row>
    <row r="122" spans="2:10" ht="14" customHeight="1">
      <c r="B122" s="2">
        <v>194</v>
      </c>
      <c r="D122" s="501" t="s">
        <v>1643</v>
      </c>
    </row>
    <row r="123" spans="2:10" ht="14" customHeight="1">
      <c r="B123" s="1">
        <v>178</v>
      </c>
      <c r="D123" s="501" t="s">
        <v>1644</v>
      </c>
    </row>
    <row r="124" spans="2:10" ht="14" customHeight="1">
      <c r="B124" s="2">
        <v>168</v>
      </c>
      <c r="D124" s="501" t="s">
        <v>1645</v>
      </c>
    </row>
    <row r="125" spans="2:10" ht="14" customHeight="1">
      <c r="B125" s="1">
        <v>146</v>
      </c>
      <c r="D125" s="501" t="s">
        <v>1646</v>
      </c>
    </row>
    <row r="126" spans="2:10" ht="14" customHeight="1">
      <c r="B126" s="1">
        <v>140</v>
      </c>
      <c r="D126" s="501" t="s">
        <v>1647</v>
      </c>
    </row>
    <row r="127" spans="2:10" ht="14" customHeight="1">
      <c r="B127" s="1">
        <v>127</v>
      </c>
      <c r="D127" s="501" t="s">
        <v>1648</v>
      </c>
    </row>
    <row r="128" spans="2:10" ht="14" customHeight="1">
      <c r="B128" s="261">
        <v>114</v>
      </c>
      <c r="D128" s="501" t="s">
        <v>1649</v>
      </c>
    </row>
    <row r="129" spans="2:4" ht="14" customHeight="1">
      <c r="B129" s="1">
        <v>102</v>
      </c>
      <c r="D129" s="501" t="s">
        <v>1650</v>
      </c>
    </row>
  </sheetData>
  <pageMargins left="0.7" right="0.7" top="0.75" bottom="0.75" header="0.3" footer="0.3"/>
  <pageSetup paperSize="9" orientation="portrait" horizontalDpi="0" verticalDpi="0"/>
  <tableParts count="49">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3:BB29"/>
  <sheetViews>
    <sheetView topLeftCell="R1" workbookViewId="0">
      <selection activeCell="B5" sqref="B5:AE5"/>
    </sheetView>
  </sheetViews>
  <sheetFormatPr defaultColWidth="11.07421875" defaultRowHeight="15.5"/>
  <cols>
    <col min="1" max="1" width="21.23046875" bestFit="1" customWidth="1"/>
    <col min="2" max="2" width="21" bestFit="1" customWidth="1"/>
    <col min="3" max="53" width="9.921875" bestFit="1" customWidth="1"/>
    <col min="54" max="54" width="11.765625" bestFit="1" customWidth="1"/>
    <col min="55" max="63" width="20.15234375" bestFit="1" customWidth="1"/>
    <col min="64" max="64" width="22" bestFit="1" customWidth="1"/>
    <col min="65" max="66" width="23.3046875" bestFit="1" customWidth="1"/>
  </cols>
  <sheetData>
    <row r="3" spans="1:54">
      <c r="B3" s="8" t="s">
        <v>1651</v>
      </c>
    </row>
    <row r="4" spans="1:54">
      <c r="A4" s="8" t="s">
        <v>1652</v>
      </c>
      <c r="B4" s="500">
        <v>46144</v>
      </c>
      <c r="C4" s="500">
        <v>46145</v>
      </c>
      <c r="D4" s="500">
        <v>46146</v>
      </c>
      <c r="E4" s="500">
        <v>46147</v>
      </c>
      <c r="F4" s="500">
        <v>46148</v>
      </c>
      <c r="G4" s="500">
        <v>46149</v>
      </c>
      <c r="H4" s="500">
        <v>46150</v>
      </c>
      <c r="I4" s="500">
        <v>46151</v>
      </c>
      <c r="J4" s="500">
        <v>46152</v>
      </c>
      <c r="K4" s="500">
        <v>46153</v>
      </c>
      <c r="L4" s="500">
        <v>46154</v>
      </c>
      <c r="M4" s="500">
        <v>46155</v>
      </c>
      <c r="N4" s="500">
        <v>46156</v>
      </c>
      <c r="O4" s="500">
        <v>46157</v>
      </c>
      <c r="P4" s="500">
        <v>46158</v>
      </c>
      <c r="Q4" s="500">
        <v>46159</v>
      </c>
      <c r="R4" s="500">
        <v>46160</v>
      </c>
      <c r="S4" s="500">
        <v>46161</v>
      </c>
      <c r="T4" s="500">
        <v>46162</v>
      </c>
      <c r="U4" s="500">
        <v>46163</v>
      </c>
      <c r="V4" s="500">
        <v>46164</v>
      </c>
      <c r="W4" s="500">
        <v>46165</v>
      </c>
      <c r="X4" s="500">
        <v>46166</v>
      </c>
      <c r="Y4" s="500">
        <v>46167</v>
      </c>
      <c r="Z4" s="500">
        <v>46168</v>
      </c>
      <c r="AA4" s="500">
        <v>46169</v>
      </c>
      <c r="AB4" s="500">
        <v>46170</v>
      </c>
      <c r="AC4" s="500">
        <v>46171</v>
      </c>
      <c r="AD4" s="500">
        <v>46172</v>
      </c>
      <c r="AE4" s="500">
        <v>46173</v>
      </c>
      <c r="AF4" s="500">
        <v>46174</v>
      </c>
      <c r="AG4" s="500">
        <v>46175</v>
      </c>
      <c r="AH4" s="500">
        <v>46176</v>
      </c>
      <c r="AI4" s="500">
        <v>46177</v>
      </c>
      <c r="AJ4" s="500">
        <v>46178</v>
      </c>
      <c r="AK4" s="500">
        <v>46179</v>
      </c>
      <c r="AL4" s="500">
        <v>46180</v>
      </c>
      <c r="AM4" s="500">
        <v>46181</v>
      </c>
      <c r="AN4" s="500">
        <v>46182</v>
      </c>
      <c r="AO4" s="500">
        <v>46183</v>
      </c>
      <c r="AP4" s="500">
        <v>46184</v>
      </c>
      <c r="AQ4" s="500">
        <v>46185</v>
      </c>
      <c r="AR4" s="500">
        <v>46186</v>
      </c>
      <c r="AS4" s="500">
        <v>46187</v>
      </c>
      <c r="AT4" s="500">
        <v>46188</v>
      </c>
      <c r="AU4" s="500">
        <v>46189</v>
      </c>
      <c r="AV4" s="500">
        <v>46190</v>
      </c>
      <c r="AW4" s="500">
        <v>46191</v>
      </c>
      <c r="AX4" s="500">
        <v>46192</v>
      </c>
      <c r="AY4" s="500">
        <v>46193</v>
      </c>
      <c r="AZ4" s="500">
        <v>46194</v>
      </c>
      <c r="BA4" s="500">
        <v>46195</v>
      </c>
      <c r="BB4" s="500" t="s">
        <v>1653</v>
      </c>
    </row>
    <row r="5" spans="1:54">
      <c r="A5" s="9" t="s">
        <v>1654</v>
      </c>
      <c r="B5" s="233">
        <v>4</v>
      </c>
      <c r="C5" s="233">
        <v>14.5</v>
      </c>
      <c r="D5" s="233">
        <v>13.44</v>
      </c>
      <c r="E5" s="233">
        <v>19.389999999999997</v>
      </c>
      <c r="F5" s="233">
        <v>13.43</v>
      </c>
      <c r="G5" s="233">
        <v>13.969999999999999</v>
      </c>
      <c r="H5" s="233">
        <v>0</v>
      </c>
      <c r="I5" s="233">
        <v>8.94</v>
      </c>
      <c r="J5" s="233">
        <v>6.0419999999999989</v>
      </c>
      <c r="K5" s="233">
        <v>0.45440000000000103</v>
      </c>
      <c r="L5" s="233">
        <v>0.50399999999999956</v>
      </c>
      <c r="M5" s="233">
        <v>9.74</v>
      </c>
      <c r="N5" s="233">
        <v>16.3</v>
      </c>
      <c r="O5" s="233">
        <v>0.97440000000000104</v>
      </c>
      <c r="P5" s="233">
        <v>4.84</v>
      </c>
      <c r="Q5" s="233">
        <v>0</v>
      </c>
      <c r="R5" s="233">
        <v>8</v>
      </c>
      <c r="S5" s="233">
        <v>0</v>
      </c>
      <c r="T5" s="233">
        <v>8.02</v>
      </c>
      <c r="U5" s="233">
        <v>10.998000000000001</v>
      </c>
      <c r="V5" s="233">
        <v>20.8688</v>
      </c>
      <c r="W5" s="233">
        <v>0</v>
      </c>
      <c r="X5" s="233">
        <v>16.580000000000002</v>
      </c>
      <c r="Y5" s="233">
        <v>11.66</v>
      </c>
      <c r="Z5" s="233">
        <v>4.6100000000000003</v>
      </c>
      <c r="AA5" s="233">
        <v>8.1900000000000013</v>
      </c>
      <c r="AB5" s="233">
        <v>15</v>
      </c>
      <c r="AC5" s="233">
        <v>7.93</v>
      </c>
      <c r="AD5" s="233">
        <v>20.5</v>
      </c>
      <c r="AE5" s="233">
        <v>12</v>
      </c>
      <c r="AF5" s="233">
        <v>13.129999999999999</v>
      </c>
      <c r="AG5" s="233">
        <v>17.84</v>
      </c>
      <c r="AH5" s="233">
        <v>6.8299999999999983</v>
      </c>
      <c r="AI5" s="233">
        <v>24</v>
      </c>
      <c r="AJ5" s="233">
        <v>16</v>
      </c>
      <c r="AK5" s="233">
        <v>4</v>
      </c>
      <c r="AL5" s="233">
        <v>12.030000000000001</v>
      </c>
      <c r="AM5" s="233">
        <v>0</v>
      </c>
      <c r="AN5" s="233">
        <v>4</v>
      </c>
      <c r="AO5" s="233">
        <v>1.3200000000000003</v>
      </c>
      <c r="AP5" s="233">
        <v>0</v>
      </c>
      <c r="AQ5" s="233">
        <v>12.670000000000002</v>
      </c>
      <c r="AR5" s="233">
        <v>-7.1054273576010019E-15</v>
      </c>
      <c r="AS5" s="233">
        <v>0</v>
      </c>
      <c r="AT5" s="233">
        <v>5.63</v>
      </c>
      <c r="AU5" s="233">
        <v>4</v>
      </c>
      <c r="AV5" s="233">
        <v>7</v>
      </c>
      <c r="AW5" s="233">
        <v>0</v>
      </c>
      <c r="AX5" s="233">
        <v>0</v>
      </c>
      <c r="AY5" s="233">
        <v>0</v>
      </c>
      <c r="AZ5" s="233">
        <v>0</v>
      </c>
      <c r="BA5" s="233">
        <v>0</v>
      </c>
      <c r="BB5" s="233">
        <v>399.33159999999998</v>
      </c>
    </row>
    <row r="6" spans="1:54">
      <c r="A6" s="9" t="s">
        <v>1655</v>
      </c>
      <c r="B6" s="233">
        <v>0</v>
      </c>
      <c r="C6" s="233">
        <v>3.5</v>
      </c>
      <c r="D6" s="233">
        <v>7.5600000000000005</v>
      </c>
      <c r="E6" s="233">
        <v>4.6100000000000003</v>
      </c>
      <c r="F6" s="233">
        <v>10.57</v>
      </c>
      <c r="G6" s="233">
        <v>10.030000000000001</v>
      </c>
      <c r="H6" s="233">
        <v>24</v>
      </c>
      <c r="I6" s="233">
        <v>11.06</v>
      </c>
      <c r="J6" s="233">
        <v>17.958000000000002</v>
      </c>
      <c r="K6" s="233">
        <v>23.5456</v>
      </c>
      <c r="L6" s="233">
        <v>14.496</v>
      </c>
      <c r="M6" s="233">
        <v>2.2599999999999998</v>
      </c>
      <c r="N6" s="233">
        <v>3.7</v>
      </c>
      <c r="O6" s="233">
        <v>11.025599999999999</v>
      </c>
      <c r="P6" s="233">
        <v>3.16</v>
      </c>
      <c r="Q6" s="233">
        <v>0</v>
      </c>
      <c r="R6" s="233">
        <v>0</v>
      </c>
      <c r="S6" s="233">
        <v>0</v>
      </c>
      <c r="T6" s="233">
        <v>10.98</v>
      </c>
      <c r="U6" s="233">
        <v>13.001999999999999</v>
      </c>
      <c r="V6" s="233">
        <v>3.1312000000000015</v>
      </c>
      <c r="W6" s="233">
        <v>24</v>
      </c>
      <c r="X6" s="233">
        <v>7.42</v>
      </c>
      <c r="Y6" s="233">
        <v>6.84</v>
      </c>
      <c r="Z6" s="233">
        <v>1.39</v>
      </c>
      <c r="AA6" s="233">
        <v>5.81</v>
      </c>
      <c r="AB6" s="233">
        <v>0</v>
      </c>
      <c r="AC6" s="233">
        <v>16.07</v>
      </c>
      <c r="AD6" s="233">
        <v>0</v>
      </c>
      <c r="AE6" s="233">
        <v>0</v>
      </c>
      <c r="AF6" s="233">
        <v>9.3699999999999992</v>
      </c>
      <c r="AG6" s="233">
        <v>6.16</v>
      </c>
      <c r="AH6" s="233">
        <v>9.1700000000000017</v>
      </c>
      <c r="AI6" s="233">
        <v>0</v>
      </c>
      <c r="AJ6" s="233">
        <v>0</v>
      </c>
      <c r="AK6" s="233">
        <v>0</v>
      </c>
      <c r="AL6" s="233">
        <v>11.969999999999999</v>
      </c>
      <c r="AM6" s="233">
        <v>17</v>
      </c>
      <c r="AN6" s="233">
        <v>20</v>
      </c>
      <c r="AO6" s="233">
        <v>22.68</v>
      </c>
      <c r="AP6" s="233">
        <v>24</v>
      </c>
      <c r="AQ6" s="233">
        <v>11.329999999999998</v>
      </c>
      <c r="AR6" s="233">
        <v>24.000000000000007</v>
      </c>
      <c r="AS6" s="233">
        <v>20</v>
      </c>
      <c r="AT6" s="233">
        <v>18.37</v>
      </c>
      <c r="AU6" s="233">
        <v>20</v>
      </c>
      <c r="AV6" s="233">
        <v>0</v>
      </c>
      <c r="AW6" s="233">
        <v>0</v>
      </c>
      <c r="AX6" s="233">
        <v>0</v>
      </c>
      <c r="AY6" s="233">
        <v>0</v>
      </c>
      <c r="AZ6" s="233">
        <v>0</v>
      </c>
      <c r="BA6" s="233">
        <v>0</v>
      </c>
      <c r="BB6" s="233">
        <v>450.16839999999991</v>
      </c>
    </row>
    <row r="7" spans="1:54">
      <c r="A7" s="9" t="s">
        <v>1656</v>
      </c>
      <c r="B7" s="233">
        <v>0</v>
      </c>
      <c r="C7" s="233">
        <v>6</v>
      </c>
      <c r="D7" s="233">
        <v>3</v>
      </c>
      <c r="E7" s="233">
        <v>0</v>
      </c>
      <c r="F7" s="233">
        <v>0</v>
      </c>
      <c r="G7" s="233">
        <v>0</v>
      </c>
      <c r="H7" s="233">
        <v>0</v>
      </c>
      <c r="I7" s="233">
        <v>4</v>
      </c>
      <c r="J7" s="233">
        <v>0</v>
      </c>
      <c r="K7" s="233">
        <v>0</v>
      </c>
      <c r="L7" s="233">
        <v>9</v>
      </c>
      <c r="M7" s="233">
        <v>12</v>
      </c>
      <c r="N7" s="233">
        <v>4</v>
      </c>
      <c r="O7" s="233">
        <v>12</v>
      </c>
      <c r="P7" s="233">
        <v>16</v>
      </c>
      <c r="Q7" s="233">
        <v>24</v>
      </c>
      <c r="R7" s="233">
        <v>16</v>
      </c>
      <c r="S7" s="233">
        <v>24</v>
      </c>
      <c r="T7" s="233">
        <v>5</v>
      </c>
      <c r="U7" s="233">
        <v>0</v>
      </c>
      <c r="V7" s="233">
        <v>0</v>
      </c>
      <c r="W7" s="233">
        <v>0</v>
      </c>
      <c r="X7" s="233">
        <v>0</v>
      </c>
      <c r="Y7" s="233">
        <v>5.5</v>
      </c>
      <c r="Z7" s="233">
        <v>18</v>
      </c>
      <c r="AA7" s="233">
        <v>10</v>
      </c>
      <c r="AB7" s="233">
        <v>9</v>
      </c>
      <c r="AC7" s="233">
        <v>0</v>
      </c>
      <c r="AD7" s="233">
        <v>3.5</v>
      </c>
      <c r="AE7" s="233">
        <v>12</v>
      </c>
      <c r="AF7" s="233">
        <v>1.5</v>
      </c>
      <c r="AG7" s="233">
        <v>0</v>
      </c>
      <c r="AH7" s="233">
        <v>8</v>
      </c>
      <c r="AI7" s="233">
        <v>0</v>
      </c>
      <c r="AJ7" s="233">
        <v>8</v>
      </c>
      <c r="AK7" s="233">
        <v>20</v>
      </c>
      <c r="AL7" s="233">
        <v>0</v>
      </c>
      <c r="AM7" s="233">
        <v>7</v>
      </c>
      <c r="AN7" s="233">
        <v>0</v>
      </c>
      <c r="AO7" s="233">
        <v>0</v>
      </c>
      <c r="AP7" s="233">
        <v>0</v>
      </c>
      <c r="AQ7" s="233">
        <v>0</v>
      </c>
      <c r="AR7" s="233">
        <v>0</v>
      </c>
      <c r="AS7" s="233">
        <v>4</v>
      </c>
      <c r="AT7" s="233">
        <v>0</v>
      </c>
      <c r="AU7" s="233">
        <v>0</v>
      </c>
      <c r="AV7" s="233">
        <v>17</v>
      </c>
      <c r="AW7" s="233">
        <v>24</v>
      </c>
      <c r="AX7" s="233">
        <v>24</v>
      </c>
      <c r="AY7" s="233">
        <v>24</v>
      </c>
      <c r="AZ7" s="233">
        <v>24</v>
      </c>
      <c r="BA7" s="233">
        <v>12</v>
      </c>
      <c r="BB7" s="233">
        <v>366.5</v>
      </c>
    </row>
    <row r="23" spans="1:54">
      <c r="A23" s="8" t="s">
        <v>1657</v>
      </c>
      <c r="B23" s="8" t="s">
        <v>1651</v>
      </c>
    </row>
    <row r="24" spans="1:54">
      <c r="A24" s="8" t="s">
        <v>1658</v>
      </c>
      <c r="B24" s="500">
        <v>46144</v>
      </c>
      <c r="C24" s="500">
        <v>46145</v>
      </c>
      <c r="D24" s="500">
        <v>46146</v>
      </c>
      <c r="E24" s="500">
        <v>46147</v>
      </c>
      <c r="F24" s="500">
        <v>46148</v>
      </c>
      <c r="G24" s="500">
        <v>46149</v>
      </c>
      <c r="H24" s="500">
        <v>46150</v>
      </c>
      <c r="I24" s="500">
        <v>46151</v>
      </c>
      <c r="J24" s="500">
        <v>46152</v>
      </c>
      <c r="K24" s="500">
        <v>46153</v>
      </c>
      <c r="L24" s="500">
        <v>46154</v>
      </c>
      <c r="M24" s="500">
        <v>46155</v>
      </c>
      <c r="N24" s="500">
        <v>46156</v>
      </c>
      <c r="O24" s="500">
        <v>46157</v>
      </c>
      <c r="P24" s="500">
        <v>46158</v>
      </c>
      <c r="Q24" s="500">
        <v>46159</v>
      </c>
      <c r="R24" s="500">
        <v>46160</v>
      </c>
      <c r="S24" s="500">
        <v>46161</v>
      </c>
      <c r="T24" s="500">
        <v>46162</v>
      </c>
      <c r="U24" s="500">
        <v>46163</v>
      </c>
      <c r="V24" s="500">
        <v>46164</v>
      </c>
      <c r="W24" s="500">
        <v>46165</v>
      </c>
      <c r="X24" s="500">
        <v>46166</v>
      </c>
      <c r="Y24" s="500">
        <v>46167</v>
      </c>
      <c r="Z24" s="500">
        <v>46168</v>
      </c>
      <c r="AA24" s="500">
        <v>46169</v>
      </c>
      <c r="AB24" s="500">
        <v>46170</v>
      </c>
      <c r="AC24" s="500">
        <v>46171</v>
      </c>
      <c r="AD24" s="500">
        <v>46172</v>
      </c>
      <c r="AE24" s="500">
        <v>46173</v>
      </c>
      <c r="AF24" s="500">
        <v>46174</v>
      </c>
      <c r="AG24" s="500">
        <v>46175</v>
      </c>
      <c r="AH24" s="500">
        <v>46176</v>
      </c>
      <c r="AI24" s="500">
        <v>46177</v>
      </c>
      <c r="AJ24" s="500">
        <v>46178</v>
      </c>
      <c r="AK24" s="500">
        <v>46179</v>
      </c>
      <c r="AL24" s="500">
        <v>46180</v>
      </c>
      <c r="AM24" s="500">
        <v>46181</v>
      </c>
      <c r="AN24" s="500">
        <v>46182</v>
      </c>
      <c r="AO24" s="500">
        <v>46183</v>
      </c>
      <c r="AP24" s="500">
        <v>46184</v>
      </c>
      <c r="AQ24" s="500">
        <v>46185</v>
      </c>
      <c r="AR24" s="500">
        <v>46186</v>
      </c>
      <c r="AS24" s="500">
        <v>46187</v>
      </c>
      <c r="AT24" s="500">
        <v>46188</v>
      </c>
      <c r="AU24" s="500">
        <v>46189</v>
      </c>
      <c r="AV24" s="500">
        <v>46190</v>
      </c>
      <c r="AW24" s="500">
        <v>46191</v>
      </c>
      <c r="AX24" s="500">
        <v>46192</v>
      </c>
      <c r="AY24" s="500">
        <v>46193</v>
      </c>
      <c r="AZ24" s="500">
        <v>46194</v>
      </c>
      <c r="BA24" s="500">
        <v>46195</v>
      </c>
      <c r="BB24" s="500" t="s">
        <v>1653</v>
      </c>
    </row>
    <row r="25" spans="1:54">
      <c r="A25" s="9" t="s">
        <v>53</v>
      </c>
      <c r="B25" s="908">
        <v>4</v>
      </c>
      <c r="C25" s="908">
        <v>24</v>
      </c>
      <c r="D25" s="908">
        <v>24</v>
      </c>
      <c r="E25" s="908">
        <v>24</v>
      </c>
      <c r="F25" s="908">
        <v>21.5</v>
      </c>
      <c r="G25" s="908"/>
      <c r="H25" s="908"/>
      <c r="I25" s="908"/>
      <c r="J25" s="908"/>
      <c r="K25" s="908"/>
      <c r="L25" s="908"/>
      <c r="M25" s="908"/>
      <c r="N25" s="908"/>
      <c r="O25" s="908"/>
      <c r="P25" s="908"/>
      <c r="Q25" s="908"/>
      <c r="R25" s="908"/>
      <c r="S25" s="908"/>
      <c r="T25" s="908"/>
      <c r="U25" s="908"/>
      <c r="V25" s="908"/>
      <c r="W25" s="908"/>
      <c r="X25" s="908"/>
      <c r="Y25" s="908"/>
      <c r="Z25" s="908"/>
      <c r="AA25" s="908"/>
      <c r="AB25" s="908"/>
      <c r="AC25" s="908"/>
      <c r="AD25" s="908"/>
      <c r="AE25" s="908"/>
      <c r="AF25" s="908"/>
      <c r="AG25" s="908"/>
      <c r="AH25" s="908"/>
      <c r="AI25" s="908"/>
      <c r="AJ25" s="908"/>
      <c r="AK25" s="908"/>
      <c r="AL25" s="908"/>
      <c r="AM25" s="908"/>
      <c r="AN25" s="908"/>
      <c r="AO25" s="908"/>
      <c r="AP25" s="908"/>
      <c r="AQ25" s="908"/>
      <c r="AR25" s="908"/>
      <c r="AS25" s="908"/>
      <c r="AT25" s="908"/>
      <c r="AU25" s="908"/>
      <c r="AV25" s="908"/>
      <c r="AW25" s="908"/>
      <c r="AX25" s="908"/>
      <c r="AY25" s="908"/>
      <c r="AZ25" s="908"/>
      <c r="BA25" s="908"/>
      <c r="BB25" s="908">
        <v>97.5</v>
      </c>
    </row>
    <row r="26" spans="1:54">
      <c r="A26" s="9">
        <v>431</v>
      </c>
      <c r="B26" s="908"/>
      <c r="C26" s="908"/>
      <c r="D26" s="908"/>
      <c r="E26" s="908"/>
      <c r="F26" s="908">
        <v>2.5</v>
      </c>
      <c r="G26" s="908">
        <v>24</v>
      </c>
      <c r="H26" s="908">
        <v>24</v>
      </c>
      <c r="I26" s="908">
        <v>24</v>
      </c>
      <c r="J26" s="908">
        <v>24</v>
      </c>
      <c r="K26" s="908">
        <v>24</v>
      </c>
      <c r="L26" s="908">
        <v>24</v>
      </c>
      <c r="M26" s="908">
        <v>24</v>
      </c>
      <c r="N26" s="908">
        <v>24</v>
      </c>
      <c r="O26" s="908">
        <v>24</v>
      </c>
      <c r="P26" s="908">
        <v>24</v>
      </c>
      <c r="Q26" s="908">
        <v>24</v>
      </c>
      <c r="R26" s="908">
        <v>24</v>
      </c>
      <c r="S26" s="908">
        <v>24</v>
      </c>
      <c r="T26" s="908">
        <v>24</v>
      </c>
      <c r="U26" s="908">
        <v>24</v>
      </c>
      <c r="V26" s="908">
        <v>24</v>
      </c>
      <c r="W26" s="908">
        <v>24</v>
      </c>
      <c r="X26" s="908">
        <v>4.5</v>
      </c>
      <c r="Y26" s="908"/>
      <c r="Z26" s="908"/>
      <c r="AA26" s="908"/>
      <c r="AB26" s="908"/>
      <c r="AC26" s="908"/>
      <c r="AD26" s="908"/>
      <c r="AE26" s="908"/>
      <c r="AF26" s="908"/>
      <c r="AG26" s="908"/>
      <c r="AH26" s="908"/>
      <c r="AI26" s="908"/>
      <c r="AJ26" s="908"/>
      <c r="AK26" s="908"/>
      <c r="AL26" s="908"/>
      <c r="AM26" s="908"/>
      <c r="AN26" s="908"/>
      <c r="AO26" s="908"/>
      <c r="AP26" s="908"/>
      <c r="AQ26" s="908"/>
      <c r="AR26" s="908"/>
      <c r="AS26" s="908"/>
      <c r="AT26" s="908"/>
      <c r="AU26" s="908"/>
      <c r="AV26" s="908"/>
      <c r="AW26" s="908"/>
      <c r="AX26" s="908"/>
      <c r="AY26" s="908"/>
      <c r="AZ26" s="908"/>
      <c r="BA26" s="908"/>
      <c r="BB26" s="908">
        <v>415</v>
      </c>
    </row>
    <row r="27" spans="1:54">
      <c r="A27" s="9">
        <v>851</v>
      </c>
      <c r="B27" s="908"/>
      <c r="C27" s="908"/>
      <c r="D27" s="908"/>
      <c r="E27" s="908"/>
      <c r="F27" s="908"/>
      <c r="G27" s="908"/>
      <c r="H27" s="908"/>
      <c r="I27" s="908"/>
      <c r="J27" s="908"/>
      <c r="K27" s="908"/>
      <c r="L27" s="908"/>
      <c r="M27" s="908"/>
      <c r="N27" s="908"/>
      <c r="O27" s="908"/>
      <c r="P27" s="908"/>
      <c r="Q27" s="908"/>
      <c r="R27" s="908"/>
      <c r="S27" s="908"/>
      <c r="T27" s="908"/>
      <c r="U27" s="908"/>
      <c r="V27" s="908"/>
      <c r="W27" s="908"/>
      <c r="X27" s="908">
        <v>19.5</v>
      </c>
      <c r="Y27" s="908">
        <v>24</v>
      </c>
      <c r="Z27" s="908">
        <v>24</v>
      </c>
      <c r="AA27" s="908">
        <v>24</v>
      </c>
      <c r="AB27" s="908">
        <v>24</v>
      </c>
      <c r="AC27" s="908">
        <v>24</v>
      </c>
      <c r="AD27" s="908">
        <v>24</v>
      </c>
      <c r="AE27" s="908">
        <v>24</v>
      </c>
      <c r="AF27" s="908">
        <v>24</v>
      </c>
      <c r="AG27" s="908">
        <v>7</v>
      </c>
      <c r="AH27" s="908"/>
      <c r="AI27" s="908"/>
      <c r="AJ27" s="908"/>
      <c r="AK27" s="908"/>
      <c r="AL27" s="908"/>
      <c r="AM27" s="908"/>
      <c r="AN27" s="908"/>
      <c r="AO27" s="908"/>
      <c r="AP27" s="908"/>
      <c r="AQ27" s="908"/>
      <c r="AR27" s="908"/>
      <c r="AS27" s="908"/>
      <c r="AT27" s="908"/>
      <c r="AU27" s="908"/>
      <c r="AV27" s="908"/>
      <c r="AW27" s="908"/>
      <c r="AX27" s="908"/>
      <c r="AY27" s="908"/>
      <c r="AZ27" s="908"/>
      <c r="BA27" s="908"/>
      <c r="BB27" s="908">
        <v>218.5</v>
      </c>
    </row>
    <row r="28" spans="1:54">
      <c r="A28" s="9" t="s">
        <v>266</v>
      </c>
      <c r="B28" s="908"/>
      <c r="C28" s="908"/>
      <c r="D28" s="908"/>
      <c r="E28" s="908"/>
      <c r="F28" s="908"/>
      <c r="G28" s="908"/>
      <c r="H28" s="908"/>
      <c r="I28" s="908"/>
      <c r="J28" s="908"/>
      <c r="K28" s="908"/>
      <c r="L28" s="908"/>
      <c r="M28" s="908"/>
      <c r="N28" s="908"/>
      <c r="O28" s="908"/>
      <c r="P28" s="908"/>
      <c r="Q28" s="908"/>
      <c r="R28" s="908"/>
      <c r="S28" s="908"/>
      <c r="T28" s="908"/>
      <c r="U28" s="908"/>
      <c r="V28" s="908"/>
      <c r="W28" s="908"/>
      <c r="X28" s="908"/>
      <c r="Y28" s="908"/>
      <c r="Z28" s="908"/>
      <c r="AA28" s="908"/>
      <c r="AB28" s="908"/>
      <c r="AC28" s="908"/>
      <c r="AD28" s="908"/>
      <c r="AE28" s="908"/>
      <c r="AF28" s="908"/>
      <c r="AG28" s="908">
        <v>17</v>
      </c>
      <c r="AH28" s="908">
        <v>24</v>
      </c>
      <c r="AI28" s="908">
        <v>24</v>
      </c>
      <c r="AJ28" s="908">
        <v>24</v>
      </c>
      <c r="AK28" s="908">
        <v>24</v>
      </c>
      <c r="AL28" s="908">
        <v>24</v>
      </c>
      <c r="AM28" s="908">
        <v>24</v>
      </c>
      <c r="AN28" s="908">
        <v>24</v>
      </c>
      <c r="AO28" s="908">
        <v>24</v>
      </c>
      <c r="AP28" s="908">
        <v>24</v>
      </c>
      <c r="AQ28" s="908">
        <v>24</v>
      </c>
      <c r="AR28" s="908">
        <v>24</v>
      </c>
      <c r="AS28" s="908">
        <v>24</v>
      </c>
      <c r="AT28" s="908">
        <v>24</v>
      </c>
      <c r="AU28" s="908">
        <v>24</v>
      </c>
      <c r="AV28" s="908">
        <v>24</v>
      </c>
      <c r="AW28" s="908">
        <v>24</v>
      </c>
      <c r="AX28" s="908">
        <v>24</v>
      </c>
      <c r="AY28" s="908">
        <v>24</v>
      </c>
      <c r="AZ28" s="908">
        <v>24</v>
      </c>
      <c r="BA28" s="908">
        <v>12</v>
      </c>
      <c r="BB28" s="908">
        <v>485</v>
      </c>
    </row>
    <row r="29" spans="1:54">
      <c r="A29" s="9" t="s">
        <v>1653</v>
      </c>
      <c r="B29" s="908">
        <v>4</v>
      </c>
      <c r="C29" s="908">
        <v>24</v>
      </c>
      <c r="D29" s="908">
        <v>24</v>
      </c>
      <c r="E29" s="908">
        <v>24</v>
      </c>
      <c r="F29" s="908">
        <v>24</v>
      </c>
      <c r="G29" s="908">
        <v>24</v>
      </c>
      <c r="H29" s="908">
        <v>24</v>
      </c>
      <c r="I29" s="908">
        <v>24</v>
      </c>
      <c r="J29" s="908">
        <v>24</v>
      </c>
      <c r="K29" s="908">
        <v>24</v>
      </c>
      <c r="L29" s="908">
        <v>24</v>
      </c>
      <c r="M29" s="908">
        <v>24</v>
      </c>
      <c r="N29" s="908">
        <v>24</v>
      </c>
      <c r="O29" s="908">
        <v>24</v>
      </c>
      <c r="P29" s="908">
        <v>24</v>
      </c>
      <c r="Q29" s="908">
        <v>24</v>
      </c>
      <c r="R29" s="908">
        <v>24</v>
      </c>
      <c r="S29" s="908">
        <v>24</v>
      </c>
      <c r="T29" s="908">
        <v>24</v>
      </c>
      <c r="U29" s="908">
        <v>24</v>
      </c>
      <c r="V29" s="908">
        <v>24</v>
      </c>
      <c r="W29" s="908">
        <v>24</v>
      </c>
      <c r="X29" s="908">
        <v>24</v>
      </c>
      <c r="Y29" s="908">
        <v>24</v>
      </c>
      <c r="Z29" s="908">
        <v>24</v>
      </c>
      <c r="AA29" s="908">
        <v>24</v>
      </c>
      <c r="AB29" s="908">
        <v>24</v>
      </c>
      <c r="AC29" s="908">
        <v>24</v>
      </c>
      <c r="AD29" s="908">
        <v>24</v>
      </c>
      <c r="AE29" s="908">
        <v>24</v>
      </c>
      <c r="AF29" s="908">
        <v>24</v>
      </c>
      <c r="AG29" s="908">
        <v>24</v>
      </c>
      <c r="AH29" s="908">
        <v>24</v>
      </c>
      <c r="AI29" s="908">
        <v>24</v>
      </c>
      <c r="AJ29" s="908">
        <v>24</v>
      </c>
      <c r="AK29" s="908">
        <v>24</v>
      </c>
      <c r="AL29" s="908">
        <v>24</v>
      </c>
      <c r="AM29" s="908">
        <v>24</v>
      </c>
      <c r="AN29" s="908">
        <v>24</v>
      </c>
      <c r="AO29" s="908">
        <v>24</v>
      </c>
      <c r="AP29" s="908">
        <v>24</v>
      </c>
      <c r="AQ29" s="908">
        <v>24</v>
      </c>
      <c r="AR29" s="908">
        <v>24</v>
      </c>
      <c r="AS29" s="908">
        <v>24</v>
      </c>
      <c r="AT29" s="908">
        <v>24</v>
      </c>
      <c r="AU29" s="908">
        <v>24</v>
      </c>
      <c r="AV29" s="908">
        <v>24</v>
      </c>
      <c r="AW29" s="908">
        <v>24</v>
      </c>
      <c r="AX29" s="908">
        <v>24</v>
      </c>
      <c r="AY29" s="908">
        <v>24</v>
      </c>
      <c r="AZ29" s="908">
        <v>24</v>
      </c>
      <c r="BA29" s="908">
        <v>12</v>
      </c>
      <c r="BB29" s="908">
        <v>1216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11"/>
  <sheetViews>
    <sheetView zoomScale="111" workbookViewId="0">
      <selection activeCell="R53" sqref="R53"/>
    </sheetView>
  </sheetViews>
  <sheetFormatPr defaultColWidth="11.07421875" defaultRowHeight="15.5"/>
  <cols>
    <col min="1" max="1" width="25.3046875" bestFit="1" customWidth="1"/>
    <col min="2" max="2" width="20.3828125" bestFit="1" customWidth="1"/>
    <col min="3" max="3" width="18.69140625" bestFit="1" customWidth="1"/>
  </cols>
  <sheetData>
    <row r="1" spans="1:2">
      <c r="A1" s="8" t="s">
        <v>35</v>
      </c>
      <c r="B1" t="s">
        <v>38</v>
      </c>
    </row>
    <row r="3" spans="1:2">
      <c r="A3" s="8" t="s">
        <v>1658</v>
      </c>
      <c r="B3" t="s">
        <v>1656</v>
      </c>
    </row>
    <row r="4" spans="1:2">
      <c r="A4" s="9" t="s">
        <v>1659</v>
      </c>
      <c r="B4" s="233"/>
    </row>
    <row r="5" spans="1:2">
      <c r="A5" s="10" t="s">
        <v>190</v>
      </c>
      <c r="B5" s="233">
        <v>69</v>
      </c>
    </row>
    <row r="6" spans="1:2">
      <c r="A6" s="10" t="s">
        <v>1660</v>
      </c>
      <c r="B6" s="233">
        <v>58</v>
      </c>
    </row>
    <row r="7" spans="1:2">
      <c r="A7" s="10" t="s">
        <v>77</v>
      </c>
      <c r="B7" s="233">
        <v>41</v>
      </c>
    </row>
    <row r="8" spans="1:2">
      <c r="A8" s="9" t="s">
        <v>1661</v>
      </c>
      <c r="B8" s="233"/>
    </row>
    <row r="9" spans="1:2">
      <c r="A9" s="10" t="s">
        <v>77</v>
      </c>
      <c r="B9" s="233">
        <v>161</v>
      </c>
    </row>
    <row r="10" spans="1:2">
      <c r="A10" s="10" t="s">
        <v>1660</v>
      </c>
      <c r="B10" s="233">
        <v>12.5</v>
      </c>
    </row>
    <row r="11" spans="1:2">
      <c r="A11" s="9" t="s">
        <v>1653</v>
      </c>
      <c r="B11" s="233">
        <v>341.5</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3:D40"/>
  <sheetViews>
    <sheetView topLeftCell="A3" zoomScale="139" workbookViewId="0">
      <selection activeCell="E33" sqref="E33"/>
    </sheetView>
  </sheetViews>
  <sheetFormatPr defaultColWidth="11.07421875" defaultRowHeight="15.5"/>
  <cols>
    <col min="1" max="1" width="17.3828125" bestFit="1" customWidth="1"/>
    <col min="2" max="2" width="9.61328125" bestFit="1" customWidth="1"/>
    <col min="3" max="4" width="5.3828125" bestFit="1" customWidth="1"/>
  </cols>
  <sheetData>
    <row r="3" spans="1:4">
      <c r="B3" s="8" t="s">
        <v>1652</v>
      </c>
    </row>
    <row r="4" spans="1:4">
      <c r="A4" s="8" t="s">
        <v>1658</v>
      </c>
      <c r="B4" t="s">
        <v>1662</v>
      </c>
      <c r="C4" t="s">
        <v>1663</v>
      </c>
      <c r="D4" t="s">
        <v>1664</v>
      </c>
    </row>
    <row r="5" spans="1:4">
      <c r="A5" s="9" t="s">
        <v>53</v>
      </c>
      <c r="B5" s="233">
        <v>62.26</v>
      </c>
      <c r="C5" s="233">
        <v>26.240000000000002</v>
      </c>
      <c r="D5" s="233">
        <v>9</v>
      </c>
    </row>
    <row r="6" spans="1:4">
      <c r="A6" s="602">
        <v>46144</v>
      </c>
      <c r="B6" s="233">
        <v>4</v>
      </c>
      <c r="C6" s="233">
        <v>0</v>
      </c>
      <c r="D6" s="233">
        <v>0</v>
      </c>
    </row>
    <row r="7" spans="1:4">
      <c r="A7" s="602">
        <v>46145</v>
      </c>
      <c r="B7" s="233">
        <v>14.5</v>
      </c>
      <c r="C7" s="233">
        <v>3.5</v>
      </c>
      <c r="D7" s="233">
        <v>6</v>
      </c>
    </row>
    <row r="8" spans="1:4">
      <c r="A8" s="602">
        <v>46146</v>
      </c>
      <c r="B8" s="233">
        <v>13.44</v>
      </c>
      <c r="C8" s="233">
        <v>7.5600000000000005</v>
      </c>
      <c r="D8" s="233">
        <v>3</v>
      </c>
    </row>
    <row r="9" spans="1:4">
      <c r="A9" s="602">
        <v>46147</v>
      </c>
      <c r="B9" s="233">
        <v>19.389999999999997</v>
      </c>
      <c r="C9" s="233">
        <v>4.6100000000000003</v>
      </c>
      <c r="D9" s="233">
        <v>0</v>
      </c>
    </row>
    <row r="10" spans="1:4">
      <c r="A10" s="602">
        <v>46148</v>
      </c>
      <c r="B10" s="233">
        <v>10.93</v>
      </c>
      <c r="C10" s="233">
        <v>10.57</v>
      </c>
      <c r="D10" s="233">
        <v>0</v>
      </c>
    </row>
    <row r="11" spans="1:4">
      <c r="A11" s="9">
        <v>431</v>
      </c>
      <c r="B11" s="233">
        <v>112.1516</v>
      </c>
      <c r="C11" s="233">
        <v>176.84840000000003</v>
      </c>
      <c r="D11" s="233">
        <v>126</v>
      </c>
    </row>
    <row r="12" spans="1:4">
      <c r="A12" s="602">
        <v>46148</v>
      </c>
      <c r="B12" s="233">
        <v>2.5</v>
      </c>
      <c r="C12" s="233">
        <v>0</v>
      </c>
      <c r="D12" s="233">
        <v>0</v>
      </c>
    </row>
    <row r="13" spans="1:4">
      <c r="A13" s="602">
        <v>46149</v>
      </c>
      <c r="B13" s="233">
        <v>13.969999999999999</v>
      </c>
      <c r="C13" s="233">
        <v>10.030000000000001</v>
      </c>
      <c r="D13" s="233">
        <v>0</v>
      </c>
    </row>
    <row r="14" spans="1:4">
      <c r="A14" s="602">
        <v>46150</v>
      </c>
      <c r="B14" s="233">
        <v>0</v>
      </c>
      <c r="C14" s="233">
        <v>24</v>
      </c>
      <c r="D14" s="233">
        <v>0</v>
      </c>
    </row>
    <row r="15" spans="1:4">
      <c r="A15" s="602">
        <v>46151</v>
      </c>
      <c r="B15" s="233">
        <v>8.94</v>
      </c>
      <c r="C15" s="233">
        <v>11.06</v>
      </c>
      <c r="D15" s="233">
        <v>4</v>
      </c>
    </row>
    <row r="16" spans="1:4">
      <c r="A16" s="602">
        <v>46152</v>
      </c>
      <c r="B16" s="233">
        <v>6.0419999999999989</v>
      </c>
      <c r="C16" s="233">
        <v>17.958000000000002</v>
      </c>
      <c r="D16" s="233">
        <v>0</v>
      </c>
    </row>
    <row r="17" spans="1:4">
      <c r="A17" s="602">
        <v>46153</v>
      </c>
      <c r="B17" s="233">
        <v>0.45440000000000103</v>
      </c>
      <c r="C17" s="233">
        <v>23.5456</v>
      </c>
      <c r="D17" s="233">
        <v>0</v>
      </c>
    </row>
    <row r="18" spans="1:4">
      <c r="A18" s="602">
        <v>46154</v>
      </c>
      <c r="B18" s="233">
        <v>0.50399999999999956</v>
      </c>
      <c r="C18" s="233">
        <v>14.496</v>
      </c>
      <c r="D18" s="233">
        <v>9</v>
      </c>
    </row>
    <row r="19" spans="1:4">
      <c r="A19" s="602">
        <v>46155</v>
      </c>
      <c r="B19" s="233">
        <v>9.74</v>
      </c>
      <c r="C19" s="233">
        <v>2.2599999999999998</v>
      </c>
      <c r="D19" s="233">
        <v>12</v>
      </c>
    </row>
    <row r="20" spans="1:4">
      <c r="A20" s="602">
        <v>46156</v>
      </c>
      <c r="B20" s="233">
        <v>16.3</v>
      </c>
      <c r="C20" s="233">
        <v>3.7</v>
      </c>
      <c r="D20" s="233">
        <v>4</v>
      </c>
    </row>
    <row r="21" spans="1:4">
      <c r="A21" s="602">
        <v>46157</v>
      </c>
      <c r="B21" s="233">
        <v>0.97440000000000104</v>
      </c>
      <c r="C21" s="233">
        <v>11.025599999999999</v>
      </c>
      <c r="D21" s="233">
        <v>12</v>
      </c>
    </row>
    <row r="22" spans="1:4">
      <c r="A22" s="602">
        <v>46158</v>
      </c>
      <c r="B22" s="233">
        <v>4.84</v>
      </c>
      <c r="C22" s="233">
        <v>3.16</v>
      </c>
      <c r="D22" s="233">
        <v>16</v>
      </c>
    </row>
    <row r="23" spans="1:4">
      <c r="A23" s="602">
        <v>46159</v>
      </c>
      <c r="B23" s="233">
        <v>0</v>
      </c>
      <c r="C23" s="233">
        <v>0</v>
      </c>
      <c r="D23" s="233">
        <v>24</v>
      </c>
    </row>
    <row r="24" spans="1:4">
      <c r="A24" s="602">
        <v>46160</v>
      </c>
      <c r="B24" s="233">
        <v>8</v>
      </c>
      <c r="C24" s="233">
        <v>0</v>
      </c>
      <c r="D24" s="233">
        <v>16</v>
      </c>
    </row>
    <row r="25" spans="1:4">
      <c r="A25" s="602">
        <v>46161</v>
      </c>
      <c r="B25" s="233">
        <v>0</v>
      </c>
      <c r="C25" s="233">
        <v>0</v>
      </c>
      <c r="D25" s="233">
        <v>24</v>
      </c>
    </row>
    <row r="26" spans="1:4">
      <c r="A26" s="602">
        <v>46162</v>
      </c>
      <c r="B26" s="233">
        <v>8.02</v>
      </c>
      <c r="C26" s="233">
        <v>10.98</v>
      </c>
      <c r="D26" s="233">
        <v>5</v>
      </c>
    </row>
    <row r="27" spans="1:4">
      <c r="A27" s="602">
        <v>46163</v>
      </c>
      <c r="B27" s="233">
        <v>10.998000000000001</v>
      </c>
      <c r="C27" s="233">
        <v>13.001999999999999</v>
      </c>
      <c r="D27" s="233">
        <v>0</v>
      </c>
    </row>
    <row r="28" spans="1:4">
      <c r="A28" s="602">
        <v>46164</v>
      </c>
      <c r="B28" s="233">
        <v>20.8688</v>
      </c>
      <c r="C28" s="233">
        <v>3.1312000000000015</v>
      </c>
      <c r="D28" s="233">
        <v>0</v>
      </c>
    </row>
    <row r="29" spans="1:4">
      <c r="A29" s="602">
        <v>46165</v>
      </c>
      <c r="B29" s="233">
        <v>0</v>
      </c>
      <c r="C29" s="233">
        <v>24</v>
      </c>
      <c r="D29" s="233">
        <v>0</v>
      </c>
    </row>
    <row r="30" spans="1:4">
      <c r="A30" s="602">
        <v>46166</v>
      </c>
      <c r="B30" s="233">
        <v>0</v>
      </c>
      <c r="C30" s="233">
        <v>4.5</v>
      </c>
      <c r="D30" s="233">
        <v>0</v>
      </c>
    </row>
    <row r="31" spans="1:4">
      <c r="A31" s="9">
        <v>851</v>
      </c>
      <c r="B31" s="233">
        <v>96.47</v>
      </c>
      <c r="C31" s="233">
        <v>33.03</v>
      </c>
      <c r="D31" s="233">
        <v>58</v>
      </c>
    </row>
    <row r="32" spans="1:4">
      <c r="A32" s="602">
        <v>46166</v>
      </c>
      <c r="B32" s="233">
        <v>16.580000000000002</v>
      </c>
      <c r="C32" s="233">
        <v>2.92</v>
      </c>
      <c r="D32" s="233">
        <v>0</v>
      </c>
    </row>
    <row r="33" spans="1:4">
      <c r="A33" s="602">
        <v>46167</v>
      </c>
      <c r="B33" s="233">
        <v>11.66</v>
      </c>
      <c r="C33" s="233">
        <v>6.84</v>
      </c>
      <c r="D33" s="233">
        <v>5.5</v>
      </c>
    </row>
    <row r="34" spans="1:4">
      <c r="A34" s="602">
        <v>46168</v>
      </c>
      <c r="B34" s="233">
        <v>4.6100000000000003</v>
      </c>
      <c r="C34" s="233">
        <v>1.39</v>
      </c>
      <c r="D34" s="233">
        <v>18</v>
      </c>
    </row>
    <row r="35" spans="1:4">
      <c r="A35" s="602">
        <v>46169</v>
      </c>
      <c r="B35" s="233">
        <v>8.1900000000000013</v>
      </c>
      <c r="C35" s="233">
        <v>5.81</v>
      </c>
      <c r="D35" s="233">
        <v>10</v>
      </c>
    </row>
    <row r="36" spans="1:4">
      <c r="A36" s="602">
        <v>46170</v>
      </c>
      <c r="B36" s="233">
        <v>15</v>
      </c>
      <c r="C36" s="233">
        <v>0</v>
      </c>
      <c r="D36" s="233">
        <v>9</v>
      </c>
    </row>
    <row r="37" spans="1:4">
      <c r="A37" s="602">
        <v>46171</v>
      </c>
      <c r="B37" s="233">
        <v>7.93</v>
      </c>
      <c r="C37" s="233">
        <v>16.07</v>
      </c>
      <c r="D37" s="233">
        <v>0</v>
      </c>
    </row>
    <row r="38" spans="1:4">
      <c r="A38" s="602">
        <v>46172</v>
      </c>
      <c r="B38" s="233">
        <v>20.5</v>
      </c>
      <c r="C38" s="233">
        <v>0</v>
      </c>
      <c r="D38" s="233">
        <v>3.5</v>
      </c>
    </row>
    <row r="39" spans="1:4">
      <c r="A39" s="602">
        <v>46173</v>
      </c>
      <c r="B39" s="233">
        <v>12</v>
      </c>
      <c r="C39" s="233">
        <v>0</v>
      </c>
      <c r="D39" s="233">
        <v>12</v>
      </c>
    </row>
    <row r="40" spans="1:4">
      <c r="A40" s="9" t="s">
        <v>1653</v>
      </c>
      <c r="B40" s="233">
        <v>270.88160000000005</v>
      </c>
      <c r="C40" s="233">
        <v>236.11839999999995</v>
      </c>
      <c r="D40" s="233">
        <v>193</v>
      </c>
    </row>
  </sheetData>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17"/>
  <sheetViews>
    <sheetView workbookViewId="0">
      <selection activeCell="M21" sqref="M21"/>
    </sheetView>
  </sheetViews>
  <sheetFormatPr defaultColWidth="11.07421875" defaultRowHeight="15.5"/>
  <cols>
    <col min="1" max="1" width="45" bestFit="1" customWidth="1"/>
    <col min="2" max="2" width="20.15234375" bestFit="1" customWidth="1"/>
    <col min="3" max="3" width="18.69140625" bestFit="1" customWidth="1"/>
    <col min="4" max="4" width="30.3046875" bestFit="1" customWidth="1"/>
  </cols>
  <sheetData>
    <row r="1" spans="1:2">
      <c r="A1" s="8" t="s">
        <v>35</v>
      </c>
      <c r="B1" t="s">
        <v>38</v>
      </c>
    </row>
    <row r="3" spans="1:2">
      <c r="A3" s="8" t="s">
        <v>1658</v>
      </c>
      <c r="B3" t="s">
        <v>1656</v>
      </c>
    </row>
    <row r="4" spans="1:2">
      <c r="A4" s="9" t="s">
        <v>1665</v>
      </c>
      <c r="B4" s="233">
        <v>4</v>
      </c>
    </row>
    <row r="5" spans="1:2">
      <c r="A5" s="9" t="s">
        <v>1667</v>
      </c>
      <c r="B5" s="233">
        <v>5</v>
      </c>
    </row>
    <row r="6" spans="1:2">
      <c r="A6" s="9" t="s">
        <v>1668</v>
      </c>
      <c r="B6" s="233">
        <v>95.5</v>
      </c>
    </row>
    <row r="7" spans="1:2">
      <c r="A7" s="9" t="s">
        <v>1669</v>
      </c>
      <c r="B7" s="233">
        <v>41</v>
      </c>
    </row>
    <row r="8" spans="1:2">
      <c r="A8" s="9" t="s">
        <v>1670</v>
      </c>
      <c r="B8" s="233">
        <v>16</v>
      </c>
    </row>
    <row r="9" spans="1:2">
      <c r="A9" s="9" t="s">
        <v>1671</v>
      </c>
      <c r="B9" s="233">
        <v>8</v>
      </c>
    </row>
    <row r="10" spans="1:2">
      <c r="A10" s="9" t="s">
        <v>1519</v>
      </c>
      <c r="B10" s="233">
        <v>13.5</v>
      </c>
    </row>
    <row r="11" spans="1:2">
      <c r="A11" s="9" t="s">
        <v>1672</v>
      </c>
      <c r="B11" s="233">
        <v>4</v>
      </c>
    </row>
    <row r="12" spans="1:2">
      <c r="A12" s="9" t="s">
        <v>1673</v>
      </c>
      <c r="B12" s="233">
        <v>6</v>
      </c>
    </row>
    <row r="13" spans="1:2">
      <c r="A13" s="9" t="s">
        <v>1674</v>
      </c>
      <c r="B13" s="233">
        <v>1.5</v>
      </c>
    </row>
    <row r="14" spans="1:2">
      <c r="A14" s="9" t="s">
        <v>1675</v>
      </c>
      <c r="B14" s="233">
        <v>161</v>
      </c>
    </row>
    <row r="15" spans="1:2">
      <c r="A15" s="9" t="s">
        <v>1676</v>
      </c>
      <c r="B15" s="233">
        <v>7</v>
      </c>
    </row>
    <row r="16" spans="1:2">
      <c r="A16" s="9" t="s">
        <v>1677</v>
      </c>
      <c r="B16" s="233">
        <v>4</v>
      </c>
    </row>
    <row r="17" spans="1:2">
      <c r="A17" s="9" t="s">
        <v>1653</v>
      </c>
      <c r="B17" s="233">
        <v>366.5</v>
      </c>
    </row>
  </sheetData>
  <pageMargins left="0.7" right="0.7" top="0.75" bottom="0.75" header="0.3" footer="0.3"/>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3:C35"/>
  <sheetViews>
    <sheetView workbookViewId="0">
      <selection activeCell="B9" sqref="B9"/>
    </sheetView>
  </sheetViews>
  <sheetFormatPr defaultColWidth="11.07421875" defaultRowHeight="15.5"/>
  <cols>
    <col min="1" max="1" width="17.23046875" bestFit="1" customWidth="1"/>
    <col min="2" max="2" width="9.61328125" bestFit="1" customWidth="1"/>
    <col min="3" max="3" width="5.3046875" bestFit="1" customWidth="1"/>
  </cols>
  <sheetData>
    <row r="3" spans="1:3">
      <c r="B3" s="8" t="s">
        <v>1652</v>
      </c>
    </row>
    <row r="4" spans="1:3">
      <c r="A4" s="8" t="s">
        <v>1658</v>
      </c>
      <c r="B4" t="s">
        <v>1664</v>
      </c>
      <c r="C4" t="s">
        <v>1663</v>
      </c>
    </row>
    <row r="5" spans="1:3">
      <c r="A5" s="603">
        <v>46144</v>
      </c>
      <c r="B5" s="235">
        <v>0</v>
      </c>
      <c r="C5" s="235">
        <v>0</v>
      </c>
    </row>
    <row r="6" spans="1:3">
      <c r="A6" s="603">
        <v>46145</v>
      </c>
      <c r="B6" s="235">
        <v>6</v>
      </c>
      <c r="C6" s="235">
        <v>3.5</v>
      </c>
    </row>
    <row r="7" spans="1:3">
      <c r="A7" s="603">
        <v>46146</v>
      </c>
      <c r="B7" s="235">
        <v>9</v>
      </c>
      <c r="C7" s="235">
        <v>11.059999999999999</v>
      </c>
    </row>
    <row r="8" spans="1:3">
      <c r="A8" s="603">
        <v>46147</v>
      </c>
      <c r="B8" s="235">
        <v>9</v>
      </c>
      <c r="C8" s="235">
        <v>15.669999999999998</v>
      </c>
    </row>
    <row r="9" spans="1:3">
      <c r="A9" s="603">
        <v>46148</v>
      </c>
      <c r="B9" s="235">
        <v>9</v>
      </c>
      <c r="C9" s="235">
        <v>26.24</v>
      </c>
    </row>
    <row r="10" spans="1:3">
      <c r="A10" s="603">
        <v>46149</v>
      </c>
      <c r="B10" s="235">
        <v>0</v>
      </c>
      <c r="C10" s="235">
        <v>10.030000000000001</v>
      </c>
    </row>
    <row r="11" spans="1:3">
      <c r="A11" s="603">
        <v>46150</v>
      </c>
      <c r="B11" s="235">
        <v>0</v>
      </c>
      <c r="C11" s="235">
        <v>34.03</v>
      </c>
    </row>
    <row r="12" spans="1:3">
      <c r="A12" s="603">
        <v>46151</v>
      </c>
      <c r="B12" s="235">
        <v>4</v>
      </c>
      <c r="C12" s="235">
        <v>45.09</v>
      </c>
    </row>
    <row r="13" spans="1:3">
      <c r="A13" s="603">
        <v>46152</v>
      </c>
      <c r="B13" s="235">
        <v>4</v>
      </c>
      <c r="C13" s="235">
        <v>63.048000000000009</v>
      </c>
    </row>
    <row r="14" spans="1:3">
      <c r="A14" s="603">
        <v>46153</v>
      </c>
      <c r="B14" s="235">
        <v>4</v>
      </c>
      <c r="C14" s="235">
        <v>86.593599999999995</v>
      </c>
    </row>
    <row r="15" spans="1:3">
      <c r="A15" s="603">
        <v>46154</v>
      </c>
      <c r="B15" s="235">
        <v>13</v>
      </c>
      <c r="C15" s="235">
        <v>101.08959999999999</v>
      </c>
    </row>
    <row r="16" spans="1:3">
      <c r="A16" s="603">
        <v>46155</v>
      </c>
      <c r="B16" s="235">
        <v>25</v>
      </c>
      <c r="C16" s="235">
        <v>103.3496</v>
      </c>
    </row>
    <row r="17" spans="1:3">
      <c r="A17" s="603">
        <v>46156</v>
      </c>
      <c r="B17" s="235">
        <v>29</v>
      </c>
      <c r="C17" s="235">
        <v>107.0496</v>
      </c>
    </row>
    <row r="18" spans="1:3">
      <c r="A18" s="603">
        <v>46157</v>
      </c>
      <c r="B18" s="235">
        <v>41</v>
      </c>
      <c r="C18" s="235">
        <v>118.0752</v>
      </c>
    </row>
    <row r="19" spans="1:3">
      <c r="A19" s="603">
        <v>46158</v>
      </c>
      <c r="B19" s="235">
        <v>57</v>
      </c>
      <c r="C19" s="235">
        <v>121.23519999999999</v>
      </c>
    </row>
    <row r="20" spans="1:3">
      <c r="A20" s="603">
        <v>46159</v>
      </c>
      <c r="B20" s="235">
        <v>81</v>
      </c>
      <c r="C20" s="235">
        <v>121.23519999999999</v>
      </c>
    </row>
    <row r="21" spans="1:3">
      <c r="A21" s="603">
        <v>46160</v>
      </c>
      <c r="B21" s="235">
        <v>97</v>
      </c>
      <c r="C21" s="235">
        <v>121.23519999999999</v>
      </c>
    </row>
    <row r="22" spans="1:3">
      <c r="A22" s="603">
        <v>46161</v>
      </c>
      <c r="B22" s="235">
        <v>121</v>
      </c>
      <c r="C22" s="235">
        <v>121.23519999999999</v>
      </c>
    </row>
    <row r="23" spans="1:3">
      <c r="A23" s="603">
        <v>46162</v>
      </c>
      <c r="B23" s="235">
        <v>126</v>
      </c>
      <c r="C23" s="235">
        <v>132.21519999999998</v>
      </c>
    </row>
    <row r="24" spans="1:3">
      <c r="A24" s="603">
        <v>46163</v>
      </c>
      <c r="B24" s="235">
        <v>126</v>
      </c>
      <c r="C24" s="235">
        <v>145.21719999999999</v>
      </c>
    </row>
    <row r="25" spans="1:3">
      <c r="A25" s="603">
        <v>46164</v>
      </c>
      <c r="B25" s="235">
        <v>126</v>
      </c>
      <c r="C25" s="235">
        <v>148.34839999999997</v>
      </c>
    </row>
    <row r="26" spans="1:3">
      <c r="A26" s="603">
        <v>46165</v>
      </c>
      <c r="B26" s="235">
        <v>126</v>
      </c>
      <c r="C26" s="235">
        <v>172.34839999999997</v>
      </c>
    </row>
    <row r="27" spans="1:3">
      <c r="A27" s="603">
        <v>46166</v>
      </c>
      <c r="B27" s="235">
        <v>126</v>
      </c>
      <c r="C27" s="235">
        <v>176.84839999999997</v>
      </c>
    </row>
    <row r="28" spans="1:3">
      <c r="A28" s="603">
        <v>46167</v>
      </c>
      <c r="B28" s="235">
        <v>5.5</v>
      </c>
      <c r="C28" s="235">
        <v>9.76</v>
      </c>
    </row>
    <row r="29" spans="1:3">
      <c r="A29" s="603">
        <v>46168</v>
      </c>
      <c r="B29" s="235">
        <v>23.5</v>
      </c>
      <c r="C29" s="235">
        <v>11.149999999999999</v>
      </c>
    </row>
    <row r="30" spans="1:3">
      <c r="A30" s="603">
        <v>46169</v>
      </c>
      <c r="B30" s="235">
        <v>33.5</v>
      </c>
      <c r="C30" s="235">
        <v>16.959999999999997</v>
      </c>
    </row>
    <row r="31" spans="1:3">
      <c r="A31" s="603">
        <v>46170</v>
      </c>
      <c r="B31" s="235">
        <v>42.5</v>
      </c>
      <c r="C31" s="235">
        <v>16.959999999999997</v>
      </c>
    </row>
    <row r="32" spans="1:3">
      <c r="A32" s="603">
        <v>46171</v>
      </c>
      <c r="B32" s="235">
        <v>42.5</v>
      </c>
      <c r="C32" s="235">
        <v>33.03</v>
      </c>
    </row>
    <row r="33" spans="1:3">
      <c r="A33" s="603">
        <v>46172</v>
      </c>
      <c r="B33" s="235">
        <v>46</v>
      </c>
      <c r="C33" s="235">
        <v>33.03</v>
      </c>
    </row>
    <row r="34" spans="1:3">
      <c r="A34" s="603">
        <v>46173</v>
      </c>
      <c r="B34" s="235">
        <v>58</v>
      </c>
      <c r="C34" s="235">
        <v>33.03</v>
      </c>
    </row>
    <row r="35" spans="1:3">
      <c r="A35" s="603" t="s">
        <v>1653</v>
      </c>
      <c r="B35" s="235">
        <v>126</v>
      </c>
      <c r="C35" s="235">
        <v>176.84839999999997</v>
      </c>
    </row>
  </sheetData>
  <pageMargins left="0.7" right="0.7" top="0.75" bottom="0.75" header="0.3" footer="0.3"/>
  <pageSetup paperSize="9" orientation="portrait" horizontalDpi="0" verticalDpi="0"/>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3:C9"/>
  <sheetViews>
    <sheetView workbookViewId="0">
      <selection activeCell="K39" sqref="K39"/>
    </sheetView>
  </sheetViews>
  <sheetFormatPr defaultColWidth="11.07421875" defaultRowHeight="15.5"/>
  <cols>
    <col min="1" max="1" width="17.23046875" bestFit="1" customWidth="1"/>
    <col min="2" max="2" width="30.3046875" bestFit="1" customWidth="1"/>
    <col min="3" max="3" width="34.4609375" bestFit="1" customWidth="1"/>
  </cols>
  <sheetData>
    <row r="3" spans="1:3">
      <c r="B3" s="8" t="s">
        <v>1652</v>
      </c>
    </row>
    <row r="4" spans="1:3">
      <c r="A4" s="8" t="s">
        <v>1658</v>
      </c>
      <c r="B4" t="s">
        <v>1678</v>
      </c>
      <c r="C4" t="s">
        <v>1679</v>
      </c>
    </row>
    <row r="5" spans="1:3">
      <c r="A5" s="9" t="s">
        <v>53</v>
      </c>
      <c r="B5" s="500">
        <v>46144</v>
      </c>
      <c r="C5" s="500">
        <v>46148</v>
      </c>
    </row>
    <row r="6" spans="1:3">
      <c r="A6" s="9">
        <v>431</v>
      </c>
      <c r="B6" s="500">
        <v>46148</v>
      </c>
      <c r="C6" s="500">
        <v>46166</v>
      </c>
    </row>
    <row r="7" spans="1:3">
      <c r="A7" s="9">
        <v>851</v>
      </c>
      <c r="B7" s="500">
        <v>46166</v>
      </c>
      <c r="C7" s="500">
        <v>46175</v>
      </c>
    </row>
    <row r="8" spans="1:3">
      <c r="A8" s="9" t="s">
        <v>266</v>
      </c>
      <c r="B8" s="500">
        <v>46175</v>
      </c>
      <c r="C8" s="500">
        <v>46195</v>
      </c>
    </row>
    <row r="9" spans="1:3">
      <c r="A9" s="9" t="s">
        <v>1653</v>
      </c>
      <c r="B9" s="500">
        <v>46144</v>
      </c>
      <c r="C9" s="500">
        <v>46195</v>
      </c>
    </row>
  </sheetData>
  <pageMargins left="0.7" right="0.7" top="0.75" bottom="0.75" header="0.3" footer="0.3"/>
  <pageSetup paperSize="9" orientation="portrait" horizontalDpi="0" verticalDpi="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3:D34"/>
  <sheetViews>
    <sheetView workbookViewId="0">
      <selection activeCell="D4" sqref="D4:D33"/>
    </sheetView>
  </sheetViews>
  <sheetFormatPr defaultColWidth="11.07421875" defaultRowHeight="15.5"/>
  <cols>
    <col min="1" max="1" width="17.23046875" bestFit="1" customWidth="1"/>
    <col min="2" max="2" width="18.84375" bestFit="1" customWidth="1"/>
  </cols>
  <sheetData>
    <row r="3" spans="1:4">
      <c r="A3" s="8" t="s">
        <v>1658</v>
      </c>
      <c r="B3" t="s">
        <v>1654</v>
      </c>
    </row>
    <row r="4" spans="1:4">
      <c r="A4" s="536">
        <v>46144</v>
      </c>
      <c r="B4" s="233">
        <v>4</v>
      </c>
      <c r="D4">
        <v>0</v>
      </c>
    </row>
    <row r="5" spans="1:4">
      <c r="A5" s="536">
        <v>46145</v>
      </c>
      <c r="B5" s="233">
        <v>14.5</v>
      </c>
      <c r="D5">
        <v>17.5</v>
      </c>
    </row>
    <row r="6" spans="1:4">
      <c r="A6" s="536">
        <v>46146</v>
      </c>
      <c r="B6" s="233">
        <v>13.44</v>
      </c>
      <c r="D6">
        <v>11.24</v>
      </c>
    </row>
    <row r="7" spans="1:4">
      <c r="A7" s="536">
        <v>46147</v>
      </c>
      <c r="B7" s="233">
        <v>19.389999999999997</v>
      </c>
      <c r="D7">
        <v>22.33</v>
      </c>
    </row>
    <row r="8" spans="1:4">
      <c r="A8" s="536">
        <v>46148</v>
      </c>
      <c r="B8" s="233">
        <v>13.43</v>
      </c>
      <c r="D8">
        <v>10.09</v>
      </c>
    </row>
    <row r="9" spans="1:4">
      <c r="A9" s="536">
        <v>46149</v>
      </c>
      <c r="B9" s="233">
        <v>13.969999999999999</v>
      </c>
      <c r="D9">
        <v>11.41</v>
      </c>
    </row>
    <row r="10" spans="1:4">
      <c r="A10" s="536">
        <v>46150</v>
      </c>
      <c r="B10" s="233">
        <v>0</v>
      </c>
      <c r="D10">
        <v>19.71</v>
      </c>
    </row>
    <row r="11" spans="1:4">
      <c r="A11" s="536">
        <v>46151</v>
      </c>
      <c r="B11" s="233">
        <v>8.94</v>
      </c>
      <c r="D11">
        <v>15.5</v>
      </c>
    </row>
    <row r="12" spans="1:4">
      <c r="A12" s="536">
        <v>46152</v>
      </c>
      <c r="B12" s="233">
        <v>6.0419999999999989</v>
      </c>
      <c r="D12">
        <v>14.3</v>
      </c>
    </row>
    <row r="13" spans="1:4">
      <c r="A13" s="536">
        <v>46153</v>
      </c>
      <c r="B13" s="233">
        <v>0.45440000000000103</v>
      </c>
      <c r="D13">
        <v>0.1199999999999992</v>
      </c>
    </row>
    <row r="14" spans="1:4">
      <c r="A14" s="536">
        <v>46154</v>
      </c>
      <c r="B14" s="233">
        <v>0.50399999999999956</v>
      </c>
      <c r="D14">
        <v>0</v>
      </c>
    </row>
    <row r="15" spans="1:4">
      <c r="A15" s="536">
        <v>46155</v>
      </c>
      <c r="B15" s="233">
        <v>9.74</v>
      </c>
      <c r="D15">
        <v>0</v>
      </c>
    </row>
    <row r="16" spans="1:4">
      <c r="A16" s="536">
        <v>46156</v>
      </c>
      <c r="B16" s="233">
        <v>16.3</v>
      </c>
      <c r="D16">
        <v>4</v>
      </c>
    </row>
    <row r="17" spans="1:4">
      <c r="A17" s="536">
        <v>46157</v>
      </c>
      <c r="B17" s="233">
        <v>0.97440000000000104</v>
      </c>
      <c r="D17">
        <v>20.43</v>
      </c>
    </row>
    <row r="18" spans="1:4">
      <c r="A18" s="536">
        <v>46158</v>
      </c>
      <c r="B18" s="233">
        <v>4.84</v>
      </c>
      <c r="D18">
        <v>17.32</v>
      </c>
    </row>
    <row r="19" spans="1:4">
      <c r="A19" s="536">
        <v>46159</v>
      </c>
      <c r="B19" s="233">
        <v>0</v>
      </c>
      <c r="D19">
        <v>14.57</v>
      </c>
    </row>
    <row r="20" spans="1:4">
      <c r="A20" s="536">
        <v>46160</v>
      </c>
      <c r="B20" s="233">
        <v>8</v>
      </c>
      <c r="D20">
        <v>15.57</v>
      </c>
    </row>
    <row r="21" spans="1:4">
      <c r="A21" s="536">
        <v>46161</v>
      </c>
      <c r="B21" s="233">
        <v>0</v>
      </c>
      <c r="D21">
        <v>9.1900000000000013</v>
      </c>
    </row>
    <row r="22" spans="1:4">
      <c r="A22" s="536">
        <v>46162</v>
      </c>
      <c r="B22" s="233">
        <v>8.02</v>
      </c>
      <c r="D22">
        <v>0</v>
      </c>
    </row>
    <row r="23" spans="1:4">
      <c r="A23" s="536">
        <v>46163</v>
      </c>
      <c r="B23" s="233">
        <v>10.998000000000001</v>
      </c>
      <c r="D23">
        <v>7</v>
      </c>
    </row>
    <row r="24" spans="1:4">
      <c r="A24" s="536">
        <v>46164</v>
      </c>
      <c r="B24" s="233">
        <v>20.8688</v>
      </c>
      <c r="D24">
        <v>17.89</v>
      </c>
    </row>
    <row r="25" spans="1:4">
      <c r="A25" s="536">
        <v>46165</v>
      </c>
      <c r="B25" s="233">
        <v>0</v>
      </c>
      <c r="D25">
        <v>19.739999999999998</v>
      </c>
    </row>
    <row r="26" spans="1:4">
      <c r="A26" s="536">
        <v>46166</v>
      </c>
      <c r="B26" s="233">
        <v>16.580000000000002</v>
      </c>
      <c r="D26">
        <v>24</v>
      </c>
    </row>
    <row r="27" spans="1:4">
      <c r="A27" s="536">
        <v>46167</v>
      </c>
      <c r="B27" s="233">
        <v>11.66</v>
      </c>
      <c r="D27">
        <v>14.52</v>
      </c>
    </row>
    <row r="28" spans="1:4">
      <c r="A28" s="536">
        <v>46168</v>
      </c>
      <c r="B28" s="233">
        <v>4.6100000000000003</v>
      </c>
      <c r="D28">
        <v>18.260000000000002</v>
      </c>
    </row>
    <row r="29" spans="1:4">
      <c r="A29" s="536">
        <v>46169</v>
      </c>
      <c r="B29" s="233">
        <v>8.1900000000000013</v>
      </c>
      <c r="D29">
        <v>4.75</v>
      </c>
    </row>
    <row r="30" spans="1:4">
      <c r="A30" s="536">
        <v>46170</v>
      </c>
      <c r="B30" s="233">
        <v>15</v>
      </c>
      <c r="D30">
        <v>14.18</v>
      </c>
    </row>
    <row r="31" spans="1:4">
      <c r="A31" s="536">
        <v>46171</v>
      </c>
      <c r="B31" s="233">
        <v>7.93</v>
      </c>
      <c r="D31">
        <v>9.9699999999999989</v>
      </c>
    </row>
    <row r="32" spans="1:4">
      <c r="A32" s="536">
        <v>46172</v>
      </c>
      <c r="B32" s="233">
        <v>20.5</v>
      </c>
      <c r="D32">
        <v>24</v>
      </c>
    </row>
    <row r="33" spans="1:4">
      <c r="A33" s="536">
        <v>46173</v>
      </c>
      <c r="B33" s="233">
        <v>12</v>
      </c>
      <c r="D33">
        <v>23.739999999999991</v>
      </c>
    </row>
    <row r="34" spans="1:4">
      <c r="A34" s="536" t="s">
        <v>1653</v>
      </c>
      <c r="B34" s="233">
        <v>270.88160000000005</v>
      </c>
    </row>
  </sheetData>
  <pageMargins left="0.7" right="0.7" top="0.75" bottom="0.75" header="0.3" footer="0.3"/>
  <pageSetup paperSize="9" orientation="portrait" horizontalDpi="0" verticalDpi="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3:F187"/>
  <sheetViews>
    <sheetView workbookViewId="0">
      <selection activeCell="I40" sqref="I40"/>
    </sheetView>
  </sheetViews>
  <sheetFormatPr defaultColWidth="11.15234375" defaultRowHeight="15.5" outlineLevelCol="1"/>
  <cols>
    <col min="1" max="1" width="251.3046875" bestFit="1" customWidth="1"/>
    <col min="2" max="2" width="12.53515625" bestFit="1" customWidth="1"/>
    <col min="3" max="3" width="13.15234375" bestFit="1" customWidth="1"/>
    <col min="4" max="4" width="24.3046875" bestFit="1" customWidth="1"/>
    <col min="5" max="5" width="30.3828125" hidden="1" customWidth="1" outlineLevel="1"/>
    <col min="6" max="6" width="10.53515625" customWidth="1" collapsed="1"/>
  </cols>
  <sheetData>
    <row r="3" spans="1:5">
      <c r="A3" s="8" t="s">
        <v>1658</v>
      </c>
      <c r="B3" t="s">
        <v>1680</v>
      </c>
      <c r="C3" t="s">
        <v>1681</v>
      </c>
      <c r="D3" t="s">
        <v>1682</v>
      </c>
      <c r="E3" t="s">
        <v>1683</v>
      </c>
    </row>
    <row r="4" spans="1:5">
      <c r="A4" s="9" t="s">
        <v>174</v>
      </c>
      <c r="B4" s="5">
        <v>0.29166666666666669</v>
      </c>
      <c r="C4" s="5">
        <v>0.29166666666666669</v>
      </c>
      <c r="D4" s="5">
        <v>0</v>
      </c>
      <c r="E4" s="4">
        <v>46154.292048611111</v>
      </c>
    </row>
    <row r="5" spans="1:5">
      <c r="A5" s="10" t="s">
        <v>1684</v>
      </c>
      <c r="B5" s="5">
        <v>0.29166666666666669</v>
      </c>
      <c r="C5" s="5">
        <v>0.29166666666666669</v>
      </c>
      <c r="D5" s="5">
        <v>0</v>
      </c>
      <c r="E5" s="4">
        <v>46154.292048611111</v>
      </c>
    </row>
    <row r="6" spans="1:5">
      <c r="A6" s="9" t="s">
        <v>59</v>
      </c>
      <c r="B6" s="5">
        <v>11.381516666666659</v>
      </c>
      <c r="C6" s="5">
        <v>15.85151666666667</v>
      </c>
      <c r="D6" s="5">
        <v>-4.4700000000000104</v>
      </c>
      <c r="E6" s="4">
        <v>46163.572465277779</v>
      </c>
    </row>
    <row r="7" spans="1:5">
      <c r="A7" s="10" t="s">
        <v>1685</v>
      </c>
      <c r="B7" s="5">
        <v>0.1225</v>
      </c>
      <c r="C7" s="5">
        <v>0.125</v>
      </c>
      <c r="D7" s="5">
        <v>-2.5000000000000018E-3</v>
      </c>
      <c r="E7" s="4">
        <v>46093.01666666667</v>
      </c>
    </row>
    <row r="8" spans="1:5">
      <c r="A8" s="10" t="s">
        <v>1686</v>
      </c>
      <c r="B8" s="5">
        <v>0.22666666666666671</v>
      </c>
      <c r="C8" s="5">
        <v>0.22916666666666671</v>
      </c>
      <c r="D8" s="5">
        <v>-2.499999999999974E-3</v>
      </c>
      <c r="E8" s="4">
        <v>46093.292500000003</v>
      </c>
    </row>
    <row r="9" spans="1:5">
      <c r="A9" s="10" t="s">
        <v>1687</v>
      </c>
      <c r="B9" s="5">
        <v>0.1108333333333333</v>
      </c>
      <c r="C9" s="5">
        <v>0.14583333333333329</v>
      </c>
      <c r="D9" s="5">
        <v>-3.5000000000000003E-2</v>
      </c>
      <c r="E9" s="4">
        <v>46093.403333333343</v>
      </c>
    </row>
    <row r="10" spans="1:5">
      <c r="A10" s="10" t="s">
        <v>1688</v>
      </c>
      <c r="B10" s="5">
        <v>4.9166666666666657E-2</v>
      </c>
      <c r="C10" s="5">
        <v>4.1666666666666657E-2</v>
      </c>
      <c r="D10" s="5">
        <v>7.4999999999999997E-3</v>
      </c>
      <c r="E10" s="4">
        <v>46108.042395833327</v>
      </c>
    </row>
    <row r="11" spans="1:5">
      <c r="A11" s="10" t="s">
        <v>1689</v>
      </c>
      <c r="B11" s="5">
        <v>0.13583333333333331</v>
      </c>
      <c r="C11" s="5">
        <v>0.13541666666666671</v>
      </c>
      <c r="D11" s="5">
        <v>4.1666666666667629E-4</v>
      </c>
      <c r="E11" s="4">
        <v>46108.178229166668</v>
      </c>
    </row>
    <row r="12" spans="1:5">
      <c r="A12" s="10" t="s">
        <v>1690</v>
      </c>
      <c r="B12" s="5">
        <v>0.1108333333333333</v>
      </c>
      <c r="C12" s="5">
        <v>0.1041666666666667</v>
      </c>
      <c r="D12" s="5">
        <v>6.666666666666668E-3</v>
      </c>
      <c r="E12" s="4">
        <v>46108.2890625</v>
      </c>
    </row>
    <row r="13" spans="1:5">
      <c r="A13" s="10" t="s">
        <v>1691</v>
      </c>
      <c r="B13" s="5">
        <v>0.20624999999999999</v>
      </c>
      <c r="C13" s="5">
        <v>0.21875</v>
      </c>
      <c r="D13" s="5">
        <v>-1.249999999999998E-2</v>
      </c>
      <c r="E13" s="4">
        <v>46108.495312500003</v>
      </c>
    </row>
    <row r="14" spans="1:5">
      <c r="A14" s="10" t="s">
        <v>1692</v>
      </c>
      <c r="B14" s="5">
        <v>0.2225</v>
      </c>
      <c r="C14" s="5">
        <v>0.23958333333333329</v>
      </c>
      <c r="D14" s="5">
        <v>-1.7083333333333339E-2</v>
      </c>
      <c r="E14" s="4">
        <v>46118.642083333332</v>
      </c>
    </row>
    <row r="15" spans="1:5">
      <c r="A15" s="10" t="s">
        <v>1693</v>
      </c>
      <c r="B15" s="5">
        <v>0.50250000000000006</v>
      </c>
      <c r="C15" s="5">
        <v>0.72666666666666668</v>
      </c>
      <c r="D15" s="5">
        <v>-0.2241666666666666</v>
      </c>
      <c r="E15" s="4">
        <v>46118.691250000003</v>
      </c>
    </row>
    <row r="16" spans="1:5">
      <c r="A16" s="10" t="s">
        <v>1694</v>
      </c>
      <c r="B16" s="5">
        <v>1.081933333333333</v>
      </c>
      <c r="C16" s="5">
        <v>1.3556833333333329</v>
      </c>
      <c r="D16" s="5">
        <v>-0.27374999999999988</v>
      </c>
      <c r="E16" s="4">
        <v>46119.029166666667</v>
      </c>
    </row>
    <row r="17" spans="1:5">
      <c r="A17" s="10" t="s">
        <v>1695</v>
      </c>
      <c r="B17" s="5">
        <v>6.4583333333333326E-2</v>
      </c>
      <c r="C17" s="5">
        <v>8.3333333333333329E-2</v>
      </c>
      <c r="D17" s="5">
        <v>-1.8749999999999999E-2</v>
      </c>
      <c r="E17" s="4">
        <v>46119.070833333331</v>
      </c>
    </row>
    <row r="18" spans="1:5">
      <c r="A18" s="10" t="s">
        <v>1696</v>
      </c>
      <c r="B18" s="5">
        <v>0.23958333333333329</v>
      </c>
      <c r="C18" s="5">
        <v>0.35416666666666657</v>
      </c>
      <c r="D18" s="5">
        <v>-0.1145833333333333</v>
      </c>
      <c r="E18" s="4">
        <v>46119.116249999999</v>
      </c>
    </row>
    <row r="19" spans="1:5">
      <c r="A19" s="10" t="s">
        <v>1697</v>
      </c>
      <c r="B19" s="5">
        <v>1.5416666666666671E-2</v>
      </c>
      <c r="C19" s="5">
        <v>2.0833333333333329E-2</v>
      </c>
      <c r="D19" s="5">
        <v>-5.4166666666666651E-3</v>
      </c>
      <c r="E19" s="4">
        <v>46130.092499999999</v>
      </c>
    </row>
    <row r="20" spans="1:5">
      <c r="A20" s="10" t="s">
        <v>1698</v>
      </c>
      <c r="B20" s="5">
        <v>2.0833333333333329E-2</v>
      </c>
      <c r="C20" s="5">
        <v>1.760416666666667</v>
      </c>
      <c r="D20" s="5">
        <v>-1.739583333333333</v>
      </c>
      <c r="E20" s="4">
        <v>46130.250833333332</v>
      </c>
    </row>
    <row r="21" spans="1:5">
      <c r="A21" s="10" t="s">
        <v>1699</v>
      </c>
      <c r="B21" s="5">
        <v>0.11416666666666669</v>
      </c>
      <c r="C21" s="5">
        <v>0.31541666666666668</v>
      </c>
      <c r="D21" s="5">
        <v>-0.20125000000000001</v>
      </c>
      <c r="E21" s="4">
        <v>46130.364999999998</v>
      </c>
    </row>
    <row r="22" spans="1:5">
      <c r="A22" s="10" t="s">
        <v>1700</v>
      </c>
      <c r="B22" s="5">
        <v>1.5783333333333329</v>
      </c>
      <c r="C22" s="5">
        <v>1.5895833333333329</v>
      </c>
      <c r="D22" s="5">
        <v>-1.1249999999999981E-2</v>
      </c>
      <c r="E22" s="4">
        <v>46137.392465277779</v>
      </c>
    </row>
    <row r="23" spans="1:5">
      <c r="A23" s="10" t="s">
        <v>1701</v>
      </c>
      <c r="B23" s="5">
        <v>5.6666666666666657E-2</v>
      </c>
      <c r="C23" s="5">
        <v>6.25E-2</v>
      </c>
      <c r="D23" s="5">
        <v>-5.8333333333333362E-3</v>
      </c>
      <c r="E23" s="4">
        <v>46137.409548611111</v>
      </c>
    </row>
    <row r="24" spans="1:5">
      <c r="A24" s="10" t="s">
        <v>1702</v>
      </c>
      <c r="B24" s="5">
        <v>0.34333333333333332</v>
      </c>
      <c r="C24" s="5">
        <v>0.47249999999999998</v>
      </c>
      <c r="D24" s="5">
        <v>-0.12916666666666671</v>
      </c>
      <c r="E24" s="4">
        <v>46137.615381944437</v>
      </c>
    </row>
    <row r="25" spans="1:5">
      <c r="A25" s="10" t="s">
        <v>1703</v>
      </c>
      <c r="B25" s="5">
        <v>4.1666666666666657E-2</v>
      </c>
      <c r="C25" s="5">
        <v>4.1666666666666657E-2</v>
      </c>
      <c r="D25" s="5">
        <v>0</v>
      </c>
      <c r="E25" s="4">
        <v>46137.63621527778</v>
      </c>
    </row>
    <row r="26" spans="1:5">
      <c r="A26" s="10" t="s">
        <v>1704</v>
      </c>
      <c r="B26" s="5">
        <v>0.67208333333333337</v>
      </c>
      <c r="C26" s="5">
        <v>0.60083333333333333</v>
      </c>
      <c r="D26" s="5">
        <v>7.1250000000000036E-2</v>
      </c>
      <c r="E26" s="4">
        <v>46138.006631944438</v>
      </c>
    </row>
    <row r="27" spans="1:5">
      <c r="A27" s="10" t="s">
        <v>1705</v>
      </c>
      <c r="B27" s="5">
        <v>0.33583333333333332</v>
      </c>
      <c r="C27" s="5">
        <v>0.98666666666666669</v>
      </c>
      <c r="D27" s="5">
        <v>-0.65083333333333337</v>
      </c>
      <c r="E27" s="4">
        <v>46138.177048611113</v>
      </c>
    </row>
    <row r="28" spans="1:5">
      <c r="A28" s="10" t="s">
        <v>1666</v>
      </c>
      <c r="B28" s="5">
        <v>3.7083333333333329E-2</v>
      </c>
      <c r="C28" s="5">
        <v>4.1666666666666657E-2</v>
      </c>
      <c r="D28" s="5">
        <v>-4.5833333333333351E-3</v>
      </c>
      <c r="E28" s="4">
        <v>46138.196631944447</v>
      </c>
    </row>
    <row r="29" spans="1:5">
      <c r="A29" s="10" t="s">
        <v>1706</v>
      </c>
      <c r="B29" s="5">
        <v>8.8333333333333333E-2</v>
      </c>
      <c r="C29" s="5">
        <v>0.09</v>
      </c>
      <c r="D29" s="5">
        <v>-1.666666666666664E-3</v>
      </c>
      <c r="E29" s="4">
        <v>46138.243298611109</v>
      </c>
    </row>
    <row r="30" spans="1:5">
      <c r="A30" s="10" t="s">
        <v>1707</v>
      </c>
      <c r="B30" s="5">
        <v>0.13416666666666671</v>
      </c>
      <c r="C30" s="5">
        <v>0.13416666666666671</v>
      </c>
      <c r="D30" s="5">
        <v>0</v>
      </c>
      <c r="E30" s="4">
        <v>46138.247465277767</v>
      </c>
    </row>
    <row r="31" spans="1:5">
      <c r="A31" s="10" t="s">
        <v>1708</v>
      </c>
      <c r="B31" s="5">
        <v>0.22750000000000001</v>
      </c>
      <c r="C31" s="5">
        <v>0.22916666666666671</v>
      </c>
      <c r="D31" s="5">
        <v>-1.6666666666666501E-3</v>
      </c>
      <c r="E31" s="4">
        <v>46143.693715277783</v>
      </c>
    </row>
    <row r="32" spans="1:5">
      <c r="A32" s="10" t="s">
        <v>1709</v>
      </c>
      <c r="B32" s="5">
        <v>1.7083333333333329E-2</v>
      </c>
      <c r="C32" s="5">
        <v>2.0833333333333329E-2</v>
      </c>
      <c r="D32" s="5">
        <v>-3.7499999999999999E-3</v>
      </c>
      <c r="E32" s="4">
        <v>46143.754965277767</v>
      </c>
    </row>
    <row r="33" spans="1:5">
      <c r="A33" s="10" t="s">
        <v>1710</v>
      </c>
      <c r="B33" s="5">
        <v>0.20583333333333331</v>
      </c>
      <c r="C33" s="5">
        <v>0.2225</v>
      </c>
      <c r="D33" s="5">
        <v>-1.6666666666666659E-2</v>
      </c>
      <c r="E33" s="4">
        <v>46143.960798611108</v>
      </c>
    </row>
    <row r="34" spans="1:5">
      <c r="A34" s="10" t="s">
        <v>1711</v>
      </c>
      <c r="B34" s="5">
        <v>4.1666666666666657E-2</v>
      </c>
      <c r="C34" s="5">
        <v>4.1666666666666657E-2</v>
      </c>
      <c r="D34" s="5">
        <v>0</v>
      </c>
      <c r="E34" s="4">
        <v>46144.002465277779</v>
      </c>
    </row>
    <row r="35" spans="1:5">
      <c r="A35" s="10" t="s">
        <v>1712</v>
      </c>
      <c r="B35" s="5">
        <v>0.12541666666666659</v>
      </c>
      <c r="C35" s="5">
        <v>0.13583333333333331</v>
      </c>
      <c r="D35" s="5">
        <v>-1.041666666666669E-2</v>
      </c>
      <c r="E35" s="4">
        <v>46144.127881944441</v>
      </c>
    </row>
    <row r="36" spans="1:5">
      <c r="A36" s="10" t="s">
        <v>1713</v>
      </c>
      <c r="B36" s="5">
        <v>4.1666666666666657E-2</v>
      </c>
      <c r="C36" s="5">
        <v>4.1666666666666657E-2</v>
      </c>
      <c r="D36" s="5">
        <v>0</v>
      </c>
      <c r="E36" s="4">
        <v>46144.294548611113</v>
      </c>
    </row>
    <row r="37" spans="1:5">
      <c r="A37" s="10" t="s">
        <v>1714</v>
      </c>
      <c r="B37" s="5">
        <v>0.33791666666666659</v>
      </c>
      <c r="C37" s="5">
        <v>0.33791666666666659</v>
      </c>
      <c r="D37" s="5">
        <v>0</v>
      </c>
      <c r="E37" s="4">
        <v>46144.632465277777</v>
      </c>
    </row>
    <row r="38" spans="1:5">
      <c r="A38" s="10" t="s">
        <v>1715</v>
      </c>
      <c r="B38" s="5">
        <v>0.11</v>
      </c>
      <c r="C38" s="5">
        <v>0.11</v>
      </c>
      <c r="D38" s="5">
        <v>0</v>
      </c>
      <c r="E38" s="4">
        <v>46144.742465277777</v>
      </c>
    </row>
    <row r="39" spans="1:5">
      <c r="A39" s="10" t="s">
        <v>1716</v>
      </c>
      <c r="B39" s="5">
        <v>0.23666666666666669</v>
      </c>
      <c r="C39" s="5">
        <v>0.25</v>
      </c>
      <c r="D39" s="5">
        <v>-1.3333333333333339E-2</v>
      </c>
      <c r="E39" s="4">
        <v>46154.681631944448</v>
      </c>
    </row>
    <row r="40" spans="1:5">
      <c r="A40" s="10" t="s">
        <v>1717</v>
      </c>
      <c r="B40" s="5">
        <v>1.7083333333333329E-2</v>
      </c>
      <c r="C40" s="5">
        <v>2.0833333333333329E-2</v>
      </c>
      <c r="D40" s="5">
        <v>-3.7499999999999999E-3</v>
      </c>
      <c r="E40" s="4">
        <v>46154.69871527778</v>
      </c>
    </row>
    <row r="41" spans="1:5">
      <c r="A41" s="10" t="s">
        <v>1718</v>
      </c>
      <c r="B41" s="5">
        <v>0.20583333333333331</v>
      </c>
      <c r="C41" s="5">
        <v>0.20833333333333329</v>
      </c>
      <c r="D41" s="5">
        <v>-2.5000000000000018E-3</v>
      </c>
      <c r="E41" s="4">
        <v>46154.904548611114</v>
      </c>
    </row>
    <row r="42" spans="1:5">
      <c r="A42" s="10" t="s">
        <v>1719</v>
      </c>
      <c r="B42" s="5">
        <v>6.25E-2</v>
      </c>
      <c r="C42" s="5">
        <v>8.3333333333333329E-2</v>
      </c>
      <c r="D42" s="5">
        <v>-2.0833333333333329E-2</v>
      </c>
      <c r="E42" s="4">
        <v>46154.967048611114</v>
      </c>
    </row>
    <row r="43" spans="1:5">
      <c r="A43" s="10" t="s">
        <v>1720</v>
      </c>
      <c r="B43" s="5">
        <v>0.33333333333333331</v>
      </c>
      <c r="C43" s="5">
        <v>0.33333333333333331</v>
      </c>
      <c r="D43" s="5">
        <v>0</v>
      </c>
      <c r="E43" s="4">
        <v>46155.300381944442</v>
      </c>
    </row>
    <row r="44" spans="1:5">
      <c r="A44" s="10" t="s">
        <v>1721</v>
      </c>
      <c r="B44" s="5">
        <v>8.3333333333333329E-2</v>
      </c>
      <c r="C44" s="5">
        <v>8.3333333333333329E-2</v>
      </c>
      <c r="D44" s="5">
        <v>0</v>
      </c>
      <c r="E44" s="4">
        <v>46155.383715277778</v>
      </c>
    </row>
    <row r="45" spans="1:5">
      <c r="A45" s="10" t="s">
        <v>1722</v>
      </c>
      <c r="B45" s="5">
        <v>0.20833333333333329</v>
      </c>
      <c r="C45" s="5">
        <v>0.20833333333333329</v>
      </c>
      <c r="D45" s="5">
        <v>0</v>
      </c>
      <c r="E45" s="4">
        <v>46155.592048611114</v>
      </c>
    </row>
    <row r="46" spans="1:5">
      <c r="A46" s="10" t="s">
        <v>1723</v>
      </c>
      <c r="B46" s="5">
        <v>6.7083333333333342E-2</v>
      </c>
      <c r="C46" s="5">
        <v>8.3333333333333329E-2</v>
      </c>
      <c r="D46" s="5">
        <v>-1.624999999999999E-2</v>
      </c>
      <c r="E46" s="4">
        <v>46155.659131944441</v>
      </c>
    </row>
    <row r="47" spans="1:5">
      <c r="A47" s="10" t="s">
        <v>1724</v>
      </c>
      <c r="B47" s="5">
        <v>0.33333333333333331</v>
      </c>
      <c r="C47" s="5">
        <v>0.83333333333333326</v>
      </c>
      <c r="D47" s="5">
        <v>-0.49999999999999989</v>
      </c>
      <c r="E47" s="4">
        <v>46155.992465277777</v>
      </c>
    </row>
    <row r="48" spans="1:5">
      <c r="A48" s="10" t="s">
        <v>1725</v>
      </c>
      <c r="B48" s="5">
        <v>0.62750000000000006</v>
      </c>
      <c r="C48" s="5">
        <v>0.66666666666666674</v>
      </c>
      <c r="D48" s="5">
        <v>-3.9166666666666683E-2</v>
      </c>
      <c r="E48" s="4">
        <v>46156.61996527778</v>
      </c>
    </row>
    <row r="49" spans="1:5">
      <c r="A49" s="10" t="s">
        <v>1726</v>
      </c>
      <c r="B49" s="5">
        <v>0</v>
      </c>
      <c r="C49" s="5">
        <v>0.375</v>
      </c>
      <c r="D49" s="5">
        <v>-0.375</v>
      </c>
      <c r="E49" s="4">
        <v>46156.703298611108</v>
      </c>
    </row>
    <row r="50" spans="1:5">
      <c r="A50" s="10" t="s">
        <v>1727</v>
      </c>
      <c r="B50" s="5">
        <v>8.3333333333333329E-2</v>
      </c>
      <c r="C50" s="5">
        <v>8.3333333333333329E-2</v>
      </c>
      <c r="D50" s="5">
        <v>0</v>
      </c>
      <c r="E50" s="4">
        <v>46156.703298611108</v>
      </c>
    </row>
    <row r="51" spans="1:5">
      <c r="A51" s="10" t="s">
        <v>1728</v>
      </c>
      <c r="B51" s="5">
        <v>8.8333333333333333E-2</v>
      </c>
      <c r="C51" s="5">
        <v>8.5833333333333331E-2</v>
      </c>
      <c r="D51" s="5">
        <v>2.5000000000000018E-3</v>
      </c>
      <c r="E51" s="4">
        <v>46162.405798611107</v>
      </c>
    </row>
    <row r="52" spans="1:5">
      <c r="A52" s="10" t="s">
        <v>1729</v>
      </c>
      <c r="B52" s="5">
        <v>0.20583333333333331</v>
      </c>
      <c r="C52" s="5">
        <v>0.20833333333333329</v>
      </c>
      <c r="D52" s="5">
        <v>-2.5000000000000018E-3</v>
      </c>
      <c r="E52" s="4">
        <v>46162.611631944441</v>
      </c>
    </row>
    <row r="53" spans="1:5">
      <c r="A53" s="10" t="s">
        <v>1730</v>
      </c>
      <c r="B53" s="5">
        <v>1.7083333333333329E-2</v>
      </c>
      <c r="C53" s="5">
        <v>1.7083333333333329E-2</v>
      </c>
      <c r="D53" s="5">
        <v>0</v>
      </c>
      <c r="E53" s="4">
        <v>46162.62871527778</v>
      </c>
    </row>
    <row r="54" spans="1:5">
      <c r="A54" s="10" t="s">
        <v>1731</v>
      </c>
      <c r="B54" s="5">
        <v>0.20583333333333331</v>
      </c>
      <c r="C54" s="5">
        <v>0.22916666666666671</v>
      </c>
      <c r="D54" s="5">
        <v>-2.3333333333333321E-2</v>
      </c>
      <c r="E54" s="4">
        <v>46162.834548611107</v>
      </c>
    </row>
    <row r="55" spans="1:5">
      <c r="A55" s="10" t="s">
        <v>1732</v>
      </c>
      <c r="B55" s="5">
        <v>4.1666666666666657E-2</v>
      </c>
      <c r="C55" s="5">
        <v>4.1666666666666657E-2</v>
      </c>
      <c r="D55" s="5">
        <v>0</v>
      </c>
      <c r="E55" s="4">
        <v>46162.876215277778</v>
      </c>
    </row>
    <row r="56" spans="1:5">
      <c r="A56" s="10" t="s">
        <v>1733</v>
      </c>
      <c r="B56" s="5">
        <v>0.1033333333333333</v>
      </c>
      <c r="C56" s="5">
        <v>0.1033333333333333</v>
      </c>
      <c r="D56" s="5">
        <v>0</v>
      </c>
      <c r="E56" s="4">
        <v>46162.979548611111</v>
      </c>
    </row>
    <row r="57" spans="1:5">
      <c r="A57" s="10" t="s">
        <v>1734</v>
      </c>
      <c r="B57" s="5">
        <v>0.375</v>
      </c>
      <c r="C57" s="5">
        <v>0.375</v>
      </c>
      <c r="D57" s="5">
        <v>0</v>
      </c>
      <c r="E57" s="4">
        <v>46163.104548611111</v>
      </c>
    </row>
    <row r="58" spans="1:5">
      <c r="A58" s="10" t="s">
        <v>1735</v>
      </c>
      <c r="B58" s="5">
        <v>4.1666666666666657E-2</v>
      </c>
      <c r="C58" s="5">
        <v>4.1666666666666657E-2</v>
      </c>
      <c r="D58" s="5">
        <v>0</v>
      </c>
      <c r="E58" s="4">
        <v>46163.146215277768</v>
      </c>
    </row>
    <row r="59" spans="1:5">
      <c r="A59" s="10" t="s">
        <v>1736</v>
      </c>
      <c r="B59" s="5">
        <v>0.33791666666666659</v>
      </c>
      <c r="C59" s="5">
        <v>0.41666666666666669</v>
      </c>
      <c r="D59" s="5">
        <v>-7.8750000000000042E-2</v>
      </c>
      <c r="E59" s="4">
        <v>46163.484131944453</v>
      </c>
    </row>
    <row r="60" spans="1:5">
      <c r="A60" s="10" t="s">
        <v>1737</v>
      </c>
      <c r="B60" s="5">
        <v>8.8333333333333333E-2</v>
      </c>
      <c r="C60" s="5">
        <v>8.8333333333333333E-2</v>
      </c>
      <c r="D60" s="5">
        <v>0</v>
      </c>
      <c r="E60" s="4">
        <v>46163.572465277779</v>
      </c>
    </row>
    <row r="61" spans="1:5">
      <c r="A61" s="9" t="s">
        <v>98</v>
      </c>
      <c r="B61" s="5">
        <v>0.16666666666666671</v>
      </c>
      <c r="C61" s="5">
        <v>0.16666666666666671</v>
      </c>
      <c r="D61" s="5">
        <v>0</v>
      </c>
      <c r="E61" s="4">
        <v>46165.468298611107</v>
      </c>
    </row>
    <row r="62" spans="1:5">
      <c r="A62" s="10" t="s">
        <v>1738</v>
      </c>
      <c r="B62" s="5">
        <v>0.16666666666666671</v>
      </c>
      <c r="C62" s="5">
        <v>0.16666666666666671</v>
      </c>
      <c r="D62" s="5">
        <v>0</v>
      </c>
      <c r="E62" s="4">
        <v>46165.468298611107</v>
      </c>
    </row>
    <row r="63" spans="1:5">
      <c r="A63" s="9" t="s">
        <v>51</v>
      </c>
      <c r="B63" s="5">
        <v>32.843816666666669</v>
      </c>
      <c r="C63" s="5">
        <v>42.773716666666679</v>
      </c>
      <c r="D63" s="5">
        <v>-9.9299000000000106</v>
      </c>
      <c r="E63" s="4">
        <v>46169.418298611112</v>
      </c>
    </row>
    <row r="64" spans="1:5">
      <c r="A64" s="10" t="s">
        <v>1739</v>
      </c>
      <c r="B64" s="5">
        <v>0.20624999999999999</v>
      </c>
      <c r="C64" s="5">
        <v>0.20833333333333329</v>
      </c>
      <c r="D64" s="5">
        <v>-2.0833333333333259E-3</v>
      </c>
      <c r="E64" s="4">
        <v>46093.609583333331</v>
      </c>
    </row>
    <row r="65" spans="1:5">
      <c r="A65" s="10" t="s">
        <v>1740</v>
      </c>
      <c r="B65" s="5">
        <v>1.000833333333333</v>
      </c>
      <c r="C65" s="5">
        <v>1.177083333333333</v>
      </c>
      <c r="D65" s="5">
        <v>-0.17624999999999999</v>
      </c>
      <c r="E65" s="4">
        <v>46094.61041666667</v>
      </c>
    </row>
    <row r="66" spans="1:5">
      <c r="A66" s="10" t="s">
        <v>1741</v>
      </c>
      <c r="B66" s="5">
        <v>4.4800000000000013E-2</v>
      </c>
      <c r="C66" s="5">
        <v>0.61458333333333326</v>
      </c>
      <c r="D66" s="5">
        <v>-0.56978333333333331</v>
      </c>
      <c r="E66" s="4">
        <v>46094.655219907407</v>
      </c>
    </row>
    <row r="67" spans="1:5">
      <c r="A67" s="10" t="s">
        <v>1742</v>
      </c>
      <c r="B67" s="5">
        <v>5.1333333333333342E-2</v>
      </c>
      <c r="C67" s="5">
        <v>5.2083333333333343E-2</v>
      </c>
      <c r="D67" s="5">
        <v>-7.4999999999999373E-4</v>
      </c>
      <c r="E67" s="4">
        <v>46094.706550925926</v>
      </c>
    </row>
    <row r="68" spans="1:5">
      <c r="A68" s="10" t="s">
        <v>1743</v>
      </c>
      <c r="B68" s="5">
        <v>0.14699999999999999</v>
      </c>
      <c r="C68" s="5">
        <v>0.27083333333333331</v>
      </c>
      <c r="D68" s="5">
        <v>-0.1238333333333333</v>
      </c>
      <c r="E68" s="4">
        <v>46094.85355324074</v>
      </c>
    </row>
    <row r="69" spans="1:5">
      <c r="A69" s="10" t="s">
        <v>1744</v>
      </c>
      <c r="B69" s="5">
        <v>3.3599999999999998E-2</v>
      </c>
      <c r="C69" s="5">
        <v>3.125E-2</v>
      </c>
      <c r="D69" s="5">
        <v>2.3499999999999979E-3</v>
      </c>
      <c r="E69" s="4">
        <v>46094.887152777781</v>
      </c>
    </row>
    <row r="70" spans="1:5">
      <c r="A70" s="10" t="s">
        <v>1745</v>
      </c>
      <c r="B70" s="5">
        <v>0.26250000000000001</v>
      </c>
      <c r="C70" s="5">
        <v>0.16666666666666671</v>
      </c>
      <c r="D70" s="5">
        <v>9.5833333333333354E-2</v>
      </c>
      <c r="E70" s="4">
        <v>46095.149652777778</v>
      </c>
    </row>
    <row r="71" spans="1:5">
      <c r="A71" s="10" t="s">
        <v>1746</v>
      </c>
      <c r="B71" s="5">
        <v>3.4166666666666658E-2</v>
      </c>
      <c r="C71" s="5">
        <v>3.125E-2</v>
      </c>
      <c r="D71" s="5">
        <v>2.9166666666666651E-3</v>
      </c>
      <c r="E71" s="4">
        <v>46095.183819444443</v>
      </c>
    </row>
    <row r="72" spans="1:5">
      <c r="A72" s="10" t="s">
        <v>1747</v>
      </c>
      <c r="B72" s="5">
        <v>7.5416666666666674E-2</v>
      </c>
      <c r="C72" s="5">
        <v>7.2916666666666671E-2</v>
      </c>
      <c r="D72" s="5">
        <v>2.5000000000000018E-3</v>
      </c>
      <c r="E72" s="4">
        <v>46095.259236111109</v>
      </c>
    </row>
    <row r="73" spans="1:5">
      <c r="A73" s="10" t="s">
        <v>1748</v>
      </c>
      <c r="B73" s="5">
        <v>3.2833333333333332</v>
      </c>
      <c r="C73" s="5">
        <v>3.4375</v>
      </c>
      <c r="D73" s="5">
        <v>-0.15416666666666681</v>
      </c>
      <c r="E73" s="4">
        <v>46099.877083333333</v>
      </c>
    </row>
    <row r="74" spans="1:5">
      <c r="A74" s="10" t="s">
        <v>1749</v>
      </c>
      <c r="B74" s="5">
        <v>1.529166666666667</v>
      </c>
      <c r="C74" s="5">
        <v>1.333333333333333</v>
      </c>
      <c r="D74" s="5">
        <v>0.1958333333333335</v>
      </c>
      <c r="E74" s="4">
        <v>46101.40625</v>
      </c>
    </row>
    <row r="75" spans="1:5">
      <c r="A75" s="10" t="s">
        <v>1750</v>
      </c>
      <c r="B75" s="5">
        <v>0.1908333333333333</v>
      </c>
      <c r="C75" s="5">
        <v>0.1875</v>
      </c>
      <c r="D75" s="5">
        <v>3.3333333333332989E-3</v>
      </c>
      <c r="E75" s="4">
        <v>46101.597083333327</v>
      </c>
    </row>
    <row r="76" spans="1:5">
      <c r="A76" s="10" t="s">
        <v>1751</v>
      </c>
      <c r="B76" s="5">
        <v>0.1083333333333333</v>
      </c>
      <c r="C76" s="5">
        <v>0.1041666666666667</v>
      </c>
      <c r="D76" s="5">
        <v>4.1666666666666657E-3</v>
      </c>
      <c r="E76" s="4">
        <v>46101.705416666657</v>
      </c>
    </row>
    <row r="77" spans="1:5">
      <c r="A77" s="10" t="s">
        <v>1752</v>
      </c>
      <c r="B77" s="5">
        <v>1.000416666666667</v>
      </c>
      <c r="C77" s="5">
        <v>1.291666666666667</v>
      </c>
      <c r="D77" s="5">
        <v>-0.29125000000000001</v>
      </c>
      <c r="E77" s="4">
        <v>46102.705833333333</v>
      </c>
    </row>
    <row r="78" spans="1:5">
      <c r="A78" s="10" t="s">
        <v>1753</v>
      </c>
      <c r="B78" s="5">
        <v>0.23458333333333331</v>
      </c>
      <c r="C78" s="5">
        <v>0.45833333333333331</v>
      </c>
      <c r="D78" s="5">
        <v>-0.22375</v>
      </c>
      <c r="E78" s="4">
        <v>46108.729895833327</v>
      </c>
    </row>
    <row r="79" spans="1:5">
      <c r="A79" s="10" t="s">
        <v>1754</v>
      </c>
      <c r="B79" s="5">
        <v>4.5000000000000012E-2</v>
      </c>
      <c r="C79" s="5">
        <v>0.66666666666666663</v>
      </c>
      <c r="D79" s="5">
        <v>-0.62166666666666659</v>
      </c>
      <c r="E79" s="4">
        <v>46108.774895833332</v>
      </c>
    </row>
    <row r="80" spans="1:5">
      <c r="A80" s="10" t="s">
        <v>1755</v>
      </c>
      <c r="B80" s="5">
        <v>0.7287499999999999</v>
      </c>
      <c r="C80" s="5">
        <v>1.114583333333333</v>
      </c>
      <c r="D80" s="5">
        <v>-0.38583333333333342</v>
      </c>
      <c r="E80" s="4">
        <v>46109.554895833331</v>
      </c>
    </row>
    <row r="81" spans="1:5">
      <c r="A81" s="10" t="s">
        <v>1756</v>
      </c>
      <c r="B81" s="5">
        <v>0.66666666666666663</v>
      </c>
      <c r="C81" s="5">
        <v>0.66666666666666663</v>
      </c>
      <c r="D81" s="5">
        <v>0</v>
      </c>
      <c r="E81" s="4">
        <v>46118.875</v>
      </c>
    </row>
    <row r="82" spans="1:5">
      <c r="A82" s="10" t="s">
        <v>1757</v>
      </c>
      <c r="B82" s="5">
        <v>4.8750000000000002E-2</v>
      </c>
      <c r="C82" s="5">
        <v>4.1666666666666657E-2</v>
      </c>
      <c r="D82" s="5">
        <v>7.0833333333333373E-3</v>
      </c>
      <c r="E82" s="4">
        <v>46119.143333333333</v>
      </c>
    </row>
    <row r="83" spans="1:5">
      <c r="A83" s="10" t="s">
        <v>1758</v>
      </c>
      <c r="B83" s="5">
        <v>0.1491666666666667</v>
      </c>
      <c r="C83" s="5">
        <v>0.19791666666666671</v>
      </c>
      <c r="D83" s="5">
        <v>-4.8750000000000022E-2</v>
      </c>
      <c r="E83" s="4">
        <v>46119.19</v>
      </c>
    </row>
    <row r="84" spans="1:5">
      <c r="A84" s="10" t="s">
        <v>1759</v>
      </c>
      <c r="B84" s="5">
        <v>0.19666666666666671</v>
      </c>
      <c r="C84" s="5">
        <v>0.20333333333333331</v>
      </c>
      <c r="D84" s="5">
        <v>-6.6666666666666541E-3</v>
      </c>
      <c r="E84" s="4">
        <v>46119.226666666669</v>
      </c>
    </row>
    <row r="85" spans="1:5">
      <c r="A85" s="10" t="s">
        <v>1760</v>
      </c>
      <c r="B85" s="5">
        <v>0.44458333333333327</v>
      </c>
      <c r="C85" s="5">
        <v>0.45833333333333343</v>
      </c>
      <c r="D85" s="5">
        <v>-1.375000000000004E-2</v>
      </c>
      <c r="E85" s="4">
        <v>46119.446250000001</v>
      </c>
    </row>
    <row r="86" spans="1:5">
      <c r="A86" s="10" t="s">
        <v>1761</v>
      </c>
      <c r="B86" s="5">
        <v>1.2625</v>
      </c>
      <c r="C86" s="5">
        <v>1.25</v>
      </c>
      <c r="D86" s="5">
        <v>1.2500000000000179E-2</v>
      </c>
      <c r="E86" s="4">
        <v>46120.059583333343</v>
      </c>
    </row>
    <row r="87" spans="1:5">
      <c r="A87" s="10" t="s">
        <v>1762</v>
      </c>
      <c r="B87" s="5">
        <v>8.3333333333333332E-3</v>
      </c>
      <c r="C87" s="5">
        <v>2.0833333333333329E-2</v>
      </c>
      <c r="D87" s="5">
        <v>-1.2500000000000001E-2</v>
      </c>
      <c r="E87" s="4">
        <v>46120.22625</v>
      </c>
    </row>
    <row r="88" spans="1:5">
      <c r="A88" s="10" t="s">
        <v>1763</v>
      </c>
      <c r="B88" s="5">
        <v>0.65083333333333326</v>
      </c>
      <c r="C88" s="5">
        <v>0.85416666666666663</v>
      </c>
      <c r="D88" s="5">
        <v>-0.20333333333333339</v>
      </c>
      <c r="E88" s="4">
        <v>46120.877083333333</v>
      </c>
    </row>
    <row r="89" spans="1:5">
      <c r="A89" s="10" t="s">
        <v>1764</v>
      </c>
      <c r="B89" s="5">
        <v>0.28333333333333333</v>
      </c>
      <c r="C89" s="5">
        <v>3.9375</v>
      </c>
      <c r="D89" s="5">
        <v>-3.6541666666666668</v>
      </c>
      <c r="E89" s="4">
        <v>46121.160416666673</v>
      </c>
    </row>
    <row r="90" spans="1:5">
      <c r="A90" s="10" t="s">
        <v>1765</v>
      </c>
      <c r="B90" s="5">
        <v>0.60291666666666666</v>
      </c>
      <c r="C90" s="5">
        <v>0.60416666666666663</v>
      </c>
      <c r="D90" s="5">
        <v>-1.2499999999999729E-3</v>
      </c>
      <c r="E90" s="4">
        <v>46121.763333333343</v>
      </c>
    </row>
    <row r="91" spans="1:5">
      <c r="A91" s="10" t="s">
        <v>1766</v>
      </c>
      <c r="B91" s="5">
        <v>0.1041666666666667</v>
      </c>
      <c r="C91" s="5">
        <v>0.52083333333333337</v>
      </c>
      <c r="D91" s="5">
        <v>-0.41666666666666669</v>
      </c>
      <c r="E91" s="4">
        <v>46121.824166666673</v>
      </c>
    </row>
    <row r="92" spans="1:5">
      <c r="A92" s="10" t="s">
        <v>1767</v>
      </c>
      <c r="B92" s="5">
        <v>0.75083333333333346</v>
      </c>
      <c r="C92" s="5">
        <v>0.83333333333333337</v>
      </c>
      <c r="D92" s="5">
        <v>-8.2499999999999907E-2</v>
      </c>
      <c r="E92" s="4">
        <v>46122.191250000003</v>
      </c>
    </row>
    <row r="93" spans="1:5">
      <c r="A93" s="10" t="s">
        <v>1768</v>
      </c>
      <c r="B93" s="5">
        <v>0.6133333333333334</v>
      </c>
      <c r="C93" s="5">
        <v>0.6875</v>
      </c>
      <c r="D93" s="5">
        <v>-7.4166666666666603E-2</v>
      </c>
      <c r="E93" s="4">
        <v>46132.002500000002</v>
      </c>
    </row>
    <row r="94" spans="1:5">
      <c r="A94" s="10" t="s">
        <v>1769</v>
      </c>
      <c r="B94" s="5">
        <v>0.56083333333333341</v>
      </c>
      <c r="C94" s="5">
        <v>0.94080000000000008</v>
      </c>
      <c r="D94" s="5">
        <v>-0.37996666666666667</v>
      </c>
      <c r="E94" s="4">
        <v>46132.283333333333</v>
      </c>
    </row>
    <row r="95" spans="1:5">
      <c r="A95" s="10" t="s">
        <v>1770</v>
      </c>
      <c r="B95" s="5">
        <v>0.44291666666666663</v>
      </c>
      <c r="C95" s="5">
        <v>0.44750000000000001</v>
      </c>
      <c r="D95" s="5">
        <v>-4.5833333333333837E-3</v>
      </c>
      <c r="E95" s="4">
        <v>46138.468298611107</v>
      </c>
    </row>
    <row r="96" spans="1:5">
      <c r="A96" s="10" t="s">
        <v>1771</v>
      </c>
      <c r="B96" s="5">
        <v>0.72624999999999995</v>
      </c>
      <c r="C96" s="5">
        <v>9.375E-2</v>
      </c>
      <c r="D96" s="5">
        <v>0.63249999999999995</v>
      </c>
      <c r="E96" s="4">
        <v>46139.194548611107</v>
      </c>
    </row>
    <row r="97" spans="1:5">
      <c r="A97" s="10" t="s">
        <v>1772</v>
      </c>
      <c r="B97" s="5">
        <v>0.26791666666666658</v>
      </c>
      <c r="C97" s="5">
        <v>0.26416666666666672</v>
      </c>
      <c r="D97" s="5">
        <v>3.749999999999976E-3</v>
      </c>
      <c r="E97" s="4">
        <v>46139.334548611107</v>
      </c>
    </row>
    <row r="98" spans="1:5">
      <c r="A98" s="10" t="s">
        <v>1773</v>
      </c>
      <c r="B98" s="5">
        <v>0.18625</v>
      </c>
      <c r="C98" s="5">
        <v>0.77083333333333337</v>
      </c>
      <c r="D98" s="5">
        <v>-0.58458333333333334</v>
      </c>
      <c r="E98" s="4">
        <v>46139.520798611113</v>
      </c>
    </row>
    <row r="99" spans="1:5">
      <c r="A99" s="10" t="s">
        <v>1774</v>
      </c>
      <c r="B99" s="5">
        <v>9.2499999999999999E-2</v>
      </c>
      <c r="C99" s="5">
        <v>0.17416666666666669</v>
      </c>
      <c r="D99" s="5">
        <v>-8.1666666666666665E-2</v>
      </c>
      <c r="E99" s="4">
        <v>46139.559965277767</v>
      </c>
    </row>
    <row r="100" spans="1:5">
      <c r="A100" s="10" t="s">
        <v>1775</v>
      </c>
      <c r="B100" s="5">
        <v>0.6958333333333333</v>
      </c>
      <c r="C100" s="5">
        <v>0.55874999999999997</v>
      </c>
      <c r="D100" s="5">
        <v>0.13708333333333331</v>
      </c>
      <c r="E100" s="4">
        <v>46139.908715277779</v>
      </c>
    </row>
    <row r="101" spans="1:5">
      <c r="A101" s="10" t="s">
        <v>1776</v>
      </c>
      <c r="B101" s="5">
        <v>3.4049999999999998</v>
      </c>
      <c r="C101" s="5">
        <v>3.8820833333333331</v>
      </c>
      <c r="D101" s="5">
        <v>-0.47708333333333292</v>
      </c>
      <c r="E101" s="4">
        <v>46140.997465277767</v>
      </c>
    </row>
    <row r="102" spans="1:5">
      <c r="A102" s="10" t="s">
        <v>1777</v>
      </c>
      <c r="B102" s="5">
        <v>0.17041666666666669</v>
      </c>
      <c r="C102" s="5">
        <v>1</v>
      </c>
      <c r="D102" s="5">
        <v>-0.82958333333333334</v>
      </c>
      <c r="E102" s="4">
        <v>46144.912881944438</v>
      </c>
    </row>
    <row r="103" spans="1:5">
      <c r="A103" s="10" t="s">
        <v>1778</v>
      </c>
      <c r="B103" s="5">
        <v>1.9583333333333331E-2</v>
      </c>
      <c r="C103" s="5">
        <v>8.3333333333333329E-2</v>
      </c>
      <c r="D103" s="5">
        <v>-6.3750000000000001E-2</v>
      </c>
      <c r="E103" s="4">
        <v>46144.93246527778</v>
      </c>
    </row>
    <row r="104" spans="1:5">
      <c r="A104" s="10" t="s">
        <v>1779</v>
      </c>
      <c r="B104" s="5">
        <v>4.6666666666666669E-2</v>
      </c>
      <c r="C104" s="5">
        <v>4.6666666666666669E-2</v>
      </c>
      <c r="D104" s="5">
        <v>0</v>
      </c>
      <c r="E104" s="4">
        <v>46144.979131944441</v>
      </c>
    </row>
    <row r="105" spans="1:5">
      <c r="A105" s="10" t="s">
        <v>1780</v>
      </c>
      <c r="B105" s="5">
        <v>0.14541666666666669</v>
      </c>
      <c r="C105" s="5">
        <v>0.14541666666666669</v>
      </c>
      <c r="D105" s="5">
        <v>0</v>
      </c>
      <c r="E105" s="4">
        <v>46145.124548611107</v>
      </c>
    </row>
    <row r="106" spans="1:5">
      <c r="A106" s="10" t="s">
        <v>1781</v>
      </c>
      <c r="B106" s="5">
        <v>0.20958333333333329</v>
      </c>
      <c r="C106" s="5">
        <v>1</v>
      </c>
      <c r="D106" s="5">
        <v>-0.79041666666666666</v>
      </c>
      <c r="E106" s="4">
        <v>46145.334131944437</v>
      </c>
    </row>
    <row r="107" spans="1:5">
      <c r="A107" s="10" t="s">
        <v>1782</v>
      </c>
      <c r="B107" s="5">
        <v>0.61458333333333337</v>
      </c>
      <c r="C107" s="5">
        <v>0.61458333333333337</v>
      </c>
      <c r="D107" s="5">
        <v>0</v>
      </c>
      <c r="E107" s="4">
        <v>46145.94871527778</v>
      </c>
    </row>
    <row r="108" spans="1:5">
      <c r="A108" s="10" t="s">
        <v>1783</v>
      </c>
      <c r="B108" s="5">
        <v>0.12333333333333329</v>
      </c>
      <c r="C108" s="5">
        <v>0.12333333333333329</v>
      </c>
      <c r="D108" s="5">
        <v>0</v>
      </c>
      <c r="E108" s="4">
        <v>46146.072048611109</v>
      </c>
    </row>
    <row r="109" spans="1:5">
      <c r="A109" s="10" t="s">
        <v>1784</v>
      </c>
      <c r="B109" s="5">
        <v>0.18333333333333329</v>
      </c>
      <c r="C109" s="5">
        <v>0.18333333333333329</v>
      </c>
      <c r="D109" s="5">
        <v>0</v>
      </c>
      <c r="E109" s="4">
        <v>46146.255381944437</v>
      </c>
    </row>
    <row r="110" spans="1:5">
      <c r="A110" s="10" t="s">
        <v>1785</v>
      </c>
      <c r="B110" s="5">
        <v>3.8333333333333337E-2</v>
      </c>
      <c r="C110" s="5">
        <v>3.8333333333333337E-2</v>
      </c>
      <c r="D110" s="5">
        <v>0</v>
      </c>
      <c r="E110" s="4">
        <v>46146.293715277781</v>
      </c>
    </row>
    <row r="111" spans="1:5">
      <c r="A111" s="10" t="s">
        <v>1786</v>
      </c>
      <c r="B111" s="5">
        <v>0.32416666666666671</v>
      </c>
      <c r="C111" s="5">
        <v>0.32416666666666671</v>
      </c>
      <c r="D111" s="5">
        <v>0</v>
      </c>
      <c r="E111" s="4">
        <v>46146.617881944447</v>
      </c>
    </row>
    <row r="112" spans="1:5">
      <c r="A112" s="10" t="s">
        <v>1787</v>
      </c>
      <c r="B112" s="5">
        <v>0.94041666666666668</v>
      </c>
      <c r="C112" s="5">
        <v>0.94041666666666668</v>
      </c>
      <c r="D112" s="5">
        <v>0</v>
      </c>
      <c r="E112" s="4">
        <v>46147.558298611111</v>
      </c>
    </row>
    <row r="113" spans="1:5">
      <c r="A113" s="10" t="s">
        <v>1095</v>
      </c>
      <c r="B113" s="5">
        <v>2.5000000000000001E-2</v>
      </c>
      <c r="C113" s="5">
        <v>2.5000000000000001E-2</v>
      </c>
      <c r="D113" s="5">
        <v>0</v>
      </c>
      <c r="E113" s="4">
        <v>46147.583298611113</v>
      </c>
    </row>
    <row r="114" spans="1:5">
      <c r="A114" s="10" t="s">
        <v>1788</v>
      </c>
      <c r="B114" s="5">
        <v>0.23666666666666669</v>
      </c>
      <c r="C114" s="5">
        <v>0.27083333333333343</v>
      </c>
      <c r="D114" s="5">
        <v>-3.4166666666666713E-2</v>
      </c>
      <c r="E114" s="4">
        <v>46156.939965277779</v>
      </c>
    </row>
    <row r="115" spans="1:5">
      <c r="A115" s="10" t="s">
        <v>1789</v>
      </c>
      <c r="B115" s="5">
        <v>0.5395833333333333</v>
      </c>
      <c r="C115" s="5">
        <v>0.5395833333333333</v>
      </c>
      <c r="D115" s="5">
        <v>0</v>
      </c>
      <c r="E115" s="4">
        <v>46157.479548611111</v>
      </c>
    </row>
    <row r="116" spans="1:5">
      <c r="A116" s="10" t="s">
        <v>1790</v>
      </c>
      <c r="B116" s="5">
        <v>0.84458333333333335</v>
      </c>
      <c r="C116" s="5">
        <v>0.84458333333333335</v>
      </c>
      <c r="D116" s="5">
        <v>0</v>
      </c>
      <c r="E116" s="4">
        <v>46158.324131944442</v>
      </c>
    </row>
    <row r="117" spans="1:5">
      <c r="A117" s="10" t="s">
        <v>1791</v>
      </c>
      <c r="B117" s="5">
        <v>0.30416666666666659</v>
      </c>
      <c r="C117" s="5">
        <v>0.3125</v>
      </c>
      <c r="D117" s="5">
        <v>-8.3333333333333592E-3</v>
      </c>
      <c r="E117" s="4">
        <v>46158.628298611111</v>
      </c>
    </row>
    <row r="118" spans="1:5">
      <c r="A118" s="10" t="s">
        <v>1792</v>
      </c>
      <c r="B118" s="5">
        <v>3.8333333333333337E-2</v>
      </c>
      <c r="C118" s="5">
        <v>4.1666666666666657E-2</v>
      </c>
      <c r="D118" s="5">
        <v>-3.333333333333327E-3</v>
      </c>
      <c r="E118" s="4">
        <v>46158.666631944441</v>
      </c>
    </row>
    <row r="119" spans="1:5">
      <c r="A119" s="10" t="s">
        <v>1793</v>
      </c>
      <c r="B119" s="5">
        <v>0.16666666666666671</v>
      </c>
      <c r="C119" s="5">
        <v>0.16666666666666671</v>
      </c>
      <c r="D119" s="5">
        <v>0</v>
      </c>
      <c r="E119" s="4">
        <v>46158.833298611113</v>
      </c>
    </row>
    <row r="120" spans="1:5">
      <c r="A120" s="10" t="s">
        <v>1794</v>
      </c>
      <c r="B120" s="5">
        <v>8.3333333333333329E-2</v>
      </c>
      <c r="C120" s="5">
        <v>8.3333333333333329E-2</v>
      </c>
      <c r="D120" s="5">
        <v>0</v>
      </c>
      <c r="E120" s="4">
        <v>46158.916631944441</v>
      </c>
    </row>
    <row r="121" spans="1:5">
      <c r="A121" s="10" t="s">
        <v>1795</v>
      </c>
      <c r="B121" s="5">
        <v>0.94958333333333333</v>
      </c>
      <c r="C121" s="5">
        <v>1</v>
      </c>
      <c r="D121" s="5">
        <v>-5.0416666666666672E-2</v>
      </c>
      <c r="E121" s="4">
        <v>46159.866215277783</v>
      </c>
    </row>
    <row r="122" spans="1:5">
      <c r="A122" s="10" t="s">
        <v>1796</v>
      </c>
      <c r="B122" s="5">
        <v>2.5000000000000001E-2</v>
      </c>
      <c r="C122" s="5">
        <v>0.47916666666666657</v>
      </c>
      <c r="D122" s="5">
        <v>-0.45416666666666661</v>
      </c>
      <c r="E122" s="4">
        <v>46159.891215277778</v>
      </c>
    </row>
    <row r="123" spans="1:5">
      <c r="A123" s="10" t="s">
        <v>1797</v>
      </c>
      <c r="B123" s="5">
        <v>0.18208333333333329</v>
      </c>
      <c r="C123" s="5">
        <v>0.33333333333333331</v>
      </c>
      <c r="D123" s="5">
        <v>-0.15125</v>
      </c>
      <c r="E123" s="4">
        <v>46163.754548611112</v>
      </c>
    </row>
    <row r="124" spans="1:5">
      <c r="A124" s="10" t="s">
        <v>1798</v>
      </c>
      <c r="B124" s="5">
        <v>1.9583333333333331E-2</v>
      </c>
      <c r="C124" s="5">
        <v>6.25E-2</v>
      </c>
      <c r="D124" s="5">
        <v>-4.2916666666666672E-2</v>
      </c>
      <c r="E124" s="4">
        <v>46163.774131944447</v>
      </c>
    </row>
    <row r="125" spans="1:5">
      <c r="A125" s="10" t="s">
        <v>1799</v>
      </c>
      <c r="B125" s="5">
        <v>4.6666666666666669E-2</v>
      </c>
      <c r="C125" s="5">
        <v>4.6666666666666669E-2</v>
      </c>
      <c r="D125" s="5">
        <v>0</v>
      </c>
      <c r="E125" s="4">
        <v>46163.820798611108</v>
      </c>
    </row>
    <row r="126" spans="1:5">
      <c r="A126" s="10" t="s">
        <v>1800</v>
      </c>
      <c r="B126" s="5">
        <v>0.14541666666666669</v>
      </c>
      <c r="C126" s="5">
        <v>0.14541666666666669</v>
      </c>
      <c r="D126" s="5">
        <v>0</v>
      </c>
      <c r="E126" s="4">
        <v>46163.966215277767</v>
      </c>
    </row>
    <row r="127" spans="1:5">
      <c r="A127" s="10" t="s">
        <v>1801</v>
      </c>
      <c r="B127" s="5">
        <v>9.0416666666666659E-2</v>
      </c>
      <c r="C127" s="5">
        <v>9.0416666666666659E-2</v>
      </c>
      <c r="D127" s="5">
        <v>0</v>
      </c>
      <c r="E127" s="4">
        <v>46164.056631944448</v>
      </c>
    </row>
    <row r="128" spans="1:5">
      <c r="A128" s="10" t="s">
        <v>1802</v>
      </c>
      <c r="B128" s="5">
        <v>9.8333333333333328E-2</v>
      </c>
      <c r="C128" s="5">
        <v>9.8333333333333328E-2</v>
      </c>
      <c r="D128" s="5">
        <v>0</v>
      </c>
      <c r="E128" s="4">
        <v>46164.154965277783</v>
      </c>
    </row>
    <row r="129" spans="1:5">
      <c r="A129" s="10" t="s">
        <v>1803</v>
      </c>
      <c r="B129" s="5">
        <v>0.20208333333333331</v>
      </c>
      <c r="C129" s="5">
        <v>0.20208333333333331</v>
      </c>
      <c r="D129" s="5">
        <v>0</v>
      </c>
      <c r="E129" s="4">
        <v>46164.357048611113</v>
      </c>
    </row>
    <row r="130" spans="1:5">
      <c r="A130" s="10" t="s">
        <v>1804</v>
      </c>
      <c r="B130" s="5">
        <v>0.58250000000000002</v>
      </c>
      <c r="C130" s="5">
        <v>0.58250000000000002</v>
      </c>
      <c r="D130" s="5">
        <v>0</v>
      </c>
      <c r="E130" s="4">
        <v>46164.93954861111</v>
      </c>
    </row>
    <row r="131" spans="1:5">
      <c r="A131" s="10" t="s">
        <v>1805</v>
      </c>
      <c r="B131" s="5">
        <v>0.15625</v>
      </c>
      <c r="C131" s="5">
        <v>0.16666666666666671</v>
      </c>
      <c r="D131" s="5">
        <v>-1.0416666666666659E-2</v>
      </c>
      <c r="E131" s="4">
        <v>46165.09579861111</v>
      </c>
    </row>
    <row r="132" spans="1:5">
      <c r="A132" s="10" t="s">
        <v>1806</v>
      </c>
      <c r="B132" s="5">
        <v>0.20583333333333331</v>
      </c>
      <c r="C132" s="5">
        <v>0.20583333333333331</v>
      </c>
      <c r="D132" s="5">
        <v>0</v>
      </c>
      <c r="E132" s="4">
        <v>46165.301631944443</v>
      </c>
    </row>
    <row r="133" spans="1:5">
      <c r="A133" s="10" t="s">
        <v>1807</v>
      </c>
      <c r="B133" s="5">
        <v>1.118333333333333</v>
      </c>
      <c r="C133" s="5">
        <v>1.118333333333333</v>
      </c>
      <c r="D133" s="5">
        <v>0</v>
      </c>
      <c r="E133" s="4">
        <v>46166.586631944447</v>
      </c>
    </row>
    <row r="134" spans="1:5">
      <c r="A134" s="10" t="s">
        <v>1808</v>
      </c>
      <c r="B134" s="5">
        <v>0.56708333333333327</v>
      </c>
      <c r="C134" s="5">
        <v>0.56708333333333327</v>
      </c>
      <c r="D134" s="5">
        <v>0</v>
      </c>
      <c r="E134" s="4">
        <v>46167.153715277767</v>
      </c>
    </row>
    <row r="135" spans="1:5">
      <c r="A135" s="10" t="s">
        <v>1809</v>
      </c>
      <c r="B135" s="5">
        <v>0.47208333333333341</v>
      </c>
      <c r="C135" s="5">
        <v>0.47208333333333341</v>
      </c>
      <c r="D135" s="5">
        <v>0</v>
      </c>
      <c r="E135" s="4">
        <v>46167.625798611109</v>
      </c>
    </row>
    <row r="136" spans="1:5">
      <c r="A136" s="10" t="s">
        <v>1810</v>
      </c>
      <c r="B136" s="5">
        <v>0.14499999999999999</v>
      </c>
      <c r="C136" s="5">
        <v>0.14499999999999999</v>
      </c>
      <c r="D136" s="5">
        <v>0</v>
      </c>
      <c r="E136" s="4">
        <v>46167.770798611113</v>
      </c>
    </row>
    <row r="137" spans="1:5">
      <c r="A137" s="10" t="s">
        <v>1811</v>
      </c>
      <c r="B137" s="5">
        <v>0.13</v>
      </c>
      <c r="C137" s="5">
        <v>0.13</v>
      </c>
      <c r="D137" s="5">
        <v>0</v>
      </c>
      <c r="E137" s="4">
        <v>46167.90079861111</v>
      </c>
    </row>
    <row r="138" spans="1:5">
      <c r="A138" s="10" t="s">
        <v>1812</v>
      </c>
      <c r="B138" s="5">
        <v>3.9166666666666662E-2</v>
      </c>
      <c r="C138" s="5">
        <v>3.9166666666666662E-2</v>
      </c>
      <c r="D138" s="5">
        <v>0</v>
      </c>
      <c r="E138" s="4">
        <v>46167.939965277779</v>
      </c>
    </row>
    <row r="139" spans="1:5">
      <c r="A139" s="10" t="s">
        <v>1813</v>
      </c>
      <c r="B139" s="5">
        <v>0.32416666666666671</v>
      </c>
      <c r="C139" s="5">
        <v>0.32416666666666671</v>
      </c>
      <c r="D139" s="5">
        <v>0</v>
      </c>
      <c r="E139" s="4">
        <v>46168.264131944437</v>
      </c>
    </row>
    <row r="140" spans="1:5">
      <c r="A140" s="10" t="s">
        <v>1814</v>
      </c>
      <c r="B140" s="5">
        <v>1.1291666666666671</v>
      </c>
      <c r="C140" s="5">
        <v>1.1291666666666671</v>
      </c>
      <c r="D140" s="5">
        <v>0</v>
      </c>
      <c r="E140" s="4">
        <v>46169.39329861111</v>
      </c>
    </row>
    <row r="141" spans="1:5">
      <c r="A141" s="10" t="s">
        <v>1815</v>
      </c>
      <c r="B141" s="5">
        <v>2.5000000000000001E-2</v>
      </c>
      <c r="C141" s="5">
        <v>2.5000000000000001E-2</v>
      </c>
      <c r="D141" s="5">
        <v>0</v>
      </c>
      <c r="E141" s="4">
        <v>46169.418298611112</v>
      </c>
    </row>
    <row r="142" spans="1:5">
      <c r="A142" s="9" t="s">
        <v>116</v>
      </c>
      <c r="B142" s="5">
        <v>1.2795833333333331</v>
      </c>
      <c r="C142" s="5">
        <v>1.5804166666666659</v>
      </c>
      <c r="D142" s="5">
        <v>-0.30083333333333312</v>
      </c>
      <c r="E142" s="4">
        <v>46169.881215277783</v>
      </c>
    </row>
    <row r="143" spans="1:5">
      <c r="A143" s="10" t="s">
        <v>1816</v>
      </c>
      <c r="B143" s="5">
        <v>0.18291666666666659</v>
      </c>
      <c r="C143" s="5">
        <v>0.27083333333333331</v>
      </c>
      <c r="D143" s="5">
        <v>-8.7916666666666671E-2</v>
      </c>
      <c r="E143" s="4">
        <v>46147.766215277778</v>
      </c>
    </row>
    <row r="144" spans="1:5">
      <c r="A144" s="10" t="s">
        <v>1817</v>
      </c>
      <c r="B144" s="5">
        <v>0.1333333333333333</v>
      </c>
      <c r="C144" s="5">
        <v>0.16666666666666671</v>
      </c>
      <c r="D144" s="5">
        <v>-3.3333333333333333E-2</v>
      </c>
      <c r="E144" s="4">
        <v>46147.937048611107</v>
      </c>
    </row>
    <row r="145" spans="1:5">
      <c r="A145" s="10" t="s">
        <v>1818</v>
      </c>
      <c r="B145" s="5">
        <v>0.28291666666666659</v>
      </c>
      <c r="C145" s="5">
        <v>0.29166666666666669</v>
      </c>
      <c r="D145" s="5">
        <v>-8.7500000000000355E-3</v>
      </c>
      <c r="E145" s="4">
        <v>46160.174131944441</v>
      </c>
    </row>
    <row r="146" spans="1:5">
      <c r="A146" s="10" t="s">
        <v>1819</v>
      </c>
      <c r="B146" s="5">
        <v>0.1333333333333333</v>
      </c>
      <c r="C146" s="5">
        <v>0.1333333333333333</v>
      </c>
      <c r="D146" s="5">
        <v>0</v>
      </c>
      <c r="E146" s="4">
        <v>46160.55746527778</v>
      </c>
    </row>
    <row r="147" spans="1:5">
      <c r="A147" s="10" t="s">
        <v>1820</v>
      </c>
      <c r="B147" s="5">
        <v>0.24541666666666659</v>
      </c>
      <c r="C147" s="5">
        <v>0.24541666666666659</v>
      </c>
      <c r="D147" s="5">
        <v>0</v>
      </c>
      <c r="E147" s="4">
        <v>46169.663715277777</v>
      </c>
    </row>
    <row r="148" spans="1:5">
      <c r="A148" s="10" t="s">
        <v>520</v>
      </c>
      <c r="B148" s="5">
        <v>7.4999999999999997E-2</v>
      </c>
      <c r="C148" s="5">
        <v>0.24583333333333329</v>
      </c>
      <c r="D148" s="5">
        <v>-0.17083333333333331</v>
      </c>
      <c r="E148" s="4">
        <v>46169.701215277782</v>
      </c>
    </row>
    <row r="149" spans="1:5">
      <c r="A149" s="10" t="s">
        <v>1821</v>
      </c>
      <c r="B149" s="5">
        <v>0.1333333333333333</v>
      </c>
      <c r="C149" s="5">
        <v>0.1333333333333333</v>
      </c>
      <c r="D149" s="5">
        <v>0</v>
      </c>
      <c r="E149" s="4">
        <v>46169.834548611107</v>
      </c>
    </row>
    <row r="150" spans="1:5">
      <c r="A150" s="10" t="s">
        <v>1822</v>
      </c>
      <c r="B150" s="5">
        <v>9.3333333333333338E-2</v>
      </c>
      <c r="C150" s="5">
        <v>9.3333333333333338E-2</v>
      </c>
      <c r="D150" s="5">
        <v>0</v>
      </c>
      <c r="E150" s="4">
        <v>46169.881215277783</v>
      </c>
    </row>
    <row r="151" spans="1:5">
      <c r="A151" s="9" t="s">
        <v>57</v>
      </c>
      <c r="B151" s="5">
        <v>7.5133833333333362</v>
      </c>
      <c r="C151" s="5">
        <v>14.60375</v>
      </c>
      <c r="D151" s="5">
        <v>-7.0903666666666636</v>
      </c>
      <c r="E151" s="4">
        <v>46170.311631944453</v>
      </c>
    </row>
    <row r="152" spans="1:5">
      <c r="A152" s="10" t="s">
        <v>1694</v>
      </c>
      <c r="B152" s="5">
        <v>0.37208333333333332</v>
      </c>
      <c r="C152" s="5">
        <v>0.375</v>
      </c>
      <c r="D152" s="5">
        <v>-2.9166666666666789E-3</v>
      </c>
      <c r="E152" s="4">
        <v>46092.894166666672</v>
      </c>
    </row>
    <row r="153" spans="1:5">
      <c r="A153" s="10" t="s">
        <v>1823</v>
      </c>
      <c r="B153" s="5">
        <v>0.19125</v>
      </c>
      <c r="C153" s="5">
        <v>0.1875</v>
      </c>
      <c r="D153" s="5">
        <v>3.7500000000000029E-3</v>
      </c>
      <c r="E153" s="4">
        <v>46095.450486111113</v>
      </c>
    </row>
    <row r="154" spans="1:5">
      <c r="A154" s="10" t="s">
        <v>1824</v>
      </c>
      <c r="B154" s="5">
        <v>3.4166666666666658E-2</v>
      </c>
      <c r="C154" s="5">
        <v>2.0833333333333329E-2</v>
      </c>
      <c r="D154" s="5">
        <v>1.3333333333333331E-2</v>
      </c>
      <c r="E154" s="4">
        <v>46103.002500000002</v>
      </c>
    </row>
    <row r="155" spans="1:5">
      <c r="A155" s="10" t="s">
        <v>1825</v>
      </c>
      <c r="B155" s="5">
        <v>7.5416666666666674E-2</v>
      </c>
      <c r="C155" s="5">
        <v>0.14583333333333329</v>
      </c>
      <c r="D155" s="5">
        <v>-7.0416666666666669E-2</v>
      </c>
      <c r="E155" s="4">
        <v>46103.077916666669</v>
      </c>
    </row>
    <row r="156" spans="1:5">
      <c r="A156" s="10" t="s">
        <v>1826</v>
      </c>
      <c r="B156" s="5">
        <v>0.1958333333333333</v>
      </c>
      <c r="C156" s="5">
        <v>0.78124999999999989</v>
      </c>
      <c r="D156" s="5">
        <v>-0.58541666666666659</v>
      </c>
      <c r="E156" s="4">
        <v>46103.175833333327</v>
      </c>
    </row>
    <row r="157" spans="1:5">
      <c r="A157" s="10" t="s">
        <v>1827</v>
      </c>
      <c r="B157" s="5">
        <v>0.60708333333333331</v>
      </c>
      <c r="C157" s="5">
        <v>1.375</v>
      </c>
      <c r="D157" s="5">
        <v>-0.76791666666666669</v>
      </c>
      <c r="E157" s="4">
        <v>46106.815416666657</v>
      </c>
    </row>
    <row r="158" spans="1:5">
      <c r="A158" s="10" t="s">
        <v>1828</v>
      </c>
      <c r="B158" s="5">
        <v>0.2404166666666667</v>
      </c>
      <c r="C158" s="5">
        <v>0.97916666666666652</v>
      </c>
      <c r="D158" s="5">
        <v>-0.7387499999999998</v>
      </c>
      <c r="E158" s="4">
        <v>46118.244166666656</v>
      </c>
    </row>
    <row r="159" spans="1:5">
      <c r="A159" s="10" t="s">
        <v>1829</v>
      </c>
      <c r="B159" s="5">
        <v>0.52463333333333328</v>
      </c>
      <c r="C159" s="5">
        <v>3.666666666666667</v>
      </c>
      <c r="D159" s="5">
        <v>-3.1420333333333339</v>
      </c>
      <c r="E159" s="4">
        <v>46118.3825</v>
      </c>
    </row>
    <row r="160" spans="1:5">
      <c r="A160" s="10" t="s">
        <v>1830</v>
      </c>
      <c r="B160" s="5">
        <v>0.40166666666666673</v>
      </c>
      <c r="C160" s="5">
        <v>0.5625</v>
      </c>
      <c r="D160" s="5">
        <v>-0.1608333333333333</v>
      </c>
      <c r="E160" s="4">
        <v>46123.100416666668</v>
      </c>
    </row>
    <row r="161" spans="1:5">
      <c r="A161" s="10" t="s">
        <v>1831</v>
      </c>
      <c r="B161" s="5">
        <v>7.8750000000000001E-2</v>
      </c>
      <c r="C161" s="5">
        <v>0.125</v>
      </c>
      <c r="D161" s="5">
        <v>-4.6249999999999999E-2</v>
      </c>
      <c r="E161" s="4">
        <v>46123.137916666667</v>
      </c>
    </row>
    <row r="162" spans="1:5">
      <c r="A162" s="10" t="s">
        <v>1832</v>
      </c>
      <c r="B162" s="5">
        <v>0.21291666666666659</v>
      </c>
      <c r="C162" s="5">
        <v>0.4375</v>
      </c>
      <c r="D162" s="5">
        <v>-0.22458333333333341</v>
      </c>
      <c r="E162" s="4">
        <v>46123.412916666668</v>
      </c>
    </row>
    <row r="163" spans="1:5">
      <c r="A163" s="10" t="s">
        <v>1833</v>
      </c>
      <c r="B163" s="5">
        <v>0.20666666666666669</v>
      </c>
      <c r="C163" s="5">
        <v>0.87499999999999989</v>
      </c>
      <c r="D163" s="5">
        <v>-0.66833333333333322</v>
      </c>
      <c r="E163" s="4">
        <v>46123.511250000003</v>
      </c>
    </row>
    <row r="164" spans="1:5">
      <c r="A164" s="10" t="s">
        <v>269</v>
      </c>
      <c r="B164" s="5">
        <v>0.2129166666666667</v>
      </c>
      <c r="C164" s="5">
        <v>0.21875</v>
      </c>
      <c r="D164" s="5">
        <v>-5.8333333333333293E-3</v>
      </c>
      <c r="E164" s="4">
        <v>46137.036215277767</v>
      </c>
    </row>
    <row r="165" spans="1:5">
      <c r="A165" s="10" t="s">
        <v>1834</v>
      </c>
      <c r="B165" s="5">
        <v>0.28000000000000003</v>
      </c>
      <c r="C165" s="5">
        <v>0.30583333333333329</v>
      </c>
      <c r="D165" s="5">
        <v>-2.583333333333326E-2</v>
      </c>
      <c r="E165" s="4">
        <v>46137.153298611112</v>
      </c>
    </row>
    <row r="166" spans="1:5">
      <c r="A166" s="10" t="s">
        <v>1835</v>
      </c>
      <c r="B166" s="5">
        <v>0.05</v>
      </c>
      <c r="C166" s="5">
        <v>4.1666666666666657E-2</v>
      </c>
      <c r="D166" s="5">
        <v>8.3333333333333315E-3</v>
      </c>
      <c r="E166" s="4">
        <v>46141.022465277783</v>
      </c>
    </row>
    <row r="167" spans="1:5">
      <c r="A167" s="10" t="s">
        <v>262</v>
      </c>
      <c r="B167" s="5">
        <v>1.0441666666666669</v>
      </c>
      <c r="C167" s="5">
        <v>1.031666666666667</v>
      </c>
      <c r="D167" s="5">
        <v>1.2499999999999961E-2</v>
      </c>
      <c r="E167" s="4">
        <v>46141.205381944441</v>
      </c>
    </row>
    <row r="168" spans="1:5">
      <c r="A168" s="10" t="s">
        <v>1836</v>
      </c>
      <c r="B168" s="5">
        <v>7.0833333333333331E-2</v>
      </c>
      <c r="C168" s="5">
        <v>8.3333333333333329E-2</v>
      </c>
      <c r="D168" s="5">
        <v>-1.2500000000000001E-2</v>
      </c>
      <c r="E168" s="4">
        <v>46141.242881944447</v>
      </c>
    </row>
    <row r="169" spans="1:5">
      <c r="A169" s="10" t="s">
        <v>1837</v>
      </c>
      <c r="B169" s="5">
        <v>0.32958333333333328</v>
      </c>
      <c r="C169" s="5">
        <v>0.59</v>
      </c>
      <c r="D169" s="5">
        <v>-0.26041666666666657</v>
      </c>
      <c r="E169" s="4">
        <v>46141.530798611107</v>
      </c>
    </row>
    <row r="170" spans="1:5">
      <c r="A170" s="10" t="s">
        <v>1838</v>
      </c>
      <c r="B170" s="5">
        <v>0.41791666666666671</v>
      </c>
      <c r="C170" s="5">
        <v>0.43375000000000002</v>
      </c>
      <c r="D170" s="5">
        <v>-1.5833333333333251E-2</v>
      </c>
      <c r="E170" s="4">
        <v>46141.788715277777</v>
      </c>
    </row>
    <row r="171" spans="1:5">
      <c r="A171" s="10" t="s">
        <v>1839</v>
      </c>
      <c r="B171" s="5">
        <v>0.13666666666666669</v>
      </c>
      <c r="C171" s="5">
        <v>0.13541666666666671</v>
      </c>
      <c r="D171" s="5">
        <v>1.2499999999999729E-3</v>
      </c>
      <c r="E171" s="4">
        <v>46141.862881944442</v>
      </c>
    </row>
    <row r="172" spans="1:5">
      <c r="A172" s="10" t="s">
        <v>1840</v>
      </c>
      <c r="B172" s="5">
        <v>0.18625</v>
      </c>
      <c r="C172" s="5">
        <v>0.21875</v>
      </c>
      <c r="D172" s="5">
        <v>-3.2500000000000029E-2</v>
      </c>
      <c r="E172" s="4">
        <v>46141.961215277777</v>
      </c>
    </row>
    <row r="173" spans="1:5">
      <c r="A173" s="10" t="s">
        <v>1841</v>
      </c>
      <c r="B173" s="5">
        <v>3.6249999999999998E-2</v>
      </c>
      <c r="C173" s="5">
        <v>4.8333333333333332E-2</v>
      </c>
      <c r="D173" s="5">
        <v>-1.208333333333333E-2</v>
      </c>
      <c r="E173" s="4">
        <v>46143.349131944437</v>
      </c>
    </row>
    <row r="174" spans="1:5">
      <c r="A174" s="10" t="s">
        <v>1842</v>
      </c>
      <c r="B174" s="5">
        <v>0.1170833333333333</v>
      </c>
      <c r="C174" s="5">
        <v>0.125</v>
      </c>
      <c r="D174" s="5">
        <v>-7.9166666666666691E-3</v>
      </c>
      <c r="E174" s="4">
        <v>46143.466215277767</v>
      </c>
    </row>
    <row r="175" spans="1:5">
      <c r="A175" s="10" t="s">
        <v>1843</v>
      </c>
      <c r="B175" s="5">
        <v>0.25791666666666668</v>
      </c>
      <c r="C175" s="5">
        <v>0.25791666666666668</v>
      </c>
      <c r="D175" s="5">
        <v>0</v>
      </c>
      <c r="E175" s="4">
        <v>46148.241631944453</v>
      </c>
    </row>
    <row r="176" spans="1:5">
      <c r="A176" s="10" t="s">
        <v>1844</v>
      </c>
      <c r="B176" s="5">
        <v>7.4166666666666672E-2</v>
      </c>
      <c r="C176" s="5">
        <v>0.33333333333333331</v>
      </c>
      <c r="D176" s="5">
        <v>-0.25916666666666671</v>
      </c>
      <c r="E176" s="4">
        <v>46148.315798611111</v>
      </c>
    </row>
    <row r="177" spans="1:5">
      <c r="A177" s="10" t="s">
        <v>1845</v>
      </c>
      <c r="B177" s="5">
        <v>9.8333333333333328E-2</v>
      </c>
      <c r="C177" s="5">
        <v>9.8333333333333328E-2</v>
      </c>
      <c r="D177" s="5">
        <v>0</v>
      </c>
      <c r="E177" s="4">
        <v>46148.414131944453</v>
      </c>
    </row>
    <row r="178" spans="1:5">
      <c r="A178" s="10" t="s">
        <v>1846</v>
      </c>
      <c r="B178" s="5">
        <v>3.5833333333333342E-2</v>
      </c>
      <c r="C178" s="5">
        <v>4.1666666666666657E-2</v>
      </c>
      <c r="D178" s="5">
        <v>-5.8333333333333293E-3</v>
      </c>
      <c r="E178" s="4">
        <v>46154.327881944453</v>
      </c>
    </row>
    <row r="179" spans="1:5">
      <c r="A179" s="10" t="s">
        <v>1847</v>
      </c>
      <c r="B179" s="5">
        <v>0.1170833333333333</v>
      </c>
      <c r="C179" s="5">
        <v>0.1875</v>
      </c>
      <c r="D179" s="5">
        <v>-7.0416666666666669E-2</v>
      </c>
      <c r="E179" s="4">
        <v>46154.444965277777</v>
      </c>
    </row>
    <row r="180" spans="1:5">
      <c r="A180" s="10" t="s">
        <v>1848</v>
      </c>
      <c r="B180" s="5">
        <v>0.25</v>
      </c>
      <c r="C180" s="5">
        <v>0.25</v>
      </c>
      <c r="D180" s="5">
        <v>0</v>
      </c>
      <c r="E180" s="4">
        <v>46160.424131944441</v>
      </c>
    </row>
    <row r="181" spans="1:5">
      <c r="A181" s="10" t="s">
        <v>1849</v>
      </c>
      <c r="B181" s="5">
        <v>7.4166666666666672E-2</v>
      </c>
      <c r="C181" s="5">
        <v>7.4166666666666672E-2</v>
      </c>
      <c r="D181" s="5">
        <v>0</v>
      </c>
      <c r="E181" s="4">
        <v>46160.631631944438</v>
      </c>
    </row>
    <row r="182" spans="1:5">
      <c r="A182" s="10" t="s">
        <v>1850</v>
      </c>
      <c r="B182" s="5">
        <v>3.5833333333333342E-2</v>
      </c>
      <c r="C182" s="5">
        <v>4.1666666666666657E-2</v>
      </c>
      <c r="D182" s="5">
        <v>-5.8333333333333293E-3</v>
      </c>
      <c r="E182" s="4">
        <v>46162.24454861111</v>
      </c>
    </row>
    <row r="183" spans="1:5">
      <c r="A183" s="10" t="s">
        <v>1851</v>
      </c>
      <c r="B183" s="5">
        <v>0.1170833333333333</v>
      </c>
      <c r="C183" s="5">
        <v>0.125</v>
      </c>
      <c r="D183" s="5">
        <v>-7.9166666666666691E-3</v>
      </c>
      <c r="E183" s="4">
        <v>46162.361631944441</v>
      </c>
    </row>
    <row r="184" spans="1:5">
      <c r="A184" s="10" t="s">
        <v>1852</v>
      </c>
      <c r="B184" s="5">
        <v>0.25791666666666668</v>
      </c>
      <c r="C184" s="5">
        <v>0.25791666666666668</v>
      </c>
      <c r="D184" s="5">
        <v>0</v>
      </c>
      <c r="E184" s="4">
        <v>46170.139131944437</v>
      </c>
    </row>
    <row r="185" spans="1:5">
      <c r="A185" s="10" t="s">
        <v>1853</v>
      </c>
      <c r="B185" s="5">
        <v>7.4166666666666672E-2</v>
      </c>
      <c r="C185" s="5">
        <v>7.4166666666666672E-2</v>
      </c>
      <c r="D185" s="5">
        <v>0</v>
      </c>
      <c r="E185" s="4">
        <v>46170.21329861111</v>
      </c>
    </row>
    <row r="186" spans="1:5">
      <c r="A186" s="10" t="s">
        <v>1854</v>
      </c>
      <c r="B186" s="5">
        <v>9.8333333333333328E-2</v>
      </c>
      <c r="C186" s="5">
        <v>9.8333333333333328E-2</v>
      </c>
      <c r="D186" s="5">
        <v>0</v>
      </c>
      <c r="E186" s="4">
        <v>46170.311631944453</v>
      </c>
    </row>
    <row r="187" spans="1:5">
      <c r="A187" s="9" t="s">
        <v>1653</v>
      </c>
      <c r="B187" s="5">
        <v>53.476633333333353</v>
      </c>
      <c r="C187" s="5">
        <v>75.267733333333339</v>
      </c>
      <c r="D187" s="5">
        <v>-21.791099999999989</v>
      </c>
      <c r="E187" s="4">
        <v>46170.311631944453</v>
      </c>
    </row>
  </sheetData>
  <pageMargins left="0.7" right="0.7" top="0.75" bottom="0.75" header="0.3" footer="0.3"/>
  <pageSetup paperSize="8" orientation="portrait" horizontalDpi="0" verticalDpi="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B7"/>
  <sheetViews>
    <sheetView workbookViewId="0">
      <selection activeCell="M19" sqref="M19"/>
    </sheetView>
  </sheetViews>
  <sheetFormatPr defaultColWidth="11.07421875" defaultRowHeight="15.5"/>
  <cols>
    <col min="1" max="1" width="17.23046875" bestFit="1" customWidth="1"/>
    <col min="2" max="2" width="20.15234375" bestFit="1" customWidth="1"/>
  </cols>
  <sheetData>
    <row r="1" spans="1:2">
      <c r="A1" s="8" t="s">
        <v>35</v>
      </c>
      <c r="B1" t="s">
        <v>38</v>
      </c>
    </row>
    <row r="3" spans="1:2">
      <c r="A3" s="8" t="s">
        <v>1658</v>
      </c>
      <c r="B3" t="s">
        <v>1656</v>
      </c>
    </row>
    <row r="4" spans="1:2">
      <c r="A4" s="9" t="s">
        <v>1660</v>
      </c>
      <c r="B4" s="233">
        <v>231.5</v>
      </c>
    </row>
    <row r="5" spans="1:2">
      <c r="A5" s="9" t="s">
        <v>83</v>
      </c>
      <c r="B5" s="233">
        <v>126</v>
      </c>
    </row>
    <row r="6" spans="1:2">
      <c r="A6" s="9" t="s">
        <v>146</v>
      </c>
      <c r="B6" s="233">
        <v>9</v>
      </c>
    </row>
    <row r="7" spans="1:2">
      <c r="A7" s="9" t="s">
        <v>1653</v>
      </c>
      <c r="B7" s="233">
        <v>366.5</v>
      </c>
    </row>
  </sheetData>
  <pageMargins left="0.7" right="0.7" top="0.75" bottom="0.75" header="0.3" footer="0.3"/>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3:G12"/>
  <sheetViews>
    <sheetView workbookViewId="0">
      <selection activeCell="D17" sqref="D17"/>
    </sheetView>
  </sheetViews>
  <sheetFormatPr defaultColWidth="11.53515625" defaultRowHeight="15.5"/>
  <cols>
    <col min="1" max="1" width="20.84375" bestFit="1" customWidth="1"/>
    <col min="2" max="2" width="9.61328125" bestFit="1" customWidth="1"/>
    <col min="3" max="4" width="7.765625" bestFit="1" customWidth="1"/>
    <col min="5" max="8" width="21.3046875" bestFit="1" customWidth="1"/>
  </cols>
  <sheetData>
    <row r="3" spans="1:7">
      <c r="B3" s="8" t="s">
        <v>1652</v>
      </c>
    </row>
    <row r="4" spans="1:7">
      <c r="A4" s="8" t="s">
        <v>1658</v>
      </c>
      <c r="B4" t="s">
        <v>1855</v>
      </c>
      <c r="C4" t="s">
        <v>1856</v>
      </c>
      <c r="D4" t="s">
        <v>1857</v>
      </c>
    </row>
    <row r="5" spans="1:7">
      <c r="A5" s="9" t="s">
        <v>1858</v>
      </c>
      <c r="B5" s="327">
        <v>0.6607142857142857</v>
      </c>
      <c r="C5" s="327">
        <v>0.125</v>
      </c>
      <c r="D5" s="327">
        <v>0.21428571428571427</v>
      </c>
    </row>
    <row r="6" spans="1:7">
      <c r="A6" s="9" t="s">
        <v>1859</v>
      </c>
      <c r="B6" s="327">
        <v>0.44769047619047614</v>
      </c>
      <c r="C6" s="327">
        <v>0.51064285714285718</v>
      </c>
      <c r="D6" s="327">
        <v>4.1666666666666664E-2</v>
      </c>
    </row>
    <row r="7" spans="1:7">
      <c r="A7" s="9" t="s">
        <v>1860</v>
      </c>
      <c r="B7" s="327">
        <v>0.19531428571428569</v>
      </c>
      <c r="C7" s="327">
        <v>0.34635238095238097</v>
      </c>
      <c r="D7" s="327">
        <v>0.45833333333333331</v>
      </c>
    </row>
    <row r="8" spans="1:7">
      <c r="A8" s="9" t="s">
        <v>1861</v>
      </c>
      <c r="B8" s="327">
        <v>0.38373095238095234</v>
      </c>
      <c r="C8" s="327">
        <v>0.34841190476190476</v>
      </c>
      <c r="D8" s="327">
        <v>0.26785714285714285</v>
      </c>
    </row>
    <row r="9" spans="1:7">
      <c r="A9" s="9" t="s">
        <v>1862</v>
      </c>
      <c r="B9" s="327">
        <v>0.47553571428571423</v>
      </c>
      <c r="C9" s="327">
        <v>0.17922619047619048</v>
      </c>
      <c r="D9" s="327">
        <v>0.34523809523809523</v>
      </c>
    </row>
    <row r="10" spans="1:7">
      <c r="A10" s="9" t="s">
        <v>1653</v>
      </c>
      <c r="B10" s="327">
        <v>0.38697371428571425</v>
      </c>
      <c r="C10" s="327">
        <v>0.33731199999999995</v>
      </c>
      <c r="D10" s="327">
        <v>0.27571428571428569</v>
      </c>
    </row>
    <row r="11" spans="1:7">
      <c r="E11" s="234"/>
      <c r="F11" s="234"/>
      <c r="G11" s="234"/>
    </row>
    <row r="12" spans="1:7">
      <c r="E12" s="234"/>
      <c r="F12" s="234"/>
      <c r="G12" s="234"/>
    </row>
  </sheetData>
  <pageMargins left="0.7" right="0.7" top="0.75" bottom="0.75" header="0.3" footer="0.3"/>
  <pageSetup paperSize="9" orientation="portrait" horizontalDpi="0" verticalDpi="0"/>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3:D67"/>
  <sheetViews>
    <sheetView workbookViewId="0">
      <selection activeCell="A15" activeCellId="1" sqref="A5:A12 A14:A33"/>
    </sheetView>
  </sheetViews>
  <sheetFormatPr defaultColWidth="11.53515625" defaultRowHeight="15.5"/>
  <cols>
    <col min="1" max="1" width="17.23046875" bestFit="1" customWidth="1"/>
    <col min="2" max="2" width="18.84375" bestFit="1" customWidth="1"/>
    <col min="3" max="4" width="20.15234375" bestFit="1" customWidth="1"/>
  </cols>
  <sheetData>
    <row r="3" spans="1:4">
      <c r="B3" s="8" t="s">
        <v>1652</v>
      </c>
    </row>
    <row r="4" spans="1:4">
      <c r="A4" s="8" t="s">
        <v>1658</v>
      </c>
      <c r="B4" t="s">
        <v>1654</v>
      </c>
      <c r="C4" t="s">
        <v>1655</v>
      </c>
      <c r="D4" t="s">
        <v>1656</v>
      </c>
    </row>
    <row r="5" spans="1:4">
      <c r="A5" s="9" t="s">
        <v>183</v>
      </c>
      <c r="B5" s="235">
        <v>100.35119999999999</v>
      </c>
      <c r="C5" s="235">
        <v>31.148799999999998</v>
      </c>
      <c r="D5" s="235">
        <v>71</v>
      </c>
    </row>
    <row r="6" spans="1:4">
      <c r="A6" s="602">
        <v>46157</v>
      </c>
      <c r="B6" s="235">
        <v>0.97440000000000015</v>
      </c>
      <c r="C6" s="235">
        <v>4.0255999999999998</v>
      </c>
      <c r="D6" s="235">
        <v>12</v>
      </c>
    </row>
    <row r="7" spans="1:4">
      <c r="A7" s="602">
        <v>46158</v>
      </c>
      <c r="B7" s="235">
        <v>4.84</v>
      </c>
      <c r="C7" s="235">
        <v>3.16</v>
      </c>
      <c r="D7" s="235">
        <v>0</v>
      </c>
    </row>
    <row r="8" spans="1:4">
      <c r="A8" s="602">
        <v>46159</v>
      </c>
      <c r="B8" s="235">
        <v>0</v>
      </c>
      <c r="C8" s="235">
        <v>0</v>
      </c>
      <c r="D8" s="235">
        <v>17</v>
      </c>
    </row>
    <row r="9" spans="1:4">
      <c r="A9" s="602">
        <v>46160</v>
      </c>
      <c r="B9" s="235">
        <v>8</v>
      </c>
      <c r="C9" s="235">
        <v>0</v>
      </c>
      <c r="D9" s="235">
        <v>2</v>
      </c>
    </row>
    <row r="10" spans="1:4">
      <c r="A10" s="602">
        <v>46162</v>
      </c>
      <c r="B10" s="235">
        <v>3.0199999999999996</v>
      </c>
      <c r="C10" s="235">
        <v>8.98</v>
      </c>
      <c r="D10" s="235">
        <v>0</v>
      </c>
    </row>
    <row r="11" spans="1:4">
      <c r="A11" s="602">
        <v>46163</v>
      </c>
      <c r="B11" s="235">
        <v>8.9980000000000011</v>
      </c>
      <c r="C11" s="235">
        <v>3.0019999999999998</v>
      </c>
      <c r="D11" s="235">
        <v>0</v>
      </c>
    </row>
    <row r="12" spans="1:4">
      <c r="A12" s="602">
        <v>46164</v>
      </c>
      <c r="B12" s="235">
        <v>10.868799999999998</v>
      </c>
      <c r="C12" s="235">
        <v>3.1312000000000015</v>
      </c>
      <c r="D12" s="235">
        <v>0</v>
      </c>
    </row>
    <row r="13" spans="1:4">
      <c r="A13" s="602">
        <v>46166</v>
      </c>
      <c r="B13" s="235">
        <v>15.71</v>
      </c>
      <c r="C13" s="235">
        <v>0.29000000000000004</v>
      </c>
      <c r="D13" s="235">
        <v>0</v>
      </c>
    </row>
    <row r="14" spans="1:4">
      <c r="A14" s="602">
        <v>46167</v>
      </c>
      <c r="B14" s="235">
        <v>8.11</v>
      </c>
      <c r="C14" s="235">
        <v>2.3900000000000006</v>
      </c>
      <c r="D14" s="235">
        <v>5.5</v>
      </c>
    </row>
    <row r="15" spans="1:4">
      <c r="A15" s="602">
        <v>46168</v>
      </c>
      <c r="B15" s="235">
        <v>3.64</v>
      </c>
      <c r="C15" s="235">
        <v>0.35999999999999988</v>
      </c>
      <c r="D15" s="235">
        <v>10</v>
      </c>
    </row>
    <row r="16" spans="1:4">
      <c r="A16" s="602">
        <v>46169</v>
      </c>
      <c r="B16" s="235">
        <v>8.1900000000000013</v>
      </c>
      <c r="C16" s="235">
        <v>5.81</v>
      </c>
      <c r="D16" s="235">
        <v>0</v>
      </c>
    </row>
    <row r="17" spans="1:4">
      <c r="A17" s="602">
        <v>46170</v>
      </c>
      <c r="B17" s="235">
        <v>7</v>
      </c>
      <c r="C17" s="235">
        <v>0</v>
      </c>
      <c r="D17" s="235">
        <v>9</v>
      </c>
    </row>
    <row r="18" spans="1:4">
      <c r="A18" s="602">
        <v>46171</v>
      </c>
      <c r="B18" s="235">
        <v>2.5</v>
      </c>
      <c r="C18" s="235">
        <v>0</v>
      </c>
      <c r="D18" s="235">
        <v>0</v>
      </c>
    </row>
    <row r="19" spans="1:4">
      <c r="A19" s="602">
        <v>46172</v>
      </c>
      <c r="B19" s="235">
        <v>14.5</v>
      </c>
      <c r="C19" s="235">
        <v>0</v>
      </c>
      <c r="D19" s="235">
        <v>3.5</v>
      </c>
    </row>
    <row r="20" spans="1:4">
      <c r="A20" s="602">
        <v>46173</v>
      </c>
      <c r="B20" s="235">
        <v>4</v>
      </c>
      <c r="C20" s="235">
        <v>0</v>
      </c>
      <c r="D20" s="235">
        <v>12</v>
      </c>
    </row>
    <row r="21" spans="1:4">
      <c r="A21" s="9" t="s">
        <v>207</v>
      </c>
      <c r="B21" s="235">
        <v>44.82</v>
      </c>
      <c r="C21" s="235">
        <v>64.680000000000007</v>
      </c>
      <c r="D21" s="235">
        <v>18</v>
      </c>
    </row>
    <row r="22" spans="1:4">
      <c r="A22" s="602">
        <v>46162</v>
      </c>
      <c r="B22" s="235">
        <v>0</v>
      </c>
      <c r="C22" s="235">
        <v>2</v>
      </c>
      <c r="D22" s="235">
        <v>0</v>
      </c>
    </row>
    <row r="23" spans="1:4">
      <c r="A23" s="602">
        <v>46163</v>
      </c>
      <c r="B23" s="235">
        <v>2</v>
      </c>
      <c r="C23" s="235">
        <v>10</v>
      </c>
      <c r="D23" s="235">
        <v>0</v>
      </c>
    </row>
    <row r="24" spans="1:4">
      <c r="A24" s="602">
        <v>46164</v>
      </c>
      <c r="B24" s="235">
        <v>10</v>
      </c>
      <c r="C24" s="235">
        <v>0</v>
      </c>
      <c r="D24" s="235">
        <v>0</v>
      </c>
    </row>
    <row r="25" spans="1:4">
      <c r="A25" s="602">
        <v>46165</v>
      </c>
      <c r="B25" s="235">
        <v>0</v>
      </c>
      <c r="C25" s="235">
        <v>24</v>
      </c>
      <c r="D25" s="235">
        <v>0</v>
      </c>
    </row>
    <row r="26" spans="1:4">
      <c r="A26" s="602">
        <v>46166</v>
      </c>
      <c r="B26" s="235">
        <v>0.87000000000000011</v>
      </c>
      <c r="C26" s="235">
        <v>7.13</v>
      </c>
      <c r="D26" s="235">
        <v>0</v>
      </c>
    </row>
    <row r="27" spans="1:4">
      <c r="A27" s="602">
        <v>46167</v>
      </c>
      <c r="B27" s="235">
        <v>3.5500000000000007</v>
      </c>
      <c r="C27" s="235">
        <v>4.4499999999999993</v>
      </c>
      <c r="D27" s="235">
        <v>0</v>
      </c>
    </row>
    <row r="28" spans="1:4">
      <c r="A28" s="602">
        <v>46168</v>
      </c>
      <c r="B28" s="235">
        <v>0.97</v>
      </c>
      <c r="C28" s="235">
        <v>1.03</v>
      </c>
      <c r="D28" s="235">
        <v>8</v>
      </c>
    </row>
    <row r="29" spans="1:4">
      <c r="A29" s="602">
        <v>46169</v>
      </c>
      <c r="B29" s="235">
        <v>0</v>
      </c>
      <c r="C29" s="235">
        <v>0</v>
      </c>
      <c r="D29" s="235">
        <v>10</v>
      </c>
    </row>
    <row r="30" spans="1:4">
      <c r="A30" s="602">
        <v>46170</v>
      </c>
      <c r="B30" s="235">
        <v>8</v>
      </c>
      <c r="C30" s="235">
        <v>0</v>
      </c>
      <c r="D30" s="235">
        <v>0</v>
      </c>
    </row>
    <row r="31" spans="1:4">
      <c r="A31" s="602">
        <v>46171</v>
      </c>
      <c r="B31" s="235">
        <v>5.43</v>
      </c>
      <c r="C31" s="235">
        <v>16.07</v>
      </c>
      <c r="D31" s="235">
        <v>0</v>
      </c>
    </row>
    <row r="32" spans="1:4">
      <c r="A32" s="602">
        <v>46172</v>
      </c>
      <c r="B32" s="235">
        <v>6</v>
      </c>
      <c r="C32" s="235">
        <v>0</v>
      </c>
      <c r="D32" s="235">
        <v>0</v>
      </c>
    </row>
    <row r="33" spans="1:4">
      <c r="A33" s="602">
        <v>46173</v>
      </c>
      <c r="B33" s="235">
        <v>8</v>
      </c>
      <c r="C33" s="235">
        <v>0</v>
      </c>
      <c r="D33" s="235">
        <v>0</v>
      </c>
    </row>
    <row r="34" spans="1:4">
      <c r="A34" s="9" t="s">
        <v>66</v>
      </c>
      <c r="B34" s="235">
        <v>45.153999999999996</v>
      </c>
      <c r="C34" s="235">
        <v>51.426000000000002</v>
      </c>
      <c r="D34" s="235">
        <v>76</v>
      </c>
    </row>
    <row r="35" spans="1:4">
      <c r="A35" s="602">
        <v>46145</v>
      </c>
      <c r="B35" s="235">
        <v>6.41</v>
      </c>
      <c r="C35" s="235">
        <v>0.33999999999999986</v>
      </c>
      <c r="D35" s="235">
        <v>0</v>
      </c>
    </row>
    <row r="36" spans="1:4">
      <c r="A36" s="602">
        <v>46146</v>
      </c>
      <c r="B36" s="235">
        <v>1.48</v>
      </c>
      <c r="C36" s="235">
        <v>3.52</v>
      </c>
      <c r="D36" s="235">
        <v>3</v>
      </c>
    </row>
    <row r="37" spans="1:4">
      <c r="A37" s="602">
        <v>46147</v>
      </c>
      <c r="B37" s="235">
        <v>6.83</v>
      </c>
      <c r="C37" s="235">
        <v>0</v>
      </c>
      <c r="D37" s="235">
        <v>0</v>
      </c>
    </row>
    <row r="38" spans="1:4">
      <c r="A38" s="602">
        <v>46148</v>
      </c>
      <c r="B38" s="235">
        <v>10.93</v>
      </c>
      <c r="C38" s="235">
        <v>6.07</v>
      </c>
      <c r="D38" s="235">
        <v>0</v>
      </c>
    </row>
    <row r="39" spans="1:4">
      <c r="A39" s="602">
        <v>46149</v>
      </c>
      <c r="B39" s="235">
        <v>7</v>
      </c>
      <c r="C39" s="235">
        <v>0</v>
      </c>
      <c r="D39" s="235">
        <v>0</v>
      </c>
    </row>
    <row r="40" spans="1:4">
      <c r="A40" s="602">
        <v>46150</v>
      </c>
      <c r="B40" s="235">
        <v>0</v>
      </c>
      <c r="C40" s="235">
        <v>7</v>
      </c>
      <c r="D40" s="235">
        <v>0</v>
      </c>
    </row>
    <row r="41" spans="1:4">
      <c r="A41" s="602">
        <v>46151</v>
      </c>
      <c r="B41" s="235">
        <v>0</v>
      </c>
      <c r="C41" s="235">
        <v>7</v>
      </c>
      <c r="D41" s="235">
        <v>0</v>
      </c>
    </row>
    <row r="42" spans="1:4">
      <c r="A42" s="602">
        <v>46152</v>
      </c>
      <c r="B42" s="235">
        <v>0</v>
      </c>
      <c r="C42" s="235">
        <v>7</v>
      </c>
      <c r="D42" s="235">
        <v>0</v>
      </c>
    </row>
    <row r="43" spans="1:4">
      <c r="A43" s="602">
        <v>46153</v>
      </c>
      <c r="B43" s="235">
        <v>8.8817841970012523E-16</v>
      </c>
      <c r="C43" s="235">
        <v>6.9999999999999991</v>
      </c>
      <c r="D43" s="235">
        <v>0</v>
      </c>
    </row>
    <row r="44" spans="1:4">
      <c r="A44" s="602">
        <v>46154</v>
      </c>
      <c r="B44" s="235">
        <v>0.50399999999999956</v>
      </c>
      <c r="C44" s="235">
        <v>6.4960000000000004</v>
      </c>
      <c r="D44" s="235">
        <v>0</v>
      </c>
    </row>
    <row r="45" spans="1:4">
      <c r="A45" s="602">
        <v>46155</v>
      </c>
      <c r="B45" s="235">
        <v>0</v>
      </c>
      <c r="C45" s="235">
        <v>0</v>
      </c>
      <c r="D45" s="235">
        <v>7</v>
      </c>
    </row>
    <row r="46" spans="1:4">
      <c r="A46" s="602">
        <v>46156</v>
      </c>
      <c r="B46" s="235">
        <v>7</v>
      </c>
      <c r="C46" s="235">
        <v>0</v>
      </c>
      <c r="D46" s="235">
        <v>0</v>
      </c>
    </row>
    <row r="47" spans="1:4">
      <c r="A47" s="602">
        <v>46157</v>
      </c>
      <c r="B47" s="235">
        <v>8.8817841970012523E-16</v>
      </c>
      <c r="C47" s="235">
        <v>6.9999999999999991</v>
      </c>
      <c r="D47" s="235">
        <v>0</v>
      </c>
    </row>
    <row r="48" spans="1:4">
      <c r="A48" s="602">
        <v>46158</v>
      </c>
      <c r="B48" s="235">
        <v>0</v>
      </c>
      <c r="C48" s="235">
        <v>0</v>
      </c>
      <c r="D48" s="235">
        <v>16</v>
      </c>
    </row>
    <row r="49" spans="1:4">
      <c r="A49" s="602">
        <v>46159</v>
      </c>
      <c r="B49" s="235">
        <v>0</v>
      </c>
      <c r="C49" s="235">
        <v>0</v>
      </c>
      <c r="D49" s="235">
        <v>7</v>
      </c>
    </row>
    <row r="50" spans="1:4">
      <c r="A50" s="602">
        <v>46160</v>
      </c>
      <c r="B50" s="235">
        <v>0</v>
      </c>
      <c r="C50" s="235">
        <v>0</v>
      </c>
      <c r="D50" s="235">
        <v>14</v>
      </c>
    </row>
    <row r="51" spans="1:4">
      <c r="A51" s="602">
        <v>46161</v>
      </c>
      <c r="B51" s="235">
        <v>0</v>
      </c>
      <c r="C51" s="235">
        <v>0</v>
      </c>
      <c r="D51" s="235">
        <v>24</v>
      </c>
    </row>
    <row r="52" spans="1:4">
      <c r="A52" s="602">
        <v>46162</v>
      </c>
      <c r="B52" s="235">
        <v>5</v>
      </c>
      <c r="C52" s="235">
        <v>0</v>
      </c>
      <c r="D52" s="235">
        <v>5</v>
      </c>
    </row>
    <row r="53" spans="1:4">
      <c r="A53" s="9" t="s">
        <v>54</v>
      </c>
      <c r="B53" s="235">
        <v>80.556399999999996</v>
      </c>
      <c r="C53" s="235">
        <v>88.863600000000019</v>
      </c>
      <c r="D53" s="235">
        <v>28</v>
      </c>
    </row>
    <row r="54" spans="1:4">
      <c r="A54" s="602">
        <v>46144</v>
      </c>
      <c r="B54" s="235">
        <v>4</v>
      </c>
      <c r="C54" s="235">
        <v>0</v>
      </c>
      <c r="D54" s="235">
        <v>0</v>
      </c>
    </row>
    <row r="55" spans="1:4">
      <c r="A55" s="602">
        <v>46145</v>
      </c>
      <c r="B55" s="235">
        <v>8.09</v>
      </c>
      <c r="C55" s="235">
        <v>3.16</v>
      </c>
      <c r="D55" s="235">
        <v>6</v>
      </c>
    </row>
    <row r="56" spans="1:4">
      <c r="A56" s="602">
        <v>46146</v>
      </c>
      <c r="B56" s="235">
        <v>11.96</v>
      </c>
      <c r="C56" s="235">
        <v>4.04</v>
      </c>
      <c r="D56" s="235">
        <v>0</v>
      </c>
    </row>
    <row r="57" spans="1:4">
      <c r="A57" s="602">
        <v>46147</v>
      </c>
      <c r="B57" s="235">
        <v>12.559999999999999</v>
      </c>
      <c r="C57" s="235">
        <v>4.6100000000000003</v>
      </c>
      <c r="D57" s="235">
        <v>0</v>
      </c>
    </row>
    <row r="58" spans="1:4">
      <c r="A58" s="602">
        <v>46148</v>
      </c>
      <c r="B58" s="235">
        <v>2.5</v>
      </c>
      <c r="C58" s="235">
        <v>4.5</v>
      </c>
      <c r="D58" s="235">
        <v>0</v>
      </c>
    </row>
    <row r="59" spans="1:4">
      <c r="A59" s="602">
        <v>46149</v>
      </c>
      <c r="B59" s="235">
        <v>6.9699999999999989</v>
      </c>
      <c r="C59" s="235">
        <v>10.030000000000001</v>
      </c>
      <c r="D59" s="235">
        <v>0</v>
      </c>
    </row>
    <row r="60" spans="1:4">
      <c r="A60" s="602">
        <v>46150</v>
      </c>
      <c r="B60" s="235">
        <v>0</v>
      </c>
      <c r="C60" s="235">
        <v>17</v>
      </c>
      <c r="D60" s="235">
        <v>0</v>
      </c>
    </row>
    <row r="61" spans="1:4">
      <c r="A61" s="602">
        <v>46151</v>
      </c>
      <c r="B61" s="235">
        <v>8.94</v>
      </c>
      <c r="C61" s="235">
        <v>4.0600000000000005</v>
      </c>
      <c r="D61" s="235">
        <v>4</v>
      </c>
    </row>
    <row r="62" spans="1:4">
      <c r="A62" s="602">
        <v>46152</v>
      </c>
      <c r="B62" s="235">
        <v>6.0419999999999989</v>
      </c>
      <c r="C62" s="235">
        <v>10.958000000000002</v>
      </c>
      <c r="D62" s="235">
        <v>0</v>
      </c>
    </row>
    <row r="63" spans="1:4">
      <c r="A63" s="602">
        <v>46153</v>
      </c>
      <c r="B63" s="235">
        <v>0.45440000000000014</v>
      </c>
      <c r="C63" s="235">
        <v>16.5456</v>
      </c>
      <c r="D63" s="235">
        <v>0</v>
      </c>
    </row>
    <row r="64" spans="1:4">
      <c r="A64" s="602">
        <v>46154</v>
      </c>
      <c r="B64" s="235">
        <v>0</v>
      </c>
      <c r="C64" s="235">
        <v>8</v>
      </c>
      <c r="D64" s="235">
        <v>9</v>
      </c>
    </row>
    <row r="65" spans="1:4">
      <c r="A65" s="602">
        <v>46155</v>
      </c>
      <c r="B65" s="235">
        <v>9.74</v>
      </c>
      <c r="C65" s="235">
        <v>2.2599999999999998</v>
      </c>
      <c r="D65" s="235">
        <v>5</v>
      </c>
    </row>
    <row r="66" spans="1:4">
      <c r="A66" s="602">
        <v>46156</v>
      </c>
      <c r="B66" s="235">
        <v>9.3000000000000007</v>
      </c>
      <c r="C66" s="235">
        <v>3.7</v>
      </c>
      <c r="D66" s="235">
        <v>4</v>
      </c>
    </row>
    <row r="67" spans="1:4">
      <c r="A67" s="9" t="s">
        <v>1653</v>
      </c>
      <c r="B67" s="235">
        <v>270.88159999999999</v>
      </c>
      <c r="C67" s="235">
        <v>236.11840000000001</v>
      </c>
      <c r="D67" s="235">
        <v>193</v>
      </c>
    </row>
  </sheetData>
  <pageMargins left="0.7" right="0.7" top="0.75" bottom="0.75" header="0.3" footer="0.3"/>
  <pageSetup paperSize="9" orientation="portrait" horizontalDpi="0" verticalDpi="0"/>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3:B11"/>
  <sheetViews>
    <sheetView workbookViewId="0">
      <selection activeCell="Q28" sqref="Q28"/>
    </sheetView>
  </sheetViews>
  <sheetFormatPr defaultColWidth="11.53515625" defaultRowHeight="15.5"/>
  <cols>
    <col min="1" max="1" width="18.765625" bestFit="1" customWidth="1"/>
    <col min="2" max="2" width="3.84375" bestFit="1" customWidth="1"/>
    <col min="3" max="3" width="18.69140625" bestFit="1" customWidth="1"/>
  </cols>
  <sheetData>
    <row r="3" spans="1:2">
      <c r="A3" s="8" t="s">
        <v>1652</v>
      </c>
    </row>
    <row r="4" spans="1:2">
      <c r="A4" s="9" t="s">
        <v>1654</v>
      </c>
      <c r="B4" s="235">
        <v>399.33159999999987</v>
      </c>
    </row>
    <row r="5" spans="1:2">
      <c r="A5" s="9" t="s">
        <v>1655</v>
      </c>
      <c r="B5" s="235">
        <v>450.16839999999991</v>
      </c>
    </row>
    <row r="6" spans="1:2">
      <c r="A6" s="9" t="s">
        <v>1656</v>
      </c>
      <c r="B6" s="235">
        <v>366.5</v>
      </c>
    </row>
    <row r="8" spans="1:2">
      <c r="B8" s="235"/>
    </row>
    <row r="9" spans="1:2">
      <c r="B9" s="235"/>
    </row>
    <row r="10" spans="1:2">
      <c r="B10" s="235"/>
    </row>
    <row r="11" spans="1:2">
      <c r="B11" s="235"/>
    </row>
  </sheetData>
  <pageMargins left="0.7" right="0.7" top="0.75" bottom="0.75" header="0.3" footer="0.3"/>
  <pageSetup paperSize="9" orientation="portrait" horizontalDpi="0" verticalDpi="0"/>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I25"/>
  <sheetViews>
    <sheetView zoomScale="143" workbookViewId="0">
      <selection activeCell="C18" sqref="C18"/>
    </sheetView>
  </sheetViews>
  <sheetFormatPr defaultColWidth="11.53515625" defaultRowHeight="15.5"/>
  <cols>
    <col min="1" max="1" width="53" bestFit="1" customWidth="1"/>
    <col min="2" max="2" width="31.69140625" bestFit="1" customWidth="1"/>
    <col min="3" max="4" width="30.84375" bestFit="1" customWidth="1"/>
    <col min="7" max="7" width="22" bestFit="1" customWidth="1"/>
    <col min="8" max="8" width="42.3828125" bestFit="1" customWidth="1"/>
  </cols>
  <sheetData>
    <row r="1" spans="1:9">
      <c r="A1" s="8" t="s">
        <v>35</v>
      </c>
      <c r="B1" t="s">
        <v>1863</v>
      </c>
    </row>
    <row r="3" spans="1:9">
      <c r="A3" s="8" t="s">
        <v>1658</v>
      </c>
      <c r="B3" t="s">
        <v>1864</v>
      </c>
    </row>
    <row r="4" spans="1:9">
      <c r="A4" s="9" t="s">
        <v>1858</v>
      </c>
      <c r="B4" s="235">
        <v>9.370000000000001</v>
      </c>
      <c r="I4" s="235"/>
    </row>
    <row r="5" spans="1:9">
      <c r="A5" s="10" t="s">
        <v>1865</v>
      </c>
      <c r="B5" s="235">
        <v>6</v>
      </c>
      <c r="I5" s="235"/>
    </row>
    <row r="6" spans="1:9">
      <c r="A6" s="10" t="s">
        <v>1866</v>
      </c>
      <c r="B6" s="235">
        <v>3.16</v>
      </c>
      <c r="I6" s="235"/>
    </row>
    <row r="7" spans="1:9">
      <c r="A7" s="10" t="s">
        <v>1867</v>
      </c>
      <c r="B7" s="235">
        <v>0.20999999999999996</v>
      </c>
      <c r="I7" s="235"/>
    </row>
    <row r="8" spans="1:9">
      <c r="A8" s="9" t="s">
        <v>1859</v>
      </c>
      <c r="B8" s="235">
        <v>67.59</v>
      </c>
      <c r="I8" s="235"/>
    </row>
    <row r="9" spans="1:9">
      <c r="A9" s="10" t="s">
        <v>1868</v>
      </c>
      <c r="B9" s="235">
        <v>41.03</v>
      </c>
      <c r="I9" s="235"/>
    </row>
    <row r="10" spans="1:9">
      <c r="A10" s="10" t="s">
        <v>1869</v>
      </c>
      <c r="B10" s="235">
        <v>16.060000000000002</v>
      </c>
    </row>
    <row r="11" spans="1:9">
      <c r="A11" s="10" t="s">
        <v>1870</v>
      </c>
      <c r="B11" s="235">
        <v>10.5</v>
      </c>
    </row>
    <row r="12" spans="1:9">
      <c r="A12" s="9" t="s">
        <v>1860</v>
      </c>
      <c r="B12" s="235">
        <v>88</v>
      </c>
    </row>
    <row r="13" spans="1:9">
      <c r="A13" s="10" t="s">
        <v>1865</v>
      </c>
      <c r="B13" s="235">
        <v>32</v>
      </c>
    </row>
    <row r="14" spans="1:9">
      <c r="A14" s="10" t="s">
        <v>1871</v>
      </c>
      <c r="B14" s="235">
        <v>24</v>
      </c>
    </row>
    <row r="15" spans="1:9">
      <c r="A15" s="10" t="s">
        <v>1872</v>
      </c>
      <c r="B15" s="235">
        <v>16</v>
      </c>
    </row>
    <row r="16" spans="1:9">
      <c r="A16" s="10" t="s">
        <v>1867</v>
      </c>
      <c r="B16" s="235">
        <v>16</v>
      </c>
    </row>
    <row r="17" spans="1:2">
      <c r="A17" s="9" t="s">
        <v>1861</v>
      </c>
      <c r="B17" s="235">
        <v>95.204800000000006</v>
      </c>
    </row>
    <row r="18" spans="1:2">
      <c r="A18" s="10" t="s">
        <v>1871</v>
      </c>
      <c r="B18" s="235">
        <v>45</v>
      </c>
    </row>
    <row r="19" spans="1:2">
      <c r="A19" s="10" t="s">
        <v>1870</v>
      </c>
      <c r="B19" s="235">
        <v>29.224800000000002</v>
      </c>
    </row>
    <row r="20" spans="1:2">
      <c r="A20" s="10" t="s">
        <v>1873</v>
      </c>
      <c r="B20" s="235">
        <v>20.98</v>
      </c>
    </row>
    <row r="21" spans="1:2">
      <c r="A21" s="9" t="s">
        <v>1862</v>
      </c>
      <c r="B21" s="235">
        <v>55.55</v>
      </c>
    </row>
    <row r="22" spans="1:2">
      <c r="A22" s="10" t="s">
        <v>1874</v>
      </c>
      <c r="B22" s="235">
        <v>26.5</v>
      </c>
    </row>
    <row r="23" spans="1:2">
      <c r="A23" s="10" t="s">
        <v>1873</v>
      </c>
      <c r="B23" s="235">
        <v>15.55</v>
      </c>
    </row>
    <row r="24" spans="1:2">
      <c r="A24" s="10" t="s">
        <v>1875</v>
      </c>
      <c r="B24" s="235">
        <v>13.5</v>
      </c>
    </row>
    <row r="25" spans="1:2">
      <c r="A25" s="9" t="s">
        <v>1653</v>
      </c>
      <c r="B25" s="235">
        <v>315.71480000000003</v>
      </c>
    </row>
  </sheetData>
  <pageMargins left="0.7" right="0.7" top="0.75" bottom="0.75" header="0.3" footer="0.3"/>
  <pageSetup paperSize="9" orientation="portrait" horizontalDpi="0" verticalDpi="0"/>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3:D21"/>
  <sheetViews>
    <sheetView topLeftCell="D1" workbookViewId="0">
      <selection activeCell="K51" sqref="K51"/>
    </sheetView>
  </sheetViews>
  <sheetFormatPr defaultColWidth="11.53515625" defaultRowHeight="15.5"/>
  <cols>
    <col min="1" max="1" width="27.15234375" bestFit="1" customWidth="1"/>
    <col min="2" max="2" width="21.3828125" bestFit="1" customWidth="1"/>
    <col min="3" max="4" width="22.69140625" bestFit="1" customWidth="1"/>
  </cols>
  <sheetData>
    <row r="3" spans="1:4">
      <c r="B3" s="8" t="s">
        <v>1652</v>
      </c>
    </row>
    <row r="4" spans="1:4">
      <c r="A4" s="8" t="s">
        <v>1658</v>
      </c>
      <c r="B4" t="s">
        <v>1876</v>
      </c>
      <c r="C4" t="s">
        <v>1877</v>
      </c>
      <c r="D4" t="s">
        <v>1878</v>
      </c>
    </row>
    <row r="5" spans="1:4">
      <c r="A5" s="9" t="s">
        <v>1879</v>
      </c>
      <c r="B5" s="327">
        <v>0.63190476190476186</v>
      </c>
      <c r="C5" s="327">
        <v>0.36809523809523814</v>
      </c>
      <c r="D5" s="327">
        <v>0</v>
      </c>
    </row>
    <row r="6" spans="1:4">
      <c r="A6" s="9" t="s">
        <v>1880</v>
      </c>
      <c r="B6" s="327">
        <v>0</v>
      </c>
      <c r="C6" s="327">
        <v>0</v>
      </c>
      <c r="D6" s="327">
        <v>1</v>
      </c>
    </row>
    <row r="7" spans="1:4">
      <c r="A7" s="9" t="s">
        <v>1881</v>
      </c>
      <c r="B7" s="327">
        <v>0.40804579070003033</v>
      </c>
      <c r="C7" s="327">
        <v>0.45012460743592347</v>
      </c>
      <c r="D7" s="327">
        <v>0.1418296018640462</v>
      </c>
    </row>
    <row r="8" spans="1:4">
      <c r="A8" s="9" t="s">
        <v>1882</v>
      </c>
      <c r="B8" s="327">
        <v>0.29399619270757066</v>
      </c>
      <c r="C8" s="327">
        <v>0.37652657782984328</v>
      </c>
      <c r="D8" s="327">
        <v>0.32947722946258601</v>
      </c>
    </row>
    <row r="9" spans="1:4">
      <c r="A9" s="9" t="s">
        <v>1883</v>
      </c>
      <c r="B9" s="327">
        <v>0.26566153846153845</v>
      </c>
      <c r="C9" s="327">
        <v>0.13818461538461538</v>
      </c>
      <c r="D9" s="327">
        <v>0.59615384615384615</v>
      </c>
    </row>
    <row r="10" spans="1:4">
      <c r="A10" s="9" t="s">
        <v>1884</v>
      </c>
      <c r="B10" s="327">
        <v>0.41666666666666669</v>
      </c>
      <c r="C10" s="327">
        <v>0</v>
      </c>
      <c r="D10" s="327">
        <v>0.58333333333333337</v>
      </c>
    </row>
    <row r="11" spans="1:4">
      <c r="A11" s="9" t="s">
        <v>1885</v>
      </c>
      <c r="B11" s="327">
        <v>0.57499534883720926</v>
      </c>
      <c r="C11" s="327">
        <v>0.15922392026578072</v>
      </c>
      <c r="D11" s="327">
        <v>0.26578073089700999</v>
      </c>
    </row>
    <row r="12" spans="1:4">
      <c r="A12" s="9" t="s">
        <v>1886</v>
      </c>
      <c r="B12" s="327">
        <v>0.33105454545454543</v>
      </c>
      <c r="C12" s="327">
        <v>0.52712727272727267</v>
      </c>
      <c r="D12" s="327">
        <v>0.14181818181818182</v>
      </c>
    </row>
    <row r="13" spans="1:4">
      <c r="A13" s="9" t="s">
        <v>1887</v>
      </c>
      <c r="B13" s="327">
        <v>0.46875</v>
      </c>
      <c r="C13" s="327">
        <v>0.32291666666666669</v>
      </c>
      <c r="D13" s="327">
        <v>0.20833333333333334</v>
      </c>
    </row>
    <row r="14" spans="1:4">
      <c r="A14" s="9" t="s">
        <v>1888</v>
      </c>
      <c r="B14" s="327">
        <v>0.2287499999999999</v>
      </c>
      <c r="C14" s="327">
        <v>0.59416666666666673</v>
      </c>
      <c r="D14" s="327">
        <v>0.17708333333333334</v>
      </c>
    </row>
    <row r="15" spans="1:4">
      <c r="A15" s="9" t="s">
        <v>1889</v>
      </c>
      <c r="B15" s="327">
        <v>0.30760416666666668</v>
      </c>
      <c r="C15" s="327">
        <v>0.52572916666666669</v>
      </c>
      <c r="D15" s="327">
        <v>0.16666666666666666</v>
      </c>
    </row>
    <row r="16" spans="1:4">
      <c r="A16" s="9" t="s">
        <v>1890</v>
      </c>
      <c r="B16" s="327">
        <v>0.18739583333333334</v>
      </c>
      <c r="C16" s="327">
        <v>0.62510416666666668</v>
      </c>
      <c r="D16" s="327">
        <v>0.1875</v>
      </c>
    </row>
    <row r="17" spans="1:4">
      <c r="A17" s="9" t="s">
        <v>1891</v>
      </c>
      <c r="B17" s="327">
        <v>0</v>
      </c>
      <c r="C17" s="327">
        <v>0</v>
      </c>
      <c r="D17" s="327">
        <v>1</v>
      </c>
    </row>
    <row r="18" spans="1:4">
      <c r="A18" s="9" t="s">
        <v>1892</v>
      </c>
      <c r="B18" s="327">
        <v>0</v>
      </c>
      <c r="C18" s="327">
        <v>0</v>
      </c>
      <c r="D18" s="327">
        <v>1</v>
      </c>
    </row>
    <row r="19" spans="1:4">
      <c r="A19" s="9" t="s">
        <v>1893</v>
      </c>
      <c r="B19" s="327">
        <v>0</v>
      </c>
      <c r="C19" s="327">
        <v>0</v>
      </c>
      <c r="D19" s="327">
        <v>1</v>
      </c>
    </row>
    <row r="20" spans="1:4">
      <c r="A20" s="9" t="s">
        <v>1894</v>
      </c>
      <c r="B20" s="327">
        <v>0</v>
      </c>
      <c r="C20" s="327">
        <v>0</v>
      </c>
      <c r="D20" s="327">
        <v>1</v>
      </c>
    </row>
    <row r="21" spans="1:4">
      <c r="A21" s="9" t="s">
        <v>1653</v>
      </c>
      <c r="B21" s="327">
        <v>0.32839769736842112</v>
      </c>
      <c r="C21" s="327">
        <v>0.3702042763157895</v>
      </c>
      <c r="D21" s="327">
        <v>0.30139802631578949</v>
      </c>
    </row>
  </sheetData>
  <pageMargins left="0.7" right="0.7" top="0.75" bottom="0.75" header="0.3" footer="0.3"/>
  <pageSetup paperSize="9" orientation="portrait" horizontalDpi="0" verticalDpi="0"/>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B7"/>
  <sheetViews>
    <sheetView workbookViewId="0">
      <selection activeCell="F50" sqref="F50"/>
    </sheetView>
  </sheetViews>
  <sheetFormatPr defaultColWidth="11.53515625" defaultRowHeight="15.5"/>
  <cols>
    <col min="1" max="1" width="20.765625" bestFit="1" customWidth="1"/>
    <col min="2" max="2" width="31.69140625" bestFit="1" customWidth="1"/>
  </cols>
  <sheetData>
    <row r="1" spans="1:2">
      <c r="A1" s="8" t="s">
        <v>35</v>
      </c>
      <c r="B1" t="s">
        <v>38</v>
      </c>
    </row>
    <row r="3" spans="1:2">
      <c r="A3" s="8" t="s">
        <v>1658</v>
      </c>
      <c r="B3" t="s">
        <v>1864</v>
      </c>
    </row>
    <row r="4" spans="1:2">
      <c r="A4" s="9" t="s">
        <v>77</v>
      </c>
      <c r="B4" s="233">
        <v>202</v>
      </c>
    </row>
    <row r="5" spans="1:2">
      <c r="A5" s="9" t="s">
        <v>1660</v>
      </c>
      <c r="B5" s="233">
        <v>70.5</v>
      </c>
    </row>
    <row r="6" spans="1:2">
      <c r="A6" s="9" t="s">
        <v>190</v>
      </c>
      <c r="B6" s="233">
        <v>69</v>
      </c>
    </row>
    <row r="7" spans="1:2">
      <c r="A7" s="9" t="s">
        <v>1653</v>
      </c>
      <c r="B7" s="233">
        <v>341.5</v>
      </c>
    </row>
  </sheetData>
  <pageMargins left="0.7" right="0.7" top="0.75" bottom="0.75" header="0.3" footer="0.3"/>
  <pageSetup paperSize="9" orientation="portrait" horizontalDpi="0" verticalDpi="0"/>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J21"/>
  <sheetViews>
    <sheetView zoomScale="94" workbookViewId="0">
      <selection activeCell="B6" sqref="B6"/>
    </sheetView>
  </sheetViews>
  <sheetFormatPr defaultColWidth="11.53515625" defaultRowHeight="15.5"/>
  <cols>
    <col min="1" max="1" width="17.69140625" bestFit="1" customWidth="1"/>
    <col min="2" max="2" width="20.84375" bestFit="1" customWidth="1"/>
    <col min="3" max="4" width="18.69140625" bestFit="1" customWidth="1"/>
    <col min="5" max="6" width="20" bestFit="1" customWidth="1"/>
    <col min="8" max="8" width="15.69140625" bestFit="1" customWidth="1"/>
  </cols>
  <sheetData>
    <row r="1" spans="1:10">
      <c r="A1" s="8" t="s">
        <v>11</v>
      </c>
      <c r="B1" t="s">
        <v>1895</v>
      </c>
    </row>
    <row r="3" spans="1:10">
      <c r="A3" s="8" t="s">
        <v>1658</v>
      </c>
      <c r="B3" t="s">
        <v>1896</v>
      </c>
      <c r="I3" s="528"/>
      <c r="J3" s="528"/>
    </row>
    <row r="4" spans="1:10">
      <c r="A4" s="9" t="s">
        <v>1660</v>
      </c>
      <c r="B4" s="327">
        <v>0.29488888888888887</v>
      </c>
    </row>
    <row r="5" spans="1:10">
      <c r="A5" s="9" t="s">
        <v>55</v>
      </c>
      <c r="B5" s="327">
        <v>0.36320766068384636</v>
      </c>
    </row>
    <row r="6" spans="1:10">
      <c r="A6" s="9" t="s">
        <v>67</v>
      </c>
      <c r="B6" s="327">
        <v>0.2939961927075706</v>
      </c>
    </row>
    <row r="7" spans="1:10">
      <c r="A7" s="9" t="s">
        <v>203</v>
      </c>
      <c r="B7" s="327">
        <v>0.57499534883720926</v>
      </c>
    </row>
    <row r="8" spans="1:10">
      <c r="A8" s="9" t="s">
        <v>267</v>
      </c>
      <c r="B8" s="327">
        <v>0.38817708333333334</v>
      </c>
    </row>
    <row r="9" spans="1:10">
      <c r="A9" s="9" t="s">
        <v>278</v>
      </c>
      <c r="B9" s="327">
        <v>0.20807291666666661</v>
      </c>
    </row>
    <row r="10" spans="1:10">
      <c r="A10" s="9" t="s">
        <v>428</v>
      </c>
      <c r="B10" s="327">
        <v>0</v>
      </c>
    </row>
    <row r="11" spans="1:10">
      <c r="A11" s="9" t="s">
        <v>437</v>
      </c>
      <c r="B11" s="327">
        <v>0</v>
      </c>
    </row>
    <row r="12" spans="1:10">
      <c r="A12" s="9" t="s">
        <v>1653</v>
      </c>
      <c r="B12" s="908">
        <v>0.32839769736842106</v>
      </c>
    </row>
    <row r="21" spans="8:8">
      <c r="H21" s="234"/>
    </row>
  </sheetData>
  <pageMargins left="0.7" right="0.7" top="0.75" bottom="0.75" header="0.3" footer="0.3"/>
  <pageSetup paperSize="9" orientation="portrait" horizontalDpi="0" verticalDpi="0"/>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B11"/>
  <sheetViews>
    <sheetView workbookViewId="0">
      <selection activeCell="B4" sqref="B4"/>
    </sheetView>
  </sheetViews>
  <sheetFormatPr defaultColWidth="11.53515625" defaultRowHeight="15.5"/>
  <cols>
    <col min="1" max="1" width="21.921875" bestFit="1" customWidth="1"/>
    <col min="2" max="2" width="21.23046875" bestFit="1" customWidth="1"/>
  </cols>
  <sheetData>
    <row r="1" spans="1:2">
      <c r="A1" s="8" t="s">
        <v>14</v>
      </c>
      <c r="B1" t="s">
        <v>142</v>
      </c>
    </row>
    <row r="2" spans="1:2">
      <c r="A2" s="8" t="s">
        <v>35</v>
      </c>
      <c r="B2" t="s">
        <v>38</v>
      </c>
    </row>
    <row r="4" spans="1:2">
      <c r="A4" s="8" t="s">
        <v>1658</v>
      </c>
      <c r="B4" t="s">
        <v>1657</v>
      </c>
    </row>
    <row r="5" spans="1:2">
      <c r="A5" s="9" t="s">
        <v>143</v>
      </c>
      <c r="B5" s="235">
        <v>9</v>
      </c>
    </row>
    <row r="6" spans="1:2">
      <c r="A6" s="10" t="s">
        <v>161</v>
      </c>
      <c r="B6" s="235">
        <v>5</v>
      </c>
    </row>
    <row r="7" spans="1:2">
      <c r="A7" s="10" t="s">
        <v>144</v>
      </c>
      <c r="B7" s="235">
        <v>4</v>
      </c>
    </row>
    <row r="8" spans="1:2">
      <c r="A8" s="9" t="s">
        <v>142</v>
      </c>
      <c r="B8" s="235">
        <v>7.5</v>
      </c>
    </row>
    <row r="9" spans="1:2">
      <c r="A9" s="10" t="s">
        <v>161</v>
      </c>
      <c r="B9" s="235">
        <v>6</v>
      </c>
    </row>
    <row r="10" spans="1:2">
      <c r="A10" s="10" t="s">
        <v>62</v>
      </c>
      <c r="B10" s="235">
        <v>1.5</v>
      </c>
    </row>
    <row r="11" spans="1:2">
      <c r="A11" s="9" t="s">
        <v>1653</v>
      </c>
      <c r="B11" s="235">
        <v>16.5</v>
      </c>
    </row>
  </sheetData>
  <pageMargins left="0.7" right="0.7" top="0.75" bottom="0.75" header="0.3" footer="0.3"/>
  <pageSetup paperSize="9" orientation="portrait" horizontalDpi="0" verticalDpi="0"/>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B7"/>
  <sheetViews>
    <sheetView workbookViewId="0">
      <selection activeCell="B7" sqref="B7"/>
    </sheetView>
  </sheetViews>
  <sheetFormatPr defaultColWidth="11.53515625" defaultRowHeight="15.5"/>
  <cols>
    <col min="1" max="1" width="17.23046875" bestFit="1" customWidth="1"/>
    <col min="2" max="2" width="20.15234375" bestFit="1" customWidth="1"/>
  </cols>
  <sheetData>
    <row r="1" spans="1:2">
      <c r="A1" s="8" t="s">
        <v>35</v>
      </c>
      <c r="B1" t="s">
        <v>37</v>
      </c>
    </row>
    <row r="3" spans="1:2">
      <c r="A3" s="8" t="s">
        <v>1658</v>
      </c>
      <c r="B3" t="s">
        <v>1655</v>
      </c>
    </row>
    <row r="4" spans="1:2">
      <c r="A4" s="9" t="s">
        <v>169</v>
      </c>
      <c r="B4" s="235">
        <v>149.31</v>
      </c>
    </row>
    <row r="5" spans="1:2">
      <c r="A5" s="9" t="s">
        <v>1897</v>
      </c>
      <c r="B5" s="235">
        <v>141.41400000000002</v>
      </c>
    </row>
    <row r="6" spans="1:2">
      <c r="A6" s="9" t="s">
        <v>90</v>
      </c>
      <c r="B6" s="235">
        <v>55.861999999999995</v>
      </c>
    </row>
    <row r="7" spans="1:2">
      <c r="A7" s="9" t="s">
        <v>1653</v>
      </c>
      <c r="B7" s="233">
        <v>346.58600000000001</v>
      </c>
    </row>
  </sheetData>
  <pageMargins left="0.7" right="0.7" top="0.75" bottom="0.75" header="0.3" footer="0.3"/>
  <pageSetup paperSize="9" orientation="portrait" horizontalDpi="0" verticalDpi="0"/>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B11"/>
  <sheetViews>
    <sheetView workbookViewId="0">
      <selection activeCell="A4" sqref="A4"/>
    </sheetView>
  </sheetViews>
  <sheetFormatPr defaultColWidth="11.53515625" defaultRowHeight="15.5"/>
  <cols>
    <col min="1" max="1" width="17.23046875" bestFit="1" customWidth="1"/>
    <col min="2" max="2" width="34.23046875" bestFit="1" customWidth="1"/>
    <col min="3" max="4" width="32.69140625" bestFit="1" customWidth="1"/>
  </cols>
  <sheetData>
    <row r="1" spans="1:2">
      <c r="A1" s="8" t="s">
        <v>14</v>
      </c>
      <c r="B1" t="s">
        <v>78</v>
      </c>
    </row>
    <row r="3" spans="1:2">
      <c r="A3" s="8" t="s">
        <v>1658</v>
      </c>
      <c r="B3" t="s">
        <v>1898</v>
      </c>
    </row>
    <row r="4" spans="1:2">
      <c r="A4" s="9" t="s">
        <v>55</v>
      </c>
      <c r="B4" s="235">
        <v>0</v>
      </c>
    </row>
    <row r="5" spans="1:2">
      <c r="A5" s="9" t="s">
        <v>67</v>
      </c>
      <c r="B5" s="235">
        <v>0</v>
      </c>
    </row>
    <row r="6" spans="1:2">
      <c r="A6" s="9" t="s">
        <v>203</v>
      </c>
      <c r="B6" s="235">
        <v>0</v>
      </c>
    </row>
    <row r="7" spans="1:2">
      <c r="A7" s="9" t="s">
        <v>267</v>
      </c>
      <c r="B7" s="235">
        <v>0</v>
      </c>
    </row>
    <row r="8" spans="1:2">
      <c r="A8" s="9" t="s">
        <v>278</v>
      </c>
      <c r="B8" s="235">
        <v>0</v>
      </c>
    </row>
    <row r="9" spans="1:2">
      <c r="A9" s="9" t="s">
        <v>428</v>
      </c>
      <c r="B9" s="235">
        <v>0</v>
      </c>
    </row>
    <row r="10" spans="1:2">
      <c r="A10" s="9" t="s">
        <v>437</v>
      </c>
      <c r="B10" s="235">
        <v>0</v>
      </c>
    </row>
    <row r="11" spans="1:2">
      <c r="A11" s="9" t="s">
        <v>1653</v>
      </c>
      <c r="B11" s="235">
        <v>0</v>
      </c>
    </row>
  </sheetData>
  <pageMargins left="0.7" right="0.7" top="0.75" bottom="0.75" header="0.3" footer="0.3"/>
  <pageSetup paperSize="9" orientation="portrait" horizontalDpi="0" verticalDpi="0"/>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3:H17"/>
  <sheetViews>
    <sheetView workbookViewId="0">
      <selection activeCell="B7" sqref="B7"/>
    </sheetView>
  </sheetViews>
  <sheetFormatPr defaultColWidth="11.53515625" defaultRowHeight="15.5"/>
  <cols>
    <col min="1" max="1" width="16.84375" bestFit="1" customWidth="1"/>
    <col min="2" max="2" width="12.3828125" bestFit="1" customWidth="1"/>
    <col min="3" max="3" width="26.84375" bestFit="1" customWidth="1"/>
    <col min="4" max="4" width="26.53515625" bestFit="1" customWidth="1"/>
    <col min="5" max="5" width="37" bestFit="1" customWidth="1"/>
    <col min="6" max="6" width="11.15234375" customWidth="1"/>
    <col min="7" max="7" width="23.84375" bestFit="1" customWidth="1"/>
  </cols>
  <sheetData>
    <row r="3" spans="1:8">
      <c r="A3" s="8" t="s">
        <v>1658</v>
      </c>
      <c r="B3" t="s">
        <v>1899</v>
      </c>
      <c r="C3" t="s">
        <v>1900</v>
      </c>
      <c r="G3" t="s">
        <v>978</v>
      </c>
      <c r="H3">
        <f>GETPIVOTDATA("Приход ДТ, л ",$A$3)</f>
        <v>20000</v>
      </c>
    </row>
    <row r="4" spans="1:8">
      <c r="A4" s="536">
        <v>46130</v>
      </c>
      <c r="B4">
        <v>20000</v>
      </c>
      <c r="C4" t="e">
        <v>#NAME?</v>
      </c>
      <c r="G4" t="s">
        <v>1901</v>
      </c>
      <c r="H4" s="235" t="e">
        <f>GETPIVOTDATA("Приход ДТ, л ",$A$3)-GETPIVOTDATA("Фактический расход ДТ, л",$A$3)</f>
        <v>#REF!</v>
      </c>
    </row>
    <row r="5" spans="1:8">
      <c r="A5" s="536">
        <v>46131</v>
      </c>
      <c r="C5" t="e">
        <v>#NAME?</v>
      </c>
      <c r="G5" t="s">
        <v>1902</v>
      </c>
      <c r="H5" s="235" t="e">
        <f>H4/1000</f>
        <v>#REF!</v>
      </c>
    </row>
    <row r="6" spans="1:8">
      <c r="A6" s="536">
        <v>46135</v>
      </c>
      <c r="C6" t="e">
        <v>#NAME?</v>
      </c>
      <c r="G6" t="s">
        <v>1903</v>
      </c>
      <c r="H6" s="235" t="e">
        <f>GETPIVOTDATA("Фактический расход ДТ, л",$A$3)</f>
        <v>#REF!</v>
      </c>
    </row>
    <row r="7" spans="1:8" ht="34" customHeight="1">
      <c r="A7" s="536">
        <v>46136</v>
      </c>
      <c r="C7" t="e">
        <v>#NAME?</v>
      </c>
      <c r="G7" s="248" t="s">
        <v>1904</v>
      </c>
      <c r="H7" s="235" t="e">
        <f>GETPIVOTDATA("Расчётный расход ДТ, л",$A$3)</f>
        <v>#REF!</v>
      </c>
    </row>
    <row r="8" spans="1:8" ht="34" customHeight="1">
      <c r="A8" s="536">
        <v>46137</v>
      </c>
      <c r="C8" t="e">
        <v>#NAME?</v>
      </c>
      <c r="G8" s="248" t="s">
        <v>1905</v>
      </c>
      <c r="H8" s="235" t="e">
        <f>GETPIVOTDATA("Расхождение расходов ДТ, л",$A$3)</f>
        <v>#NAME?</v>
      </c>
    </row>
    <row r="9" spans="1:8">
      <c r="A9" s="536">
        <v>46132</v>
      </c>
      <c r="C9" t="e">
        <v>#NAME?</v>
      </c>
      <c r="G9" t="s">
        <v>1906</v>
      </c>
      <c r="H9" s="234" t="e">
        <f>H8/H6</f>
        <v>#NAME?</v>
      </c>
    </row>
    <row r="10" spans="1:8">
      <c r="A10" s="536">
        <v>46133</v>
      </c>
      <c r="C10" t="e">
        <v>#NAME?</v>
      </c>
    </row>
    <row r="11" spans="1:8">
      <c r="A11" s="536">
        <v>46134</v>
      </c>
      <c r="C11" t="e">
        <v>#NAME?</v>
      </c>
    </row>
    <row r="12" spans="1:8">
      <c r="A12" s="9" t="s">
        <v>1653</v>
      </c>
      <c r="B12">
        <v>20000</v>
      </c>
      <c r="C12" t="e">
        <v>#NAME?</v>
      </c>
    </row>
    <row r="14" spans="1:8" ht="17" customHeight="1">
      <c r="G14" s="248" t="s">
        <v>1907</v>
      </c>
      <c r="H14" s="233">
        <f>H3/1000</f>
        <v>20</v>
      </c>
    </row>
    <row r="15" spans="1:8">
      <c r="G15" t="s">
        <v>1908</v>
      </c>
      <c r="H15" s="235" t="e">
        <f>H4/1000</f>
        <v>#REF!</v>
      </c>
    </row>
    <row r="16" spans="1:8" ht="34" customHeight="1">
      <c r="G16" s="248" t="s">
        <v>1909</v>
      </c>
      <c r="H16" s="235" t="e">
        <f>H7/1000</f>
        <v>#REF!</v>
      </c>
    </row>
    <row r="17" spans="7:8" ht="17" customHeight="1">
      <c r="G17" s="248" t="s">
        <v>1910</v>
      </c>
      <c r="H17" s="235" t="e">
        <f>H8/1000</f>
        <v>#NAME?</v>
      </c>
    </row>
  </sheetData>
  <pageMargins left="0.7" right="0.7" top="0.75" bottom="0.75" header="0.3" footer="0.3"/>
  <pageSetup paperSize="9" orientation="portrait" horizontalDpi="0" verticalDpi="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32</vt:i4>
      </vt:variant>
      <vt:variant>
        <vt:lpstr>Именованные диапазоны</vt:lpstr>
      </vt:variant>
      <vt:variant>
        <vt:i4>4</vt:i4>
      </vt:variant>
    </vt:vector>
  </HeadingPairs>
  <TitlesOfParts>
    <vt:vector size="36" baseType="lpstr">
      <vt:lpstr>Планы работ</vt:lpstr>
      <vt:lpstr>0. Лист для печати</vt:lpstr>
      <vt:lpstr>1. Хронология работ</vt:lpstr>
      <vt:lpstr>2. Для заполнения</vt:lpstr>
      <vt:lpstr>3. Краткая сводка</vt:lpstr>
      <vt:lpstr>4. Учет ДТ</vt:lpstr>
      <vt:lpstr>5. Учет персонала</vt:lpstr>
      <vt:lpstr>Планирование</vt:lpstr>
      <vt:lpstr>Сводка</vt:lpstr>
      <vt:lpstr>Задание НВ</vt:lpstr>
      <vt:lpstr>Задание ДВ</vt:lpstr>
      <vt:lpstr>Данные для списков</vt:lpstr>
      <vt:lpstr>БВ по дням, сетевой по скв.</vt:lpstr>
      <vt:lpstr>Топ_НПВ_по_мес.</vt:lpstr>
      <vt:lpstr>БВ_по_скважинам</vt:lpstr>
      <vt:lpstr>Топ_НПВ_в_месяце</vt:lpstr>
      <vt:lpstr>Динамика_НПВ_ПНВ</vt:lpstr>
      <vt:lpstr>Скважины по порядку</vt:lpstr>
      <vt:lpstr>ПВ по суткам</vt:lpstr>
      <vt:lpstr>Свод СНВ ПНВ</vt:lpstr>
      <vt:lpstr>НПВ_по_отв.</vt:lpstr>
      <vt:lpstr>БВ_по_неделям</vt:lpstr>
      <vt:lpstr>БВ_по_дням</vt:lpstr>
      <vt:lpstr>БВ_общий</vt:lpstr>
      <vt:lpstr>Топ_НПВ_по_неделям</vt:lpstr>
      <vt:lpstr>БВ_вахт</vt:lpstr>
      <vt:lpstr>НПВ_по_группам</vt:lpstr>
      <vt:lpstr>КПВ_вахт</vt:lpstr>
      <vt:lpstr>Топ_ремонтов</vt:lpstr>
      <vt:lpstr>Топ_ПНВ</vt:lpstr>
      <vt:lpstr>Рейсовая_скорость</vt:lpstr>
      <vt:lpstr>Анализ ДТ</vt:lpstr>
      <vt:lpstr>'3. Краткая сводка'!Область_печати</vt:lpstr>
      <vt:lpstr>'Задание ДВ'!Область_печати</vt:lpstr>
      <vt:lpstr>'Задание НВ'!Область_печати</vt:lpstr>
      <vt:lpstr>Сводка!Область_печати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Nikita Kanukov</dc:creator>
  <cp:lastModifiedBy>Семён Балан</cp:lastModifiedBy>
  <cp:lastPrinted>2026-05-26T07:50:57Z</cp:lastPrinted>
  <dcterms:created xsi:type="dcterms:W3CDTF">2025-03-05T08:07:56Z</dcterms:created>
  <dcterms:modified xsi:type="dcterms:W3CDTF">2026-06-29T07:51:38Z</dcterms:modified>
</cp:coreProperties>
</file>