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dgap\2_semester\labs\lab_2_2_3\"/>
    </mc:Choice>
  </mc:AlternateContent>
  <xr:revisionPtr revIDLastSave="0" documentId="13_ncr:1_{4E13D9B2-B25E-4898-940B-4E08DBD3973C}" xr6:coauthVersionLast="47" xr6:coauthVersionMax="47" xr10:uidLastSave="{00000000-0000-0000-0000-000000000000}"/>
  <bookViews>
    <workbookView xWindow="28680" yWindow="-120" windowWidth="29040" windowHeight="15840" activeTab="1" xr2:uid="{420D9D5C-FD61-460B-8ED3-8AACA5E251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2" l="1"/>
  <c r="G65" i="2"/>
  <c r="G66" i="2"/>
  <c r="G67" i="2"/>
  <c r="G68" i="2"/>
  <c r="F71" i="2"/>
  <c r="F72" i="2"/>
  <c r="F73" i="2"/>
  <c r="F74" i="2"/>
  <c r="F75" i="2"/>
  <c r="F62" i="2"/>
  <c r="F59" i="2"/>
  <c r="F60" i="2"/>
  <c r="F61" i="2"/>
  <c r="F58" i="2"/>
  <c r="L52" i="2"/>
  <c r="L53" i="2"/>
  <c r="L54" i="2"/>
  <c r="L51" i="2"/>
  <c r="D54" i="2"/>
  <c r="D53" i="2"/>
  <c r="D52" i="2"/>
  <c r="D51" i="2"/>
  <c r="D41" i="2"/>
  <c r="D34" i="2"/>
  <c r="D32" i="2"/>
  <c r="D31" i="2"/>
  <c r="D30" i="2"/>
  <c r="D29" i="2"/>
  <c r="Z25" i="2"/>
  <c r="Z4" i="2"/>
  <c r="Z5" i="2"/>
  <c r="Z6" i="2"/>
  <c r="Z7" i="2"/>
  <c r="Z8" i="2"/>
  <c r="Z9" i="2"/>
  <c r="Z10" i="2"/>
  <c r="Z11" i="2"/>
  <c r="Z12" i="2"/>
  <c r="Z13" i="2"/>
  <c r="Z14" i="2"/>
  <c r="Z22" i="2" s="1"/>
  <c r="Z26" i="2" s="1"/>
  <c r="Z3" i="2"/>
  <c r="U4" i="2"/>
  <c r="U5" i="2"/>
  <c r="U6" i="2"/>
  <c r="U7" i="2"/>
  <c r="U8" i="2"/>
  <c r="U9" i="2"/>
  <c r="U10" i="2"/>
  <c r="U11" i="2"/>
  <c r="U12" i="2"/>
  <c r="U13" i="2"/>
  <c r="U3" i="2"/>
  <c r="P20" i="2"/>
  <c r="P4" i="2"/>
  <c r="P5" i="2"/>
  <c r="P6" i="2"/>
  <c r="P7" i="2"/>
  <c r="P8" i="2"/>
  <c r="P9" i="2"/>
  <c r="P10" i="2"/>
  <c r="P22" i="2" s="1"/>
  <c r="P25" i="2" s="1"/>
  <c r="P26" i="2" s="1"/>
  <c r="P11" i="2"/>
  <c r="P12" i="2"/>
  <c r="P13" i="2"/>
  <c r="P14" i="2"/>
  <c r="P15" i="2"/>
  <c r="P16" i="2"/>
  <c r="P17" i="2"/>
  <c r="P18" i="2"/>
  <c r="P19" i="2"/>
  <c r="P3" i="2"/>
  <c r="K25" i="2"/>
  <c r="K24" i="2"/>
  <c r="K4" i="2"/>
  <c r="K5" i="2"/>
  <c r="K6" i="2"/>
  <c r="K7" i="2"/>
  <c r="K8" i="2"/>
  <c r="K9" i="2"/>
  <c r="K10" i="2"/>
  <c r="K11" i="2"/>
  <c r="K12" i="2"/>
  <c r="K13" i="2"/>
  <c r="K14" i="2"/>
  <c r="K22" i="2" s="1"/>
  <c r="K15" i="2"/>
  <c r="K16" i="2"/>
  <c r="K17" i="2"/>
  <c r="K3" i="2"/>
  <c r="F16" i="2"/>
  <c r="F12" i="2"/>
  <c r="F8" i="2"/>
  <c r="F4" i="2"/>
  <c r="E4" i="2"/>
  <c r="F54" i="2"/>
  <c r="F53" i="2"/>
  <c r="F52" i="2"/>
  <c r="F51" i="2"/>
  <c r="G51" i="2" s="1"/>
  <c r="H51" i="2" s="1"/>
  <c r="G62" i="2"/>
  <c r="F65" i="2"/>
  <c r="F68" i="2" s="1"/>
  <c r="F66" i="2"/>
  <c r="F67" i="2"/>
  <c r="F64" i="2"/>
  <c r="J54" i="2"/>
  <c r="J53" i="2"/>
  <c r="J52" i="2"/>
  <c r="J51" i="2"/>
  <c r="I54" i="2"/>
  <c r="I53" i="2"/>
  <c r="I52" i="2"/>
  <c r="I51" i="2"/>
  <c r="G52" i="2"/>
  <c r="H52" i="2" s="1"/>
  <c r="L38" i="2"/>
  <c r="L39" i="2"/>
  <c r="K39" i="2"/>
  <c r="F32" i="2"/>
  <c r="F31" i="2"/>
  <c r="F30" i="2"/>
  <c r="F29" i="2"/>
  <c r="K45" i="2"/>
  <c r="I42" i="2"/>
  <c r="I40" i="2"/>
  <c r="I35" i="2"/>
  <c r="I36" i="2"/>
  <c r="I37" i="2"/>
  <c r="I34" i="2"/>
  <c r="G35" i="2"/>
  <c r="G36" i="2"/>
  <c r="G37" i="2"/>
  <c r="G38" i="2" s="1"/>
  <c r="G34" i="2"/>
  <c r="I44" i="2"/>
  <c r="I43" i="2"/>
  <c r="I41" i="2"/>
  <c r="I38" i="2"/>
  <c r="I46" i="2" s="1"/>
  <c r="AA23" i="2"/>
  <c r="V23" i="2"/>
  <c r="U22" i="2"/>
  <c r="U25" i="2" s="1"/>
  <c r="U26" i="2" s="1"/>
  <c r="Q23" i="2"/>
  <c r="L23" i="2"/>
  <c r="AA4" i="2"/>
  <c r="AA5" i="2"/>
  <c r="AA6" i="2"/>
  <c r="AA7" i="2"/>
  <c r="AA8" i="2"/>
  <c r="AA9" i="2"/>
  <c r="AA10" i="2"/>
  <c r="AA11" i="2"/>
  <c r="AA12" i="2"/>
  <c r="AA13" i="2"/>
  <c r="AA14" i="2"/>
  <c r="AA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3" i="2"/>
  <c r="V3" i="2"/>
  <c r="V4" i="2"/>
  <c r="V5" i="2"/>
  <c r="V6" i="2"/>
  <c r="V7" i="2"/>
  <c r="V8" i="2"/>
  <c r="V9" i="2"/>
  <c r="V10" i="2"/>
  <c r="V11" i="2"/>
  <c r="V12" i="2"/>
  <c r="V1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3" i="2"/>
  <c r="E16" i="2"/>
  <c r="E12" i="2"/>
  <c r="E8" i="2"/>
  <c r="AE64" i="1"/>
  <c r="AE63" i="1"/>
  <c r="AE62" i="1"/>
  <c r="AE61" i="1"/>
  <c r="AE59" i="1"/>
  <c r="AE58" i="1"/>
  <c r="AE57" i="1"/>
  <c r="AE60" i="1"/>
  <c r="AE65" i="1"/>
  <c r="AE66" i="1"/>
  <c r="AE67" i="1"/>
  <c r="AE68" i="1"/>
  <c r="AE69" i="1"/>
  <c r="AE70" i="1"/>
  <c r="AE71" i="1"/>
  <c r="AE72" i="1"/>
  <c r="AE73" i="1"/>
  <c r="AE74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V75" i="1"/>
  <c r="U75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V54" i="1"/>
  <c r="U54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G33" i="1"/>
  <c r="AF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V33" i="1"/>
  <c r="U33" i="1"/>
  <c r="Q92" i="1"/>
  <c r="Q91" i="1"/>
  <c r="Q90" i="1"/>
  <c r="Q89" i="1"/>
  <c r="Q88" i="1"/>
  <c r="Q87" i="1"/>
  <c r="T86" i="1"/>
  <c r="S86" i="1"/>
  <c r="Q86" i="1"/>
  <c r="T85" i="1"/>
  <c r="S85" i="1"/>
  <c r="Q85" i="1"/>
  <c r="T84" i="1"/>
  <c r="S84" i="1"/>
  <c r="Q84" i="1"/>
  <c r="T83" i="1"/>
  <c r="S83" i="1"/>
  <c r="Q83" i="1"/>
  <c r="T82" i="1"/>
  <c r="S82" i="1"/>
  <c r="Q82" i="1"/>
  <c r="T81" i="1"/>
  <c r="S81" i="1"/>
  <c r="Q81" i="1"/>
  <c r="T80" i="1"/>
  <c r="S80" i="1"/>
  <c r="Q80" i="1"/>
  <c r="T79" i="1"/>
  <c r="S79" i="1"/>
  <c r="Q79" i="1"/>
  <c r="T78" i="1"/>
  <c r="S78" i="1"/>
  <c r="Q78" i="1"/>
  <c r="T77" i="1"/>
  <c r="S77" i="1"/>
  <c r="Q77" i="1"/>
  <c r="T76" i="1"/>
  <c r="S76" i="1"/>
  <c r="Q76" i="1"/>
  <c r="T75" i="1"/>
  <c r="S75" i="1"/>
  <c r="Q75" i="1"/>
  <c r="T71" i="1"/>
  <c r="S71" i="1"/>
  <c r="Q71" i="1"/>
  <c r="T70" i="1"/>
  <c r="S70" i="1"/>
  <c r="Q70" i="1"/>
  <c r="T69" i="1"/>
  <c r="S69" i="1"/>
  <c r="Q69" i="1"/>
  <c r="T68" i="1"/>
  <c r="S68" i="1"/>
  <c r="Q68" i="1"/>
  <c r="T67" i="1"/>
  <c r="S67" i="1"/>
  <c r="Q67" i="1"/>
  <c r="T66" i="1"/>
  <c r="S66" i="1"/>
  <c r="Q66" i="1"/>
  <c r="T65" i="1"/>
  <c r="S65" i="1"/>
  <c r="Q65" i="1"/>
  <c r="T64" i="1"/>
  <c r="S64" i="1"/>
  <c r="Q64" i="1"/>
  <c r="T63" i="1"/>
  <c r="S63" i="1"/>
  <c r="Q63" i="1"/>
  <c r="T62" i="1"/>
  <c r="S62" i="1"/>
  <c r="Q62" i="1"/>
  <c r="T61" i="1"/>
  <c r="S61" i="1"/>
  <c r="Q61" i="1"/>
  <c r="T60" i="1"/>
  <c r="S60" i="1"/>
  <c r="Q60" i="1"/>
  <c r="T59" i="1"/>
  <c r="S59" i="1"/>
  <c r="Q59" i="1"/>
  <c r="T58" i="1"/>
  <c r="S58" i="1"/>
  <c r="Q58" i="1"/>
  <c r="T57" i="1"/>
  <c r="S57" i="1"/>
  <c r="Q57" i="1"/>
  <c r="T56" i="1"/>
  <c r="S56" i="1"/>
  <c r="Q56" i="1"/>
  <c r="T55" i="1"/>
  <c r="S55" i="1"/>
  <c r="Q55" i="1"/>
  <c r="T54" i="1"/>
  <c r="S54" i="1"/>
  <c r="Q54" i="1"/>
  <c r="AD50" i="1"/>
  <c r="AE50" i="1"/>
  <c r="AB50" i="1"/>
  <c r="AD49" i="1"/>
  <c r="AE49" i="1"/>
  <c r="AB49" i="1"/>
  <c r="AD48" i="1"/>
  <c r="AE48" i="1"/>
  <c r="AB48" i="1"/>
  <c r="AE47" i="1"/>
  <c r="AD47" i="1"/>
  <c r="AB47" i="1"/>
  <c r="AE46" i="1"/>
  <c r="AD46" i="1"/>
  <c r="AB46" i="1"/>
  <c r="AE45" i="1"/>
  <c r="AD45" i="1"/>
  <c r="AB45" i="1"/>
  <c r="AE44" i="1"/>
  <c r="AD44" i="1"/>
  <c r="AB44" i="1"/>
  <c r="AE43" i="1"/>
  <c r="AD43" i="1"/>
  <c r="AB43" i="1"/>
  <c r="AE42" i="1"/>
  <c r="AD42" i="1"/>
  <c r="AB42" i="1"/>
  <c r="AE41" i="1"/>
  <c r="AD41" i="1"/>
  <c r="AB41" i="1"/>
  <c r="AE40" i="1"/>
  <c r="AD40" i="1"/>
  <c r="AB40" i="1"/>
  <c r="AE39" i="1"/>
  <c r="AD39" i="1"/>
  <c r="AB39" i="1"/>
  <c r="AE38" i="1"/>
  <c r="AD38" i="1"/>
  <c r="AB38" i="1"/>
  <c r="AE37" i="1"/>
  <c r="AD37" i="1"/>
  <c r="AB37" i="1"/>
  <c r="AE36" i="1"/>
  <c r="AD36" i="1"/>
  <c r="AB36" i="1"/>
  <c r="AE35" i="1"/>
  <c r="AD35" i="1"/>
  <c r="AB35" i="1"/>
  <c r="AE34" i="1"/>
  <c r="AD34" i="1"/>
  <c r="AB34" i="1"/>
  <c r="AE33" i="1"/>
  <c r="AD33" i="1"/>
  <c r="AB33" i="1"/>
  <c r="S47" i="1"/>
  <c r="T47" i="1"/>
  <c r="Q47" i="1"/>
  <c r="S46" i="1"/>
  <c r="T46" i="1"/>
  <c r="Q46" i="1"/>
  <c r="S45" i="1"/>
  <c r="T45" i="1"/>
  <c r="Q45" i="1"/>
  <c r="S44" i="1"/>
  <c r="T44" i="1"/>
  <c r="Q44" i="1"/>
  <c r="S43" i="1"/>
  <c r="T43" i="1"/>
  <c r="Q43" i="1"/>
  <c r="Q42" i="1"/>
  <c r="Q41" i="1"/>
  <c r="Q40" i="1"/>
  <c r="Q39" i="1"/>
  <c r="Q38" i="1"/>
  <c r="Q37" i="1"/>
  <c r="Q36" i="1"/>
  <c r="Q35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Q34" i="1"/>
  <c r="T33" i="1"/>
  <c r="S33" i="1"/>
  <c r="Q33" i="1"/>
  <c r="U30" i="1"/>
  <c r="T30" i="1"/>
  <c r="Q30" i="1"/>
  <c r="U29" i="1"/>
  <c r="T29" i="1"/>
  <c r="Q29" i="1"/>
  <c r="U28" i="1"/>
  <c r="T28" i="1"/>
  <c r="Q28" i="1"/>
  <c r="U27" i="1"/>
  <c r="T27" i="1"/>
  <c r="Q27" i="1"/>
  <c r="U26" i="1"/>
  <c r="T26" i="1"/>
  <c r="Q26" i="1"/>
  <c r="U25" i="1"/>
  <c r="T25" i="1"/>
  <c r="Q25" i="1"/>
  <c r="U24" i="1"/>
  <c r="T24" i="1"/>
  <c r="Q24" i="1"/>
  <c r="U23" i="1"/>
  <c r="T23" i="1"/>
  <c r="Q23" i="1"/>
  <c r="U22" i="1"/>
  <c r="T22" i="1"/>
  <c r="Q22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B14" i="1"/>
  <c r="AB13" i="1"/>
  <c r="AB12" i="1"/>
  <c r="AB11" i="1"/>
  <c r="AB10" i="1"/>
  <c r="AB9" i="1"/>
  <c r="AB8" i="1"/>
  <c r="AB7" i="1"/>
  <c r="AB6" i="1"/>
  <c r="AB5" i="1"/>
  <c r="AB4" i="1"/>
  <c r="AB3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3" i="1"/>
  <c r="B17" i="1"/>
  <c r="B18" i="1" s="1"/>
  <c r="B19" i="1" s="1"/>
  <c r="B14" i="1"/>
  <c r="B15" i="1"/>
  <c r="B13" i="1"/>
  <c r="B12" i="1"/>
  <c r="K26" i="2" l="1"/>
  <c r="G53" i="2"/>
  <c r="H53" i="2" s="1"/>
  <c r="G54" i="2"/>
  <c r="H54" i="2" s="1"/>
  <c r="K38" i="2"/>
  <c r="K44" i="2" s="1"/>
  <c r="I64" i="2" l="1"/>
  <c r="I66" i="2" l="1"/>
  <c r="I69" i="2" s="1"/>
  <c r="I68" i="2"/>
</calcChain>
</file>

<file path=xl/sharedStrings.xml><?xml version="1.0" encoding="utf-8"?>
<sst xmlns="http://schemas.openxmlformats.org/spreadsheetml/2006/main" count="235" uniqueCount="63">
  <si>
    <t>P_atm.</t>
  </si>
  <si>
    <t>kPa</t>
  </si>
  <si>
    <t>T_atm</t>
  </si>
  <si>
    <t>C</t>
  </si>
  <si>
    <t>Start</t>
  </si>
  <si>
    <t>Finish</t>
  </si>
  <si>
    <t>T (С)</t>
  </si>
  <si>
    <t>Voltmeter</t>
  </si>
  <si>
    <t>mV</t>
  </si>
  <si>
    <t>mA</t>
  </si>
  <si>
    <t>5Pmax</t>
  </si>
  <si>
    <t>Pmax</t>
  </si>
  <si>
    <t>Imax</t>
  </si>
  <si>
    <t>A</t>
  </si>
  <si>
    <t>W</t>
  </si>
  <si>
    <t>n</t>
  </si>
  <si>
    <t>I(mA)</t>
  </si>
  <si>
    <t>V(mV)</t>
  </si>
  <si>
    <t>V_src (источник), V</t>
  </si>
  <si>
    <t>R_магазин, Ом</t>
  </si>
  <si>
    <t>R_м Ом</t>
  </si>
  <si>
    <t>T=23.5</t>
  </si>
  <si>
    <t>I^2</t>
  </si>
  <si>
    <t>R, Ом</t>
  </si>
  <si>
    <t>Q=UI</t>
  </si>
  <si>
    <t>T=32.5</t>
  </si>
  <si>
    <t>T=41.5</t>
  </si>
  <si>
    <t>T=50.5</t>
  </si>
  <si>
    <t>T=59.5</t>
  </si>
  <si>
    <t>Явление переноса в газах</t>
  </si>
  <si>
    <t>Коэфф. Теплопроводности газа</t>
  </si>
  <si>
    <t>Откуда логарифм? Теплопроводность</t>
  </si>
  <si>
    <t>T=68.5</t>
  </si>
  <si>
    <t>Q</t>
  </si>
  <si>
    <t>R</t>
  </si>
  <si>
    <t>ex</t>
  </si>
  <si>
    <t>ey</t>
  </si>
  <si>
    <t>label</t>
  </si>
  <si>
    <t>a</t>
  </si>
  <si>
    <t>k</t>
  </si>
  <si>
    <t>x1</t>
  </si>
  <si>
    <t>x2</t>
  </si>
  <si>
    <t>Q^2</t>
  </si>
  <si>
    <t>R^2</t>
  </si>
  <si>
    <t>&lt;x^2&gt;</t>
  </si>
  <si>
    <t>&lt;y^2&gt;</t>
  </si>
  <si>
    <t>sigma k</t>
  </si>
  <si>
    <t>sigma b</t>
  </si>
  <si>
    <t>T</t>
  </si>
  <si>
    <t>&lt;xy&gt;</t>
  </si>
  <si>
    <t>sigma</t>
  </si>
  <si>
    <t>b</t>
  </si>
  <si>
    <t>k1</t>
  </si>
  <si>
    <t>k2</t>
  </si>
  <si>
    <t>k3</t>
  </si>
  <si>
    <t>k4</t>
  </si>
  <si>
    <t>ln K</t>
  </si>
  <si>
    <t>ln T</t>
  </si>
  <si>
    <t>xy</t>
  </si>
  <si>
    <t>x^2</t>
  </si>
  <si>
    <t>sigma a</t>
  </si>
  <si>
    <t>sigma K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</si>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</sst>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0000000000000000000"/>
    <numFmt numFmtId="171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 wrapText="1"/>
    </xf>
    <xf numFmtId="168" fontId="0" fillId="0" borderId="5" xfId="0" applyNumberFormat="1" applyBorder="1" applyAlignment="1">
      <alignment horizontal="center" vertical="center" wrapText="1"/>
    </xf>
    <xf numFmtId="168" fontId="0" fillId="0" borderId="0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9" fontId="0" fillId="0" borderId="0" xfId="0" applyNumberFormat="1"/>
    <xf numFmtId="11" fontId="0" fillId="0" borderId="0" xfId="0" applyNumberFormat="1"/>
    <xf numFmtId="171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AA42-9620-4769-9C48-0FF2FCA09028}">
  <dimension ref="A2:AH92"/>
  <sheetViews>
    <sheetView topLeftCell="A49" zoomScale="115" zoomScaleNormal="115" workbookViewId="0">
      <selection activeCell="T86" sqref="T86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5" width="8.85546875" style="1"/>
    <col min="6" max="11" width="9.28515625" style="2" customWidth="1"/>
    <col min="12" max="13" width="8.85546875" style="1"/>
    <col min="14" max="16" width="9.28515625" style="1" bestFit="1" customWidth="1"/>
    <col min="17" max="17" width="11.7109375" style="1" bestFit="1" customWidth="1"/>
    <col min="18" max="18" width="10.5703125" style="1" bestFit="1" customWidth="1"/>
    <col min="19" max="19" width="11.85546875" style="1" customWidth="1"/>
    <col min="20" max="20" width="16.28515625" style="1" bestFit="1" customWidth="1"/>
    <col min="21" max="21" width="13" style="1" bestFit="1" customWidth="1"/>
    <col min="22" max="22" width="13" style="1" customWidth="1"/>
    <col min="23" max="24" width="8.85546875" style="1"/>
    <col min="25" max="27" width="9.140625" style="1" bestFit="1" customWidth="1"/>
    <col min="28" max="28" width="9.28515625" style="1" bestFit="1" customWidth="1"/>
    <col min="29" max="29" width="10.5703125" style="1" bestFit="1" customWidth="1"/>
    <col min="30" max="30" width="20.85546875" style="1" bestFit="1" customWidth="1"/>
    <col min="31" max="31" width="12.42578125" style="1" bestFit="1" customWidth="1"/>
    <col min="32" max="16384" width="8.85546875" style="1"/>
  </cols>
  <sheetData>
    <row r="2" spans="1:31" ht="45" x14ac:dyDescent="0.25">
      <c r="A2" s="1" t="s">
        <v>4</v>
      </c>
      <c r="B2" s="1" t="s">
        <v>0</v>
      </c>
      <c r="C2" s="1">
        <v>96.73</v>
      </c>
      <c r="D2" s="1" t="s">
        <v>1</v>
      </c>
      <c r="F2" s="2" t="s">
        <v>15</v>
      </c>
      <c r="G2" s="2" t="s">
        <v>6</v>
      </c>
      <c r="H2" s="2" t="s">
        <v>16</v>
      </c>
      <c r="I2" s="2" t="s">
        <v>17</v>
      </c>
      <c r="J2" s="2" t="s">
        <v>18</v>
      </c>
      <c r="K2" s="2" t="s">
        <v>19</v>
      </c>
      <c r="M2" s="2" t="s">
        <v>21</v>
      </c>
      <c r="N2" s="2" t="s">
        <v>15</v>
      </c>
      <c r="O2" s="2" t="s">
        <v>20</v>
      </c>
      <c r="P2" s="2" t="s">
        <v>16</v>
      </c>
      <c r="Q2" s="2" t="s">
        <v>22</v>
      </c>
      <c r="R2" s="2" t="s">
        <v>17</v>
      </c>
      <c r="S2" s="2"/>
      <c r="T2" s="2" t="s">
        <v>24</v>
      </c>
      <c r="U2" s="2" t="s">
        <v>23</v>
      </c>
      <c r="V2" s="2"/>
      <c r="X2" s="2" t="s">
        <v>25</v>
      </c>
      <c r="Y2" s="2" t="s">
        <v>15</v>
      </c>
      <c r="Z2" s="2" t="s">
        <v>20</v>
      </c>
      <c r="AA2" s="2" t="s">
        <v>16</v>
      </c>
      <c r="AB2" s="2" t="s">
        <v>22</v>
      </c>
      <c r="AC2" s="2" t="s">
        <v>17</v>
      </c>
      <c r="AD2" s="2" t="s">
        <v>24</v>
      </c>
      <c r="AE2" s="2" t="s">
        <v>23</v>
      </c>
    </row>
    <row r="3" spans="1:31" x14ac:dyDescent="0.25">
      <c r="B3" s="1" t="s">
        <v>2</v>
      </c>
      <c r="C3" s="1">
        <v>24.2</v>
      </c>
      <c r="D3" s="1" t="s">
        <v>3</v>
      </c>
      <c r="F3" s="2">
        <v>1</v>
      </c>
      <c r="G3" s="2">
        <v>23.5</v>
      </c>
      <c r="H3" s="1">
        <v>0.1023</v>
      </c>
      <c r="I3" s="1">
        <v>2.129</v>
      </c>
      <c r="J3" s="2">
        <v>4.0999999999999996</v>
      </c>
      <c r="K3" s="2">
        <v>40000</v>
      </c>
      <c r="N3" s="1">
        <v>1</v>
      </c>
      <c r="O3" s="1">
        <v>90000</v>
      </c>
      <c r="P3" s="2">
        <v>4.53E-2</v>
      </c>
      <c r="Q3" s="2">
        <f>P3^2</f>
        <v>2.0520899999999999E-3</v>
      </c>
      <c r="R3" s="2">
        <v>0.94899999999999995</v>
      </c>
      <c r="S3" s="2"/>
      <c r="T3" s="2">
        <f>R3*P3</f>
        <v>4.2989699999999999E-2</v>
      </c>
      <c r="U3" s="2">
        <f>R3/P3</f>
        <v>20.949227373068432</v>
      </c>
      <c r="V3" s="2"/>
      <c r="Y3" s="1">
        <v>1</v>
      </c>
      <c r="Z3" s="1">
        <v>40000</v>
      </c>
      <c r="AA3" s="2">
        <v>0.1022</v>
      </c>
      <c r="AB3" s="2">
        <f>AA3^2</f>
        <v>1.044484E-2</v>
      </c>
      <c r="AC3" s="2">
        <v>2.1880000000000002</v>
      </c>
      <c r="AD3" s="2">
        <f>AC3*AA3</f>
        <v>0.22361360000000002</v>
      </c>
      <c r="AE3" s="2">
        <f>AC3/AA3</f>
        <v>21.409001956947165</v>
      </c>
    </row>
    <row r="4" spans="1:31" x14ac:dyDescent="0.25">
      <c r="F4" s="2">
        <v>2</v>
      </c>
      <c r="G4" s="2">
        <v>32.5</v>
      </c>
      <c r="H4" s="2">
        <v>0.1022</v>
      </c>
      <c r="I4" s="2">
        <v>2.1880000000000002</v>
      </c>
      <c r="J4" s="2">
        <v>4.0999999999999996</v>
      </c>
      <c r="K4" s="2">
        <v>40000</v>
      </c>
      <c r="N4" s="1">
        <v>2</v>
      </c>
      <c r="O4" s="1">
        <v>80000</v>
      </c>
      <c r="P4" s="1">
        <v>5.11E-2</v>
      </c>
      <c r="Q4" s="2">
        <f>P4^2</f>
        <v>2.6112100000000001E-3</v>
      </c>
      <c r="R4" s="1">
        <v>1.069</v>
      </c>
      <c r="T4" s="2">
        <f>R4*P4</f>
        <v>5.4625899999999998E-2</v>
      </c>
      <c r="U4" s="2">
        <f t="shared" ref="U4:U19" si="0">R4/P4</f>
        <v>20.919765166340508</v>
      </c>
      <c r="V4" s="2"/>
      <c r="Y4" s="1">
        <v>2</v>
      </c>
      <c r="Z4" s="1">
        <v>25000</v>
      </c>
      <c r="AA4" s="1">
        <v>0.1636</v>
      </c>
      <c r="AB4" s="2">
        <f>AA4^2</f>
        <v>2.6764959999999997E-2</v>
      </c>
      <c r="AC4" s="1">
        <v>3.5030000000000001</v>
      </c>
      <c r="AD4" s="2">
        <f>AC4*AA4</f>
        <v>0.57309080000000001</v>
      </c>
      <c r="AE4" s="2">
        <f t="shared" ref="AE4:AE14" si="1">AC4/AA4</f>
        <v>21.4119804400978</v>
      </c>
    </row>
    <row r="5" spans="1:31" x14ac:dyDescent="0.25">
      <c r="A5" s="1" t="s">
        <v>5</v>
      </c>
      <c r="B5" s="1" t="s">
        <v>0</v>
      </c>
      <c r="D5" s="1" t="s">
        <v>1</v>
      </c>
      <c r="F5" s="2">
        <v>3</v>
      </c>
      <c r="J5" s="2">
        <v>4.0999999999999996</v>
      </c>
      <c r="K5" s="2">
        <v>40000</v>
      </c>
      <c r="N5" s="1">
        <v>3</v>
      </c>
      <c r="O5" s="1">
        <v>70000</v>
      </c>
      <c r="P5" s="1">
        <v>5.8400000000000001E-2</v>
      </c>
      <c r="Q5" s="2">
        <f t="shared" ref="Q5:Q19" si="2">P5^2</f>
        <v>3.41056E-3</v>
      </c>
      <c r="R5" s="1">
        <v>1.22</v>
      </c>
      <c r="T5" s="2">
        <f>R5*P5</f>
        <v>7.1248000000000006E-2</v>
      </c>
      <c r="U5" s="2">
        <f t="shared" si="0"/>
        <v>20.890410958904109</v>
      </c>
      <c r="V5" s="2"/>
      <c r="Y5" s="1">
        <v>3</v>
      </c>
      <c r="Z5" s="1">
        <v>20000</v>
      </c>
      <c r="AA5" s="1">
        <v>0.2044</v>
      </c>
      <c r="AB5" s="2">
        <f t="shared" ref="AB5:AB14" si="3">AA5^2</f>
        <v>4.1779360000000001E-2</v>
      </c>
      <c r="AC5" s="1">
        <v>4.3789999999999996</v>
      </c>
      <c r="AD5" s="2">
        <f>AC5*AA5</f>
        <v>0.89506759999999985</v>
      </c>
      <c r="AE5" s="2">
        <f t="shared" si="1"/>
        <v>21.423679060665361</v>
      </c>
    </row>
    <row r="6" spans="1:31" x14ac:dyDescent="0.25">
      <c r="B6" s="1" t="s">
        <v>2</v>
      </c>
      <c r="D6" s="1" t="s">
        <v>3</v>
      </c>
      <c r="F6" s="2">
        <v>4</v>
      </c>
      <c r="J6" s="2">
        <v>4.0999999999999996</v>
      </c>
      <c r="K6" s="2">
        <v>40000</v>
      </c>
      <c r="N6" s="1">
        <v>4</v>
      </c>
      <c r="O6" s="1">
        <v>65000</v>
      </c>
      <c r="P6" s="1">
        <v>6.2899999999999998E-2</v>
      </c>
      <c r="Q6" s="2">
        <f t="shared" si="2"/>
        <v>3.9564099999999996E-3</v>
      </c>
      <c r="R6" s="1">
        <v>1.3127</v>
      </c>
      <c r="T6" s="2">
        <f t="shared" ref="T6:T19" si="4">R6*P6</f>
        <v>8.2568829999999996E-2</v>
      </c>
      <c r="U6" s="2">
        <f t="shared" si="0"/>
        <v>20.869634340222575</v>
      </c>
      <c r="V6" s="2"/>
      <c r="Y6" s="1">
        <v>4</v>
      </c>
      <c r="Z6" s="1">
        <v>17000</v>
      </c>
      <c r="AA6" s="1">
        <v>0.24049999999999999</v>
      </c>
      <c r="AB6" s="2">
        <f t="shared" si="3"/>
        <v>5.7840249999999996E-2</v>
      </c>
      <c r="AC6" s="1">
        <v>5.1520000000000001</v>
      </c>
      <c r="AD6" s="2">
        <f t="shared" ref="AD6:AD14" si="5">AC6*AA6</f>
        <v>1.2390559999999999</v>
      </c>
      <c r="AE6" s="2">
        <f t="shared" si="1"/>
        <v>21.422037422037423</v>
      </c>
    </row>
    <row r="7" spans="1:31" x14ac:dyDescent="0.25">
      <c r="F7" s="2">
        <v>5</v>
      </c>
      <c r="J7" s="2">
        <v>4.0999999999999996</v>
      </c>
      <c r="K7" s="2">
        <v>40000</v>
      </c>
      <c r="N7" s="1">
        <v>5</v>
      </c>
      <c r="O7" s="1">
        <v>60000</v>
      </c>
      <c r="P7" s="1">
        <v>6.8099999999999994E-2</v>
      </c>
      <c r="Q7" s="2">
        <f t="shared" si="2"/>
        <v>4.6376099999999995E-3</v>
      </c>
      <c r="R7" s="1">
        <v>1.4219999999999999</v>
      </c>
      <c r="T7" s="2">
        <f t="shared" si="4"/>
        <v>9.6838199999999985E-2</v>
      </c>
      <c r="U7" s="2">
        <f t="shared" si="0"/>
        <v>20.881057268722468</v>
      </c>
      <c r="V7" s="2"/>
      <c r="Y7" s="1">
        <v>5</v>
      </c>
      <c r="Z7" s="1">
        <v>15000</v>
      </c>
      <c r="AA7" s="1">
        <v>0.27250000000000002</v>
      </c>
      <c r="AB7" s="2">
        <f t="shared" si="3"/>
        <v>7.425625000000001E-2</v>
      </c>
      <c r="AC7" s="1">
        <v>5.8419999999999996</v>
      </c>
      <c r="AD7" s="2">
        <f t="shared" si="5"/>
        <v>1.5919449999999999</v>
      </c>
      <c r="AE7" s="2">
        <f t="shared" si="1"/>
        <v>21.438532110091739</v>
      </c>
    </row>
    <row r="8" spans="1:31" x14ac:dyDescent="0.25">
      <c r="F8" s="2">
        <v>6</v>
      </c>
      <c r="J8" s="2">
        <v>4.0999999999999996</v>
      </c>
      <c r="K8" s="2">
        <v>40000</v>
      </c>
      <c r="N8" s="1">
        <v>6</v>
      </c>
      <c r="O8" s="1">
        <v>55000</v>
      </c>
      <c r="P8" s="1">
        <v>7.4300000000000005E-2</v>
      </c>
      <c r="Q8" s="2">
        <f t="shared" si="2"/>
        <v>5.5204900000000012E-3</v>
      </c>
      <c r="R8" s="1">
        <v>1.55</v>
      </c>
      <c r="T8" s="2">
        <f t="shared" si="4"/>
        <v>0.11516500000000002</v>
      </c>
      <c r="U8" s="2">
        <f t="shared" si="0"/>
        <v>20.861372812920592</v>
      </c>
      <c r="V8" s="2"/>
      <c r="Y8" s="1">
        <v>6</v>
      </c>
      <c r="Z8" s="1">
        <v>14000</v>
      </c>
      <c r="AA8" s="1">
        <v>0.29189999999999999</v>
      </c>
      <c r="AB8" s="2">
        <f t="shared" si="3"/>
        <v>8.5205610000000001E-2</v>
      </c>
      <c r="AC8" s="1">
        <v>6.2569999999999997</v>
      </c>
      <c r="AD8" s="2">
        <f t="shared" si="5"/>
        <v>1.8264182999999998</v>
      </c>
      <c r="AE8" s="2">
        <f t="shared" si="1"/>
        <v>21.435423090099349</v>
      </c>
    </row>
    <row r="9" spans="1:31" x14ac:dyDescent="0.25">
      <c r="B9" s="1" t="s">
        <v>7</v>
      </c>
      <c r="F9" s="2">
        <v>7</v>
      </c>
      <c r="J9" s="2">
        <v>4.0999999999999996</v>
      </c>
      <c r="K9" s="2">
        <v>40000</v>
      </c>
      <c r="N9" s="1">
        <v>7</v>
      </c>
      <c r="O9" s="1">
        <v>50000</v>
      </c>
      <c r="P9" s="1">
        <v>8.1799999999999998E-2</v>
      </c>
      <c r="Q9" s="2">
        <f t="shared" si="2"/>
        <v>6.6912399999999993E-3</v>
      </c>
      <c r="R9" s="1">
        <v>1.704</v>
      </c>
      <c r="T9" s="2">
        <f t="shared" si="4"/>
        <v>0.13938719999999999</v>
      </c>
      <c r="U9" s="2">
        <f t="shared" si="0"/>
        <v>20.831295843520781</v>
      </c>
      <c r="V9" s="2"/>
      <c r="Y9" s="1">
        <v>7</v>
      </c>
      <c r="Z9" s="1">
        <v>13000</v>
      </c>
      <c r="AA9" s="1">
        <v>0.31430000000000002</v>
      </c>
      <c r="AB9" s="2">
        <f t="shared" si="3"/>
        <v>9.8784490000000016E-2</v>
      </c>
      <c r="AC9" s="1">
        <v>6.7370000000000001</v>
      </c>
      <c r="AD9" s="2">
        <f t="shared" si="5"/>
        <v>2.1174391000000004</v>
      </c>
      <c r="AE9" s="2">
        <f t="shared" si="1"/>
        <v>21.434934775692014</v>
      </c>
    </row>
    <row r="10" spans="1:31" x14ac:dyDescent="0.25">
      <c r="B10" s="1">
        <v>0.95</v>
      </c>
      <c r="C10" s="1" t="s">
        <v>8</v>
      </c>
      <c r="F10" s="2">
        <v>8</v>
      </c>
      <c r="J10" s="2">
        <v>4.0999999999999996</v>
      </c>
      <c r="K10" s="2">
        <v>40000</v>
      </c>
      <c r="N10" s="1">
        <v>8</v>
      </c>
      <c r="O10" s="1">
        <v>45000</v>
      </c>
      <c r="P10" s="1">
        <v>9.0899999999999995E-2</v>
      </c>
      <c r="Q10" s="2">
        <f t="shared" si="2"/>
        <v>8.2628099999999989E-3</v>
      </c>
      <c r="R10" s="1">
        <v>1.8939999999999999</v>
      </c>
      <c r="T10" s="2">
        <f t="shared" si="4"/>
        <v>0.17216459999999997</v>
      </c>
      <c r="U10" s="2">
        <f t="shared" si="0"/>
        <v>20.836083608360838</v>
      </c>
      <c r="V10" s="2"/>
      <c r="Y10" s="1">
        <v>8</v>
      </c>
      <c r="Z10" s="1">
        <v>12000</v>
      </c>
      <c r="AA10" s="1">
        <v>0.34050000000000002</v>
      </c>
      <c r="AB10" s="2">
        <f t="shared" si="3"/>
        <v>0.11594025000000002</v>
      </c>
      <c r="AC10" s="1">
        <v>7.3</v>
      </c>
      <c r="AD10" s="2">
        <f t="shared" si="5"/>
        <v>2.4856500000000001</v>
      </c>
      <c r="AE10" s="2">
        <f t="shared" si="1"/>
        <v>21.439060205580027</v>
      </c>
    </row>
    <row r="11" spans="1:31" x14ac:dyDescent="0.25">
      <c r="B11" s="1">
        <v>4.4999999999999998E-2</v>
      </c>
      <c r="C11" s="1" t="s">
        <v>9</v>
      </c>
      <c r="F11" s="2">
        <v>9</v>
      </c>
      <c r="J11" s="2">
        <v>4.0999999999999996</v>
      </c>
      <c r="K11" s="2">
        <v>40000</v>
      </c>
      <c r="N11" s="1">
        <v>9</v>
      </c>
      <c r="O11" s="1">
        <v>40000</v>
      </c>
      <c r="P11" s="3">
        <v>0.1023</v>
      </c>
      <c r="Q11" s="4">
        <f t="shared" si="2"/>
        <v>1.046529E-2</v>
      </c>
      <c r="R11" s="1">
        <v>2.129</v>
      </c>
      <c r="T11" s="2">
        <f t="shared" si="4"/>
        <v>0.21779670000000001</v>
      </c>
      <c r="U11" s="2">
        <f t="shared" si="0"/>
        <v>20.811339198435974</v>
      </c>
      <c r="V11" s="2"/>
      <c r="Y11" s="1">
        <v>9</v>
      </c>
      <c r="Z11" s="1">
        <v>11500</v>
      </c>
      <c r="AA11" s="1">
        <v>0.3553</v>
      </c>
      <c r="AB11" s="4">
        <f t="shared" si="3"/>
        <v>0.12623809</v>
      </c>
      <c r="AC11" s="1">
        <v>7.6180000000000003</v>
      </c>
      <c r="AD11" s="2">
        <f t="shared" si="5"/>
        <v>2.7066754</v>
      </c>
      <c r="AE11" s="2">
        <f t="shared" si="1"/>
        <v>21.441035744441319</v>
      </c>
    </row>
    <row r="12" spans="1:31" x14ac:dyDescent="0.25">
      <c r="B12" s="1">
        <f>B10/B11</f>
        <v>21.111111111111111</v>
      </c>
      <c r="F12" s="2">
        <v>10</v>
      </c>
      <c r="J12" s="2">
        <v>4.0999999999999996</v>
      </c>
      <c r="K12" s="2">
        <v>40000</v>
      </c>
      <c r="N12" s="1">
        <v>10</v>
      </c>
      <c r="O12" s="1">
        <v>30000</v>
      </c>
      <c r="P12" s="1">
        <v>0.1363</v>
      </c>
      <c r="Q12" s="2">
        <f t="shared" si="2"/>
        <v>1.8577690000000001E-2</v>
      </c>
      <c r="R12" s="1">
        <v>2.8359999999999999</v>
      </c>
      <c r="T12" s="2">
        <f t="shared" si="4"/>
        <v>0.38654679999999997</v>
      </c>
      <c r="U12" s="2">
        <f t="shared" si="0"/>
        <v>20.807043286867202</v>
      </c>
      <c r="V12" s="2"/>
      <c r="Y12" s="1">
        <v>10</v>
      </c>
      <c r="Z12" s="1">
        <v>11000</v>
      </c>
      <c r="AA12" s="1">
        <v>0.37140000000000001</v>
      </c>
      <c r="AB12" s="2">
        <f t="shared" si="3"/>
        <v>0.13793796</v>
      </c>
      <c r="AC12" s="1">
        <v>7.9630000000000001</v>
      </c>
      <c r="AD12" s="2">
        <f t="shared" si="5"/>
        <v>2.9574582</v>
      </c>
      <c r="AE12" s="2">
        <f t="shared" si="1"/>
        <v>21.440495422724826</v>
      </c>
    </row>
    <row r="13" spans="1:31" x14ac:dyDescent="0.25">
      <c r="B13" s="1">
        <f>4.1/90000</f>
        <v>4.5555555555555552E-5</v>
      </c>
      <c r="N13" s="1">
        <v>11</v>
      </c>
      <c r="O13" s="1">
        <v>25000</v>
      </c>
      <c r="P13" s="1">
        <v>0.1636</v>
      </c>
      <c r="Q13" s="5">
        <f t="shared" si="2"/>
        <v>2.6764959999999997E-2</v>
      </c>
      <c r="R13" s="1">
        <v>3.4039999999999999</v>
      </c>
      <c r="T13" s="2">
        <f t="shared" si="4"/>
        <v>0.55689440000000001</v>
      </c>
      <c r="U13" s="2">
        <f t="shared" si="0"/>
        <v>20.806845965770172</v>
      </c>
      <c r="V13" s="2"/>
      <c r="Y13" s="1">
        <v>11</v>
      </c>
      <c r="Z13" s="1">
        <v>10500</v>
      </c>
      <c r="AA13" s="1">
        <v>0.38900000000000001</v>
      </c>
      <c r="AB13" s="5">
        <f t="shared" si="3"/>
        <v>0.15132100000000001</v>
      </c>
      <c r="AC13" s="1">
        <v>8.3420000000000005</v>
      </c>
      <c r="AD13" s="2">
        <f t="shared" si="5"/>
        <v>3.2450380000000001</v>
      </c>
      <c r="AE13" s="2">
        <f t="shared" si="1"/>
        <v>21.444730077120823</v>
      </c>
    </row>
    <row r="14" spans="1:31" x14ac:dyDescent="0.25">
      <c r="B14" s="1">
        <f>6.28*30*0.4*0.025/5</f>
        <v>0.37680000000000002</v>
      </c>
      <c r="N14" s="1">
        <v>12</v>
      </c>
      <c r="O14" s="1">
        <v>20000</v>
      </c>
      <c r="P14" s="1">
        <v>0.20449999999999999</v>
      </c>
      <c r="Q14" s="4">
        <f t="shared" si="2"/>
        <v>4.1820249999999996E-2</v>
      </c>
      <c r="R14" s="1">
        <v>4.2530000000000001</v>
      </c>
      <c r="T14" s="2">
        <f t="shared" si="4"/>
        <v>0.86973849999999997</v>
      </c>
      <c r="U14" s="2">
        <f t="shared" si="0"/>
        <v>20.79706601466993</v>
      </c>
      <c r="V14" s="2"/>
      <c r="Y14" s="1">
        <v>12</v>
      </c>
      <c r="Z14" s="1">
        <v>10000</v>
      </c>
      <c r="AA14" s="1">
        <v>0.40839999999999999</v>
      </c>
      <c r="AB14" s="4">
        <f t="shared" si="3"/>
        <v>0.16679055999999998</v>
      </c>
      <c r="AC14" s="1">
        <v>8.7530000000000001</v>
      </c>
      <c r="AD14" s="2">
        <f t="shared" si="5"/>
        <v>3.5747252</v>
      </c>
      <c r="AE14" s="2">
        <f t="shared" si="1"/>
        <v>21.432419196865819</v>
      </c>
    </row>
    <row r="15" spans="1:31" x14ac:dyDescent="0.25">
      <c r="B15" s="1">
        <f>B14/0.001</f>
        <v>376.8</v>
      </c>
      <c r="N15" s="1">
        <v>13</v>
      </c>
      <c r="O15" s="1">
        <v>17000</v>
      </c>
      <c r="P15" s="1">
        <v>0.24049999999999999</v>
      </c>
      <c r="Q15" s="5">
        <f t="shared" si="2"/>
        <v>5.7840249999999996E-2</v>
      </c>
      <c r="R15" s="1">
        <v>5.0010000000000003</v>
      </c>
      <c r="T15" s="2">
        <f t="shared" si="4"/>
        <v>1.2027405</v>
      </c>
      <c r="U15" s="2">
        <f t="shared" si="0"/>
        <v>20.794178794178798</v>
      </c>
      <c r="V15" s="2"/>
      <c r="AB15" s="5"/>
      <c r="AD15" s="2"/>
      <c r="AE15" s="2"/>
    </row>
    <row r="16" spans="1:31" x14ac:dyDescent="0.25">
      <c r="N16" s="1">
        <v>14</v>
      </c>
      <c r="O16" s="1">
        <v>14000</v>
      </c>
      <c r="P16" s="1">
        <v>0.29199999999999998</v>
      </c>
      <c r="Q16" s="4">
        <f t="shared" si="2"/>
        <v>8.5263999999999993E-2</v>
      </c>
      <c r="R16" s="1">
        <v>6.08</v>
      </c>
      <c r="T16" s="2">
        <f t="shared" si="4"/>
        <v>1.7753599999999998</v>
      </c>
      <c r="U16" s="2">
        <f t="shared" si="0"/>
        <v>20.82191780821918</v>
      </c>
      <c r="V16" s="2"/>
      <c r="AB16" s="4"/>
      <c r="AD16" s="2"/>
      <c r="AE16" s="2"/>
    </row>
    <row r="17" spans="1:34" x14ac:dyDescent="0.25">
      <c r="A17" s="1" t="s">
        <v>10</v>
      </c>
      <c r="B17" s="1">
        <f>6.28*30*0.4*0.025</f>
        <v>1.8840000000000001</v>
      </c>
      <c r="N17" s="1">
        <v>15</v>
      </c>
      <c r="O17" s="1">
        <v>11000</v>
      </c>
      <c r="P17" s="1">
        <v>0.37140000000000001</v>
      </c>
      <c r="Q17" s="4">
        <f t="shared" si="2"/>
        <v>0.13793796</v>
      </c>
      <c r="R17" s="1">
        <v>7.7149999999999999</v>
      </c>
      <c r="T17" s="2">
        <f t="shared" si="4"/>
        <v>2.865351</v>
      </c>
      <c r="U17" s="2">
        <f t="shared" si="0"/>
        <v>20.772751750134624</v>
      </c>
      <c r="V17" s="2"/>
      <c r="AB17" s="4"/>
      <c r="AD17" s="2"/>
      <c r="AE17" s="2"/>
    </row>
    <row r="18" spans="1:34" x14ac:dyDescent="0.25">
      <c r="A18" s="1" t="s">
        <v>11</v>
      </c>
      <c r="B18" s="1">
        <f>B17/5</f>
        <v>0.37680000000000002</v>
      </c>
      <c r="C18" s="1" t="s">
        <v>14</v>
      </c>
      <c r="N18" s="1">
        <v>16</v>
      </c>
      <c r="O18" s="1">
        <v>10000</v>
      </c>
      <c r="P18" s="1">
        <v>0.40839999999999999</v>
      </c>
      <c r="Q18" s="2">
        <f t="shared" si="2"/>
        <v>0.16679055999999998</v>
      </c>
      <c r="R18" s="1">
        <v>8.484</v>
      </c>
      <c r="T18" s="2">
        <f t="shared" si="4"/>
        <v>3.4648656</v>
      </c>
      <c r="U18" s="2">
        <f t="shared" si="0"/>
        <v>20.773751224289914</v>
      </c>
      <c r="V18" s="2"/>
      <c r="AB18" s="2"/>
      <c r="AD18" s="2"/>
      <c r="AE18" s="2"/>
    </row>
    <row r="19" spans="1:34" x14ac:dyDescent="0.25">
      <c r="A19" s="1" t="s">
        <v>12</v>
      </c>
      <c r="B19" s="1">
        <f>SQRT(B18/20)</f>
        <v>0.13725887949418791</v>
      </c>
      <c r="C19" s="1" t="s">
        <v>13</v>
      </c>
      <c r="N19" s="1">
        <v>17</v>
      </c>
      <c r="O19" s="1">
        <v>9000</v>
      </c>
      <c r="P19" s="1">
        <v>0.4536</v>
      </c>
      <c r="Q19" s="2">
        <f t="shared" si="2"/>
        <v>0.20575296000000001</v>
      </c>
      <c r="R19" s="1">
        <v>9.4220000000000006</v>
      </c>
      <c r="T19" s="2">
        <f t="shared" si="4"/>
        <v>4.2738192000000002</v>
      </c>
      <c r="U19" s="2">
        <f t="shared" si="0"/>
        <v>20.771604938271604</v>
      </c>
      <c r="V19" s="2"/>
      <c r="AB19" s="2"/>
      <c r="AD19" s="2"/>
      <c r="AE19" s="2"/>
    </row>
    <row r="21" spans="1:34" x14ac:dyDescent="0.25">
      <c r="M21" s="6" t="s">
        <v>26</v>
      </c>
      <c r="N21" s="6" t="s">
        <v>15</v>
      </c>
      <c r="O21" s="6" t="s">
        <v>20</v>
      </c>
      <c r="P21" s="6" t="s">
        <v>16</v>
      </c>
      <c r="Q21" s="6" t="s">
        <v>22</v>
      </c>
      <c r="R21" s="6" t="s">
        <v>17</v>
      </c>
      <c r="S21" s="6"/>
      <c r="T21" s="6" t="s">
        <v>24</v>
      </c>
      <c r="U21" s="6" t="s">
        <v>23</v>
      </c>
      <c r="V21" s="6"/>
    </row>
    <row r="22" spans="1:34" x14ac:dyDescent="0.25">
      <c r="M22" s="7"/>
      <c r="N22" s="7">
        <v>1</v>
      </c>
      <c r="O22" s="7">
        <v>40000</v>
      </c>
      <c r="P22" s="6">
        <v>0.1023</v>
      </c>
      <c r="Q22" s="6">
        <f>P22^2</f>
        <v>1.046529E-2</v>
      </c>
      <c r="R22" s="6">
        <v>2.2599999999999998</v>
      </c>
      <c r="S22" s="6"/>
      <c r="T22" s="6">
        <f>R22*P22</f>
        <v>0.23119799999999999</v>
      </c>
      <c r="U22" s="6">
        <f>R22/P22</f>
        <v>22.091886608015638</v>
      </c>
      <c r="V22" s="6"/>
    </row>
    <row r="23" spans="1:34" x14ac:dyDescent="0.25">
      <c r="M23" s="7"/>
      <c r="N23" s="7">
        <v>2</v>
      </c>
      <c r="O23" s="7">
        <v>25000</v>
      </c>
      <c r="P23" s="7">
        <v>0.1636</v>
      </c>
      <c r="Q23" s="6">
        <f>P23^2</f>
        <v>2.6764959999999997E-2</v>
      </c>
      <c r="R23" s="7">
        <v>3.6150000000000002</v>
      </c>
      <c r="S23" s="7"/>
      <c r="T23" s="6">
        <f>R23*P23</f>
        <v>0.591414</v>
      </c>
      <c r="U23" s="6">
        <f t="shared" ref="U23:U30" si="6">R23/P23</f>
        <v>22.096577017114917</v>
      </c>
      <c r="V23" s="6"/>
    </row>
    <row r="24" spans="1:34" x14ac:dyDescent="0.25">
      <c r="M24" s="7"/>
      <c r="N24" s="7">
        <v>3</v>
      </c>
      <c r="O24" s="7">
        <v>20000</v>
      </c>
      <c r="P24" s="7">
        <v>0.2044</v>
      </c>
      <c r="Q24" s="6">
        <f t="shared" ref="Q24:Q47" si="7">P24^2</f>
        <v>4.1779360000000001E-2</v>
      </c>
      <c r="R24" s="7">
        <v>4.5179999999999998</v>
      </c>
      <c r="S24" s="7"/>
      <c r="T24" s="6">
        <f>R24*P24</f>
        <v>0.92347919999999994</v>
      </c>
      <c r="U24" s="6">
        <f t="shared" si="6"/>
        <v>22.103718199608611</v>
      </c>
      <c r="V24" s="6"/>
    </row>
    <row r="25" spans="1:34" x14ac:dyDescent="0.25">
      <c r="M25" s="7"/>
      <c r="N25" s="7">
        <v>4</v>
      </c>
      <c r="O25" s="7">
        <v>17000</v>
      </c>
      <c r="P25" s="7">
        <v>0.24049999999999999</v>
      </c>
      <c r="Q25" s="6">
        <f t="shared" si="7"/>
        <v>5.7840249999999996E-2</v>
      </c>
      <c r="R25" s="7">
        <v>5.3140000000000001</v>
      </c>
      <c r="S25" s="7"/>
      <c r="T25" s="6">
        <f t="shared" ref="T25:T30" si="8">R25*P25</f>
        <v>1.278017</v>
      </c>
      <c r="U25" s="6">
        <f t="shared" si="6"/>
        <v>22.095634095634097</v>
      </c>
      <c r="V25" s="6"/>
    </row>
    <row r="26" spans="1:34" x14ac:dyDescent="0.25">
      <c r="M26" s="7"/>
      <c r="N26" s="7">
        <v>5</v>
      </c>
      <c r="O26" s="7">
        <v>15000</v>
      </c>
      <c r="P26" s="7">
        <v>0.27239999999999998</v>
      </c>
      <c r="Q26" s="6">
        <f t="shared" si="7"/>
        <v>7.4201759999999992E-2</v>
      </c>
      <c r="R26" s="7">
        <v>6.0220000000000002</v>
      </c>
      <c r="S26" s="7"/>
      <c r="T26" s="6">
        <f t="shared" si="8"/>
        <v>1.6403927999999999</v>
      </c>
      <c r="U26" s="6">
        <f t="shared" si="6"/>
        <v>22.107195301027904</v>
      </c>
      <c r="V26" s="6"/>
    </row>
    <row r="27" spans="1:34" x14ac:dyDescent="0.25">
      <c r="M27" s="7"/>
      <c r="N27" s="7">
        <v>6</v>
      </c>
      <c r="O27" s="7">
        <v>14000</v>
      </c>
      <c r="P27" s="7">
        <v>0.2918</v>
      </c>
      <c r="Q27" s="6">
        <f t="shared" si="7"/>
        <v>8.5147239999999999E-2</v>
      </c>
      <c r="R27" s="7">
        <v>6.4509999999999996</v>
      </c>
      <c r="S27" s="7"/>
      <c r="T27" s="6">
        <f t="shared" si="8"/>
        <v>1.8824018</v>
      </c>
      <c r="U27" s="6">
        <f t="shared" si="6"/>
        <v>22.107607950651129</v>
      </c>
      <c r="V27" s="6"/>
    </row>
    <row r="28" spans="1:34" x14ac:dyDescent="0.25">
      <c r="M28" s="7"/>
      <c r="N28" s="7">
        <v>7</v>
      </c>
      <c r="O28" s="7">
        <v>13000</v>
      </c>
      <c r="P28" s="7">
        <v>0.31440000000000001</v>
      </c>
      <c r="Q28" s="6">
        <f t="shared" si="7"/>
        <v>9.8847360000000009E-2</v>
      </c>
      <c r="R28" s="7">
        <v>6.9459999999999997</v>
      </c>
      <c r="S28" s="7"/>
      <c r="T28" s="6">
        <f t="shared" si="8"/>
        <v>2.1838223999999999</v>
      </c>
      <c r="U28" s="6">
        <f t="shared" si="6"/>
        <v>22.092875318066156</v>
      </c>
      <c r="V28" s="6"/>
    </row>
    <row r="29" spans="1:34" x14ac:dyDescent="0.25">
      <c r="M29" s="7"/>
      <c r="N29" s="7">
        <v>8</v>
      </c>
      <c r="O29" s="7">
        <v>12000</v>
      </c>
      <c r="P29" s="7">
        <v>0.34039999999999998</v>
      </c>
      <c r="Q29" s="6">
        <f t="shared" si="7"/>
        <v>0.11587215999999999</v>
      </c>
      <c r="R29" s="7">
        <v>7.524</v>
      </c>
      <c r="S29" s="7"/>
      <c r="T29" s="6">
        <f t="shared" si="8"/>
        <v>2.5611695999999999</v>
      </c>
      <c r="U29" s="6">
        <f t="shared" si="6"/>
        <v>22.103407755581671</v>
      </c>
      <c r="V29" s="6"/>
    </row>
    <row r="30" spans="1:34" x14ac:dyDescent="0.25">
      <c r="M30" s="7"/>
      <c r="N30" s="7">
        <v>9</v>
      </c>
      <c r="O30" s="7">
        <v>11500</v>
      </c>
      <c r="P30" s="7">
        <v>0.3553</v>
      </c>
      <c r="Q30" s="8">
        <f t="shared" si="7"/>
        <v>0.12623809</v>
      </c>
      <c r="R30" s="7">
        <v>7.851</v>
      </c>
      <c r="S30" s="7"/>
      <c r="T30" s="6">
        <f t="shared" si="8"/>
        <v>2.7894603</v>
      </c>
      <c r="U30" s="6">
        <f t="shared" si="6"/>
        <v>22.096819589079651</v>
      </c>
      <c r="V30" s="6"/>
    </row>
    <row r="31" spans="1:34" x14ac:dyDescent="0.25">
      <c r="Q31" s="2"/>
      <c r="T31" s="2"/>
      <c r="U31" s="2"/>
      <c r="V31" s="2"/>
    </row>
    <row r="32" spans="1:34" x14ac:dyDescent="0.25">
      <c r="N32" s="9" t="s">
        <v>15</v>
      </c>
      <c r="O32" s="10" t="s">
        <v>20</v>
      </c>
      <c r="P32" s="10" t="s">
        <v>16</v>
      </c>
      <c r="Q32" s="10" t="s">
        <v>22</v>
      </c>
      <c r="R32" s="10" t="s">
        <v>17</v>
      </c>
      <c r="S32" s="10" t="s">
        <v>33</v>
      </c>
      <c r="T32" s="11" t="s">
        <v>34</v>
      </c>
      <c r="U32" s="1" t="s">
        <v>35</v>
      </c>
      <c r="V32" s="1" t="s">
        <v>36</v>
      </c>
      <c r="W32" s="1" t="s">
        <v>37</v>
      </c>
      <c r="Y32" s="9" t="s">
        <v>15</v>
      </c>
      <c r="Z32" s="10" t="s">
        <v>20</v>
      </c>
      <c r="AA32" s="10" t="s">
        <v>16</v>
      </c>
      <c r="AB32" s="10" t="s">
        <v>22</v>
      </c>
      <c r="AC32" s="10" t="s">
        <v>17</v>
      </c>
      <c r="AD32" s="10" t="s">
        <v>33</v>
      </c>
      <c r="AE32" s="11" t="s">
        <v>34</v>
      </c>
      <c r="AF32" s="1" t="s">
        <v>35</v>
      </c>
      <c r="AG32" s="1" t="s">
        <v>36</v>
      </c>
      <c r="AH32" s="1" t="s">
        <v>37</v>
      </c>
    </row>
    <row r="33" spans="13:34" x14ac:dyDescent="0.25">
      <c r="M33" s="1" t="s">
        <v>26</v>
      </c>
      <c r="N33" s="12">
        <v>1</v>
      </c>
      <c r="O33" s="13">
        <v>10000</v>
      </c>
      <c r="P33" s="19">
        <v>0.40839999999999999</v>
      </c>
      <c r="Q33" s="14">
        <f t="shared" si="7"/>
        <v>0.16679055999999998</v>
      </c>
      <c r="R33" s="23">
        <v>9.0250000000000004</v>
      </c>
      <c r="S33" s="21">
        <f t="shared" ref="S33:S47" si="9">R33*P33</f>
        <v>3.68581</v>
      </c>
      <c r="T33" s="22">
        <f t="shared" ref="T33:T47" si="10">R33/P33</f>
        <v>22.098432908912834</v>
      </c>
      <c r="U33" s="1">
        <f>S33*SQRT((0.01/P33)^2+(0.01/R33)^2)</f>
        <v>9.0342357485290375E-2</v>
      </c>
      <c r="V33" s="1">
        <f>T33*SQRT((0.01/P33)^2+(0.01/R33)^2)</f>
        <v>0.54165150285058328</v>
      </c>
      <c r="W33" s="1" t="s">
        <v>38</v>
      </c>
      <c r="X33" s="1" t="s">
        <v>27</v>
      </c>
      <c r="Y33" s="12">
        <v>1</v>
      </c>
      <c r="Z33" s="13">
        <v>2000</v>
      </c>
      <c r="AA33" s="23">
        <v>2.0190000000000001</v>
      </c>
      <c r="AB33" s="14">
        <f t="shared" ref="AB33:AB50" si="11">AA33^2</f>
        <v>4.0763610000000003</v>
      </c>
      <c r="AC33" s="27">
        <v>45.921999999999997</v>
      </c>
      <c r="AD33" s="21">
        <f t="shared" ref="AD33:AD50" si="12">AC33*AA33</f>
        <v>92.716517999999994</v>
      </c>
      <c r="AE33" s="22">
        <f t="shared" ref="AE33:AE50" si="13">AC33/AA33</f>
        <v>22.744923229321444</v>
      </c>
      <c r="AF33" s="1">
        <f>AD33*SQRT((0.01/AA33)^2+(0.01/AC33)^2)</f>
        <v>0.45966362103172792</v>
      </c>
      <c r="AG33" s="1">
        <f>AE33*SQRT((0.01/AA33)^2+(0.01/AC33)^2)</f>
        <v>0.11276322706250204</v>
      </c>
      <c r="AH33" s="1" t="s">
        <v>38</v>
      </c>
    </row>
    <row r="34" spans="13:34" x14ac:dyDescent="0.25">
      <c r="N34" s="12">
        <v>2</v>
      </c>
      <c r="O34" s="13">
        <v>9000</v>
      </c>
      <c r="P34" s="19">
        <v>0.4536</v>
      </c>
      <c r="Q34" s="13">
        <f t="shared" si="7"/>
        <v>0.20575296000000001</v>
      </c>
      <c r="R34" s="23">
        <v>10.02</v>
      </c>
      <c r="S34" s="21">
        <f t="shared" si="9"/>
        <v>4.5450720000000002</v>
      </c>
      <c r="T34" s="22">
        <f t="shared" si="10"/>
        <v>22.089947089947088</v>
      </c>
      <c r="U34" s="1">
        <f t="shared" ref="U34:U47" si="14">S34*SQRT((0.01/P34)^2+(0.01/R34)^2)</f>
        <v>0.10030261858994509</v>
      </c>
      <c r="V34" s="1">
        <f t="shared" ref="V34:V47" si="15">T34*SQRT((0.01/P34)^2+(0.01/R34)^2)</f>
        <v>0.48749052548233124</v>
      </c>
      <c r="W34" s="1" t="s">
        <v>38</v>
      </c>
      <c r="Y34" s="12">
        <v>2</v>
      </c>
      <c r="Z34" s="13">
        <v>1500</v>
      </c>
      <c r="AA34" s="23">
        <v>2.68</v>
      </c>
      <c r="AB34" s="13">
        <f t="shared" si="11"/>
        <v>7.1824000000000012</v>
      </c>
      <c r="AC34" s="27">
        <v>60.947000000000003</v>
      </c>
      <c r="AD34" s="21">
        <f t="shared" si="12"/>
        <v>163.33796000000001</v>
      </c>
      <c r="AE34" s="22">
        <f t="shared" si="13"/>
        <v>22.741417910447762</v>
      </c>
      <c r="AF34" s="1">
        <f t="shared" ref="AF34:AF50" si="16">AD34*SQRT((0.01/AA34)^2+(0.01/AC34)^2)</f>
        <v>0.61005894870905708</v>
      </c>
      <c r="AG34" s="1">
        <f t="shared" ref="AG34:AG50" si="17">AE34*SQRT((0.01/AA34)^2+(0.01/AC34)^2)</f>
        <v>8.4938035852786961E-2</v>
      </c>
      <c r="AH34" s="1" t="s">
        <v>38</v>
      </c>
    </row>
    <row r="35" spans="13:34" x14ac:dyDescent="0.25">
      <c r="N35" s="12">
        <v>3</v>
      </c>
      <c r="O35" s="13">
        <v>8000</v>
      </c>
      <c r="P35" s="19">
        <v>0.51</v>
      </c>
      <c r="Q35" s="13">
        <f t="shared" si="7"/>
        <v>0.2601</v>
      </c>
      <c r="R35" s="23">
        <v>11.27</v>
      </c>
      <c r="S35" s="21">
        <f t="shared" si="9"/>
        <v>5.7477</v>
      </c>
      <c r="T35" s="22">
        <f t="shared" si="10"/>
        <v>22.098039215686274</v>
      </c>
      <c r="U35" s="1">
        <f t="shared" si="14"/>
        <v>0.11281533583693309</v>
      </c>
      <c r="V35" s="1">
        <f t="shared" si="15"/>
        <v>0.43373831540535601</v>
      </c>
      <c r="W35" s="1" t="s">
        <v>38</v>
      </c>
      <c r="Y35" s="12">
        <v>3</v>
      </c>
      <c r="Z35" s="13">
        <v>1000</v>
      </c>
      <c r="AA35" s="23">
        <v>3.9830000000000001</v>
      </c>
      <c r="AB35" s="13">
        <f t="shared" si="11"/>
        <v>15.864289000000001</v>
      </c>
      <c r="AC35" s="27">
        <v>90.584000000000003</v>
      </c>
      <c r="AD35" s="21">
        <f t="shared" si="12"/>
        <v>360.79607200000004</v>
      </c>
      <c r="AE35" s="22">
        <f t="shared" si="13"/>
        <v>22.742656289229224</v>
      </c>
      <c r="AF35" s="1">
        <f t="shared" si="16"/>
        <v>0.90671524444006124</v>
      </c>
      <c r="AG35" s="1">
        <f t="shared" si="17"/>
        <v>5.7154483534689833E-2</v>
      </c>
      <c r="AH35" s="1" t="s">
        <v>38</v>
      </c>
    </row>
    <row r="36" spans="13:34" x14ac:dyDescent="0.25">
      <c r="N36" s="12">
        <v>4</v>
      </c>
      <c r="O36" s="13">
        <v>7000</v>
      </c>
      <c r="P36" s="19">
        <v>0.58260000000000001</v>
      </c>
      <c r="Q36" s="13">
        <f t="shared" si="7"/>
        <v>0.33942275999999999</v>
      </c>
      <c r="R36" s="23">
        <v>12.87</v>
      </c>
      <c r="S36" s="21">
        <f t="shared" si="9"/>
        <v>7.498062</v>
      </c>
      <c r="T36" s="22">
        <f t="shared" si="10"/>
        <v>22.090628218331616</v>
      </c>
      <c r="U36" s="1">
        <f t="shared" si="14"/>
        <v>0.12883179838844133</v>
      </c>
      <c r="V36" s="1">
        <f t="shared" si="15"/>
        <v>0.3795614601343803</v>
      </c>
      <c r="W36" s="1" t="s">
        <v>38</v>
      </c>
      <c r="Y36" s="12">
        <v>4</v>
      </c>
      <c r="Z36" s="13">
        <v>900</v>
      </c>
      <c r="AA36" s="23">
        <v>4.4119999999999999</v>
      </c>
      <c r="AB36" s="13">
        <f t="shared" si="11"/>
        <v>19.465744000000001</v>
      </c>
      <c r="AC36" s="27">
        <v>100.37</v>
      </c>
      <c r="AD36" s="21">
        <f t="shared" si="12"/>
        <v>442.83244000000002</v>
      </c>
      <c r="AE36" s="22">
        <f t="shared" si="13"/>
        <v>22.749320036264734</v>
      </c>
      <c r="AF36" s="1">
        <f t="shared" si="16"/>
        <v>1.0046692313393499</v>
      </c>
      <c r="AG36" s="1">
        <f t="shared" si="17"/>
        <v>5.1612167063295918E-2</v>
      </c>
      <c r="AH36" s="1" t="s">
        <v>38</v>
      </c>
    </row>
    <row r="37" spans="13:34" x14ac:dyDescent="0.25">
      <c r="N37" s="12">
        <v>5</v>
      </c>
      <c r="O37" s="13">
        <v>6000</v>
      </c>
      <c r="P37" s="19">
        <v>0.67930000000000001</v>
      </c>
      <c r="Q37" s="13">
        <f t="shared" si="7"/>
        <v>0.46144849000000004</v>
      </c>
      <c r="R37" s="23">
        <v>15.01</v>
      </c>
      <c r="S37" s="21">
        <f t="shared" si="9"/>
        <v>10.196293000000001</v>
      </c>
      <c r="T37" s="22">
        <f t="shared" si="10"/>
        <v>22.096275577800675</v>
      </c>
      <c r="U37" s="1">
        <f t="shared" si="14"/>
        <v>0.15025363506085304</v>
      </c>
      <c r="V37" s="1">
        <f t="shared" si="15"/>
        <v>0.3256130170907115</v>
      </c>
      <c r="W37" s="1" t="s">
        <v>38</v>
      </c>
      <c r="Y37" s="12">
        <v>5</v>
      </c>
      <c r="Z37" s="13">
        <v>800</v>
      </c>
      <c r="AA37" s="23">
        <v>4.9450000000000003</v>
      </c>
      <c r="AB37" s="13">
        <f t="shared" si="11"/>
        <v>24.453025000000004</v>
      </c>
      <c r="AC37" s="27">
        <v>112.49</v>
      </c>
      <c r="AD37" s="21">
        <f t="shared" si="12"/>
        <v>556.26305000000002</v>
      </c>
      <c r="AE37" s="22">
        <f t="shared" si="13"/>
        <v>22.748230535894841</v>
      </c>
      <c r="AF37" s="1">
        <f t="shared" si="16"/>
        <v>1.1259863731413451</v>
      </c>
      <c r="AG37" s="1">
        <f t="shared" si="17"/>
        <v>4.6046915387415052E-2</v>
      </c>
      <c r="AH37" s="1" t="s">
        <v>38</v>
      </c>
    </row>
    <row r="38" spans="13:34" x14ac:dyDescent="0.25">
      <c r="N38" s="12">
        <v>6</v>
      </c>
      <c r="O38" s="13">
        <v>5000</v>
      </c>
      <c r="P38" s="19">
        <v>0.8145</v>
      </c>
      <c r="Q38" s="13">
        <f t="shared" si="7"/>
        <v>0.66341024999999998</v>
      </c>
      <c r="R38" s="23">
        <v>17.989999999999998</v>
      </c>
      <c r="S38" s="21">
        <f t="shared" si="9"/>
        <v>14.652854999999999</v>
      </c>
      <c r="T38" s="22">
        <f t="shared" si="10"/>
        <v>22.087170042971145</v>
      </c>
      <c r="U38" s="1">
        <f t="shared" si="14"/>
        <v>0.18008428866783463</v>
      </c>
      <c r="V38" s="1">
        <f t="shared" si="15"/>
        <v>0.27145237606418449</v>
      </c>
      <c r="W38" s="1" t="s">
        <v>38</v>
      </c>
      <c r="Y38" s="12">
        <v>6</v>
      </c>
      <c r="Z38" s="13">
        <v>700</v>
      </c>
      <c r="AA38" s="23">
        <v>5.6239999999999997</v>
      </c>
      <c r="AB38" s="13">
        <f t="shared" si="11"/>
        <v>31.629375999999997</v>
      </c>
      <c r="AC38" s="27">
        <v>127.94</v>
      </c>
      <c r="AD38" s="21">
        <f t="shared" si="12"/>
        <v>719.53455999999994</v>
      </c>
      <c r="AE38" s="22">
        <f t="shared" si="13"/>
        <v>22.748933143669987</v>
      </c>
      <c r="AF38" s="1">
        <f t="shared" si="16"/>
        <v>1.2806355053644267</v>
      </c>
      <c r="AG38" s="1">
        <f t="shared" si="17"/>
        <v>4.0488800833896527E-2</v>
      </c>
      <c r="AH38" s="1" t="s">
        <v>38</v>
      </c>
    </row>
    <row r="39" spans="13:34" x14ac:dyDescent="0.25">
      <c r="N39" s="12">
        <v>7</v>
      </c>
      <c r="O39" s="13">
        <v>4000</v>
      </c>
      <c r="P39" s="19">
        <v>1.0166999999999999</v>
      </c>
      <c r="Q39" s="13">
        <f t="shared" si="7"/>
        <v>1.0336788899999998</v>
      </c>
      <c r="R39" s="23">
        <v>22.46</v>
      </c>
      <c r="S39" s="21">
        <f t="shared" si="9"/>
        <v>22.835082</v>
      </c>
      <c r="T39" s="22">
        <f t="shared" si="10"/>
        <v>22.091078981017017</v>
      </c>
      <c r="U39" s="1">
        <f t="shared" si="14"/>
        <v>0.22482999775163456</v>
      </c>
      <c r="V39" s="1">
        <f t="shared" si="15"/>
        <v>0.21750468150862071</v>
      </c>
      <c r="W39" s="1" t="s">
        <v>38</v>
      </c>
      <c r="Y39" s="12">
        <v>7</v>
      </c>
      <c r="Z39" s="13">
        <v>600</v>
      </c>
      <c r="AA39" s="23">
        <v>6.52</v>
      </c>
      <c r="AB39" s="13">
        <f t="shared" si="11"/>
        <v>42.510399999999997</v>
      </c>
      <c r="AC39" s="27">
        <v>148.32</v>
      </c>
      <c r="AD39" s="21">
        <f t="shared" si="12"/>
        <v>967.04639999999995</v>
      </c>
      <c r="AE39" s="22">
        <f t="shared" si="13"/>
        <v>22.748466257668714</v>
      </c>
      <c r="AF39" s="1">
        <f t="shared" si="16"/>
        <v>1.4846323720032513</v>
      </c>
      <c r="AG39" s="1">
        <f t="shared" si="17"/>
        <v>3.4923980296662736E-2</v>
      </c>
      <c r="AH39" s="1" t="s">
        <v>38</v>
      </c>
    </row>
    <row r="40" spans="13:34" x14ac:dyDescent="0.25">
      <c r="N40" s="12">
        <v>8</v>
      </c>
      <c r="O40" s="13">
        <v>3000</v>
      </c>
      <c r="P40" s="19">
        <v>1.3525</v>
      </c>
      <c r="Q40" s="13">
        <f t="shared" si="7"/>
        <v>1.82925625</v>
      </c>
      <c r="R40" s="23">
        <v>29.88</v>
      </c>
      <c r="S40" s="21">
        <f t="shared" si="9"/>
        <v>40.412700000000001</v>
      </c>
      <c r="T40" s="22">
        <f t="shared" si="10"/>
        <v>22.092421441774491</v>
      </c>
      <c r="U40" s="1">
        <f t="shared" si="14"/>
        <v>0.29910594381422778</v>
      </c>
      <c r="V40" s="1">
        <f t="shared" si="15"/>
        <v>0.16351232574125565</v>
      </c>
      <c r="W40" s="1" t="s">
        <v>38</v>
      </c>
      <c r="Y40" s="12">
        <v>8</v>
      </c>
      <c r="Z40" s="13">
        <v>500</v>
      </c>
      <c r="AA40" s="23">
        <v>7.7539999999999996</v>
      </c>
      <c r="AB40" s="13">
        <f t="shared" si="11"/>
        <v>60.124515999999993</v>
      </c>
      <c r="AC40" s="27">
        <v>176.42</v>
      </c>
      <c r="AD40" s="21">
        <f t="shared" si="12"/>
        <v>1367.9606799999999</v>
      </c>
      <c r="AE40" s="22">
        <f t="shared" si="13"/>
        <v>22.752127933969565</v>
      </c>
      <c r="AF40" s="1">
        <f t="shared" si="16"/>
        <v>1.7659031942889731</v>
      </c>
      <c r="AG40" s="1">
        <f t="shared" si="17"/>
        <v>2.937076772957263E-2</v>
      </c>
      <c r="AH40" s="1" t="s">
        <v>38</v>
      </c>
    </row>
    <row r="41" spans="13:34" x14ac:dyDescent="0.25">
      <c r="N41" s="12">
        <v>9</v>
      </c>
      <c r="O41" s="13">
        <v>2000</v>
      </c>
      <c r="P41" s="19">
        <v>2.0190000000000001</v>
      </c>
      <c r="Q41" s="13">
        <f t="shared" si="7"/>
        <v>4.0763610000000003</v>
      </c>
      <c r="R41" s="23">
        <v>44.63</v>
      </c>
      <c r="S41" s="21">
        <f t="shared" si="9"/>
        <v>90.107970000000009</v>
      </c>
      <c r="T41" s="22">
        <f t="shared" si="10"/>
        <v>22.105002476473501</v>
      </c>
      <c r="U41" s="1">
        <f t="shared" si="14"/>
        <v>0.44675645054100788</v>
      </c>
      <c r="V41" s="1">
        <f t="shared" si="15"/>
        <v>0.10959688078190519</v>
      </c>
      <c r="W41" s="1" t="s">
        <v>38</v>
      </c>
      <c r="Y41" s="12">
        <v>9</v>
      </c>
      <c r="Z41" s="13">
        <v>400</v>
      </c>
      <c r="AA41" s="23">
        <v>9.5630000000000006</v>
      </c>
      <c r="AB41" s="13">
        <f t="shared" si="11"/>
        <v>91.450969000000015</v>
      </c>
      <c r="AC41" s="27">
        <v>217.6</v>
      </c>
      <c r="AD41" s="21">
        <f t="shared" si="12"/>
        <v>2080.9088000000002</v>
      </c>
      <c r="AE41" s="22">
        <f t="shared" si="13"/>
        <v>22.754365784795564</v>
      </c>
      <c r="AF41" s="1">
        <f t="shared" si="16"/>
        <v>2.1781003413295723</v>
      </c>
      <c r="AG41" s="1">
        <f t="shared" si="17"/>
        <v>2.381713791714522E-2</v>
      </c>
      <c r="AH41" s="1" t="s">
        <v>38</v>
      </c>
    </row>
    <row r="42" spans="13:34" x14ac:dyDescent="0.25">
      <c r="N42" s="12">
        <v>10</v>
      </c>
      <c r="O42" s="13">
        <v>1000</v>
      </c>
      <c r="P42" s="19">
        <v>3.9849999999999999</v>
      </c>
      <c r="Q42" s="13">
        <f t="shared" si="7"/>
        <v>15.880224999999999</v>
      </c>
      <c r="R42" s="23">
        <v>88.08</v>
      </c>
      <c r="S42" s="21">
        <f t="shared" si="9"/>
        <v>350.99879999999996</v>
      </c>
      <c r="T42" s="22">
        <f t="shared" si="10"/>
        <v>22.102885821831869</v>
      </c>
      <c r="U42" s="1">
        <f t="shared" si="14"/>
        <v>0.88170100515991257</v>
      </c>
      <c r="V42" s="1">
        <f t="shared" si="15"/>
        <v>5.5521946644957021E-2</v>
      </c>
      <c r="W42" s="1" t="s">
        <v>38</v>
      </c>
      <c r="Y42" s="12">
        <v>10</v>
      </c>
      <c r="Z42" s="13">
        <v>300</v>
      </c>
      <c r="AA42" s="23">
        <v>12.477</v>
      </c>
      <c r="AB42" s="13">
        <f t="shared" si="11"/>
        <v>155.67552900000001</v>
      </c>
      <c r="AC42" s="27">
        <v>283.98</v>
      </c>
      <c r="AD42" s="21">
        <f t="shared" si="12"/>
        <v>3543.2184600000005</v>
      </c>
      <c r="AE42" s="22">
        <f t="shared" si="13"/>
        <v>22.760278913200288</v>
      </c>
      <c r="AF42" s="1">
        <f t="shared" si="16"/>
        <v>2.8425396378766647</v>
      </c>
      <c r="AG42" s="1">
        <f t="shared" si="17"/>
        <v>1.8259386405403925E-2</v>
      </c>
      <c r="AH42" s="1" t="s">
        <v>38</v>
      </c>
    </row>
    <row r="43" spans="13:34" x14ac:dyDescent="0.25">
      <c r="N43" s="12">
        <v>11</v>
      </c>
      <c r="O43" s="13">
        <v>500</v>
      </c>
      <c r="P43" s="19">
        <v>7.7640000000000002</v>
      </c>
      <c r="Q43" s="13">
        <f t="shared" si="7"/>
        <v>60.279696000000001</v>
      </c>
      <c r="R43" s="23">
        <v>171.63</v>
      </c>
      <c r="S43" s="23">
        <f t="shared" si="9"/>
        <v>1332.53532</v>
      </c>
      <c r="T43" s="24">
        <f t="shared" si="10"/>
        <v>22.105873261205563</v>
      </c>
      <c r="U43" s="1">
        <f t="shared" si="14"/>
        <v>1.7180551969014268</v>
      </c>
      <c r="V43" s="1">
        <f t="shared" si="15"/>
        <v>2.8501391196488892E-2</v>
      </c>
      <c r="W43" s="1" t="s">
        <v>38</v>
      </c>
      <c r="Y43" s="12">
        <v>11</v>
      </c>
      <c r="Z43" s="13">
        <v>250</v>
      </c>
      <c r="AA43" s="23">
        <v>14.718</v>
      </c>
      <c r="AB43" s="13">
        <f t="shared" si="11"/>
        <v>216.61952400000001</v>
      </c>
      <c r="AC43" s="27">
        <v>335.13</v>
      </c>
      <c r="AD43" s="23">
        <f t="shared" si="12"/>
        <v>4932.4433399999998</v>
      </c>
      <c r="AE43" s="24">
        <f t="shared" si="13"/>
        <v>22.770077456176111</v>
      </c>
      <c r="AF43" s="1">
        <f t="shared" si="16"/>
        <v>3.3545303162141789</v>
      </c>
      <c r="AG43" s="1">
        <f t="shared" si="17"/>
        <v>1.5485817041192368E-2</v>
      </c>
      <c r="AH43" s="1" t="s">
        <v>38</v>
      </c>
    </row>
    <row r="44" spans="13:34" x14ac:dyDescent="0.25">
      <c r="N44" s="12">
        <v>12</v>
      </c>
      <c r="O44" s="13">
        <v>300</v>
      </c>
      <c r="P44" s="19">
        <v>12.500999999999999</v>
      </c>
      <c r="Q44" s="13">
        <f t="shared" si="7"/>
        <v>156.27500099999997</v>
      </c>
      <c r="R44" s="23">
        <v>276.48</v>
      </c>
      <c r="S44" s="23">
        <f t="shared" si="9"/>
        <v>3456.27648</v>
      </c>
      <c r="T44" s="24">
        <f t="shared" si="10"/>
        <v>22.116630669546439</v>
      </c>
      <c r="U44" s="1">
        <f t="shared" si="14"/>
        <v>2.7676247108486369</v>
      </c>
      <c r="V44" s="1">
        <f t="shared" si="15"/>
        <v>1.7709964441776822E-2</v>
      </c>
      <c r="W44" s="1" t="s">
        <v>38</v>
      </c>
      <c r="Y44" s="12">
        <v>12</v>
      </c>
      <c r="Z44" s="13">
        <v>200</v>
      </c>
      <c r="AA44" s="23">
        <v>17.940999999999999</v>
      </c>
      <c r="AB44" s="13">
        <f t="shared" si="11"/>
        <v>321.87948099999994</v>
      </c>
      <c r="AC44" s="27">
        <v>408.74</v>
      </c>
      <c r="AD44" s="23">
        <f t="shared" si="12"/>
        <v>7333.2043399999993</v>
      </c>
      <c r="AE44" s="24">
        <f t="shared" si="13"/>
        <v>22.782453597904244</v>
      </c>
      <c r="AF44" s="1">
        <f t="shared" si="16"/>
        <v>4.0913355653258261</v>
      </c>
      <c r="AG44" s="1">
        <f t="shared" si="17"/>
        <v>1.271076849203018E-2</v>
      </c>
      <c r="AH44" s="1" t="s">
        <v>38</v>
      </c>
    </row>
    <row r="45" spans="13:34" x14ac:dyDescent="0.25">
      <c r="N45" s="12">
        <v>13</v>
      </c>
      <c r="O45" s="13">
        <v>100</v>
      </c>
      <c r="P45" s="19">
        <v>32.070999999999998</v>
      </c>
      <c r="Q45" s="13">
        <f t="shared" si="7"/>
        <v>1028.5490409999998</v>
      </c>
      <c r="R45" s="23">
        <v>712.58</v>
      </c>
      <c r="S45" s="23">
        <f t="shared" si="9"/>
        <v>22853.153180000001</v>
      </c>
      <c r="T45" s="24">
        <f t="shared" si="10"/>
        <v>22.218826977643356</v>
      </c>
      <c r="U45" s="1">
        <f t="shared" si="14"/>
        <v>7.1330134266030933</v>
      </c>
      <c r="V45" s="1">
        <f t="shared" si="15"/>
        <v>6.9350251103905258E-3</v>
      </c>
      <c r="W45" s="1" t="s">
        <v>38</v>
      </c>
      <c r="Y45" s="12">
        <v>13</v>
      </c>
      <c r="Z45" s="13">
        <v>100</v>
      </c>
      <c r="AA45" s="23">
        <v>31.911000000000001</v>
      </c>
      <c r="AB45" s="13">
        <f t="shared" si="11"/>
        <v>1018.3119210000001</v>
      </c>
      <c r="AC45" s="27">
        <v>729.5</v>
      </c>
      <c r="AD45" s="23">
        <f t="shared" si="12"/>
        <v>23279.074500000002</v>
      </c>
      <c r="AE45" s="24">
        <f t="shared" si="13"/>
        <v>22.860455642255022</v>
      </c>
      <c r="AF45" s="1">
        <f t="shared" si="16"/>
        <v>7.3019761840271711</v>
      </c>
      <c r="AG45" s="1">
        <f t="shared" si="17"/>
        <v>7.1706674874791832E-3</v>
      </c>
      <c r="AH45" s="1" t="s">
        <v>38</v>
      </c>
    </row>
    <row r="46" spans="13:34" x14ac:dyDescent="0.25">
      <c r="N46" s="12">
        <v>14</v>
      </c>
      <c r="O46" s="13">
        <v>70</v>
      </c>
      <c r="P46" s="19">
        <v>41.87</v>
      </c>
      <c r="Q46" s="13">
        <f t="shared" si="7"/>
        <v>1753.0968999999998</v>
      </c>
      <c r="R46" s="23">
        <v>933.58</v>
      </c>
      <c r="S46" s="23">
        <f t="shared" si="9"/>
        <v>39088.994599999998</v>
      </c>
      <c r="T46" s="24">
        <f t="shared" si="10"/>
        <v>22.297110102698831</v>
      </c>
      <c r="U46" s="1">
        <f t="shared" si="14"/>
        <v>9.3451843925093314</v>
      </c>
      <c r="V46" s="1">
        <f t="shared" si="15"/>
        <v>5.3306719055343328E-3</v>
      </c>
      <c r="W46" s="1" t="s">
        <v>38</v>
      </c>
      <c r="Y46" s="12">
        <v>14</v>
      </c>
      <c r="Z46" s="13">
        <v>70</v>
      </c>
      <c r="AA46" s="23">
        <v>41.603000000000002</v>
      </c>
      <c r="AB46" s="13">
        <f t="shared" si="11"/>
        <v>1730.8096090000001</v>
      </c>
      <c r="AC46" s="27">
        <v>954.28</v>
      </c>
      <c r="AD46" s="23">
        <f t="shared" si="12"/>
        <v>39700.910839999997</v>
      </c>
      <c r="AE46" s="24">
        <f t="shared" si="13"/>
        <v>22.937768910895848</v>
      </c>
      <c r="AF46" s="1">
        <f t="shared" si="16"/>
        <v>9.5518643625681783</v>
      </c>
      <c r="AG46" s="1">
        <f t="shared" si="17"/>
        <v>5.5187262151190066E-3</v>
      </c>
      <c r="AH46" s="1" t="s">
        <v>38</v>
      </c>
    </row>
    <row r="47" spans="13:34" x14ac:dyDescent="0.25">
      <c r="N47" s="16">
        <v>15</v>
      </c>
      <c r="O47" s="17">
        <v>50</v>
      </c>
      <c r="P47" s="20">
        <v>52.57</v>
      </c>
      <c r="Q47" s="17">
        <f t="shared" si="7"/>
        <v>2763.6048999999998</v>
      </c>
      <c r="R47" s="25">
        <v>1177.8</v>
      </c>
      <c r="S47" s="25">
        <f t="shared" si="9"/>
        <v>61916.945999999996</v>
      </c>
      <c r="T47" s="26">
        <f t="shared" si="10"/>
        <v>22.404413163401177</v>
      </c>
      <c r="U47" s="1">
        <f t="shared" si="14"/>
        <v>11.789726226253093</v>
      </c>
      <c r="V47" s="1">
        <f t="shared" si="15"/>
        <v>4.266067926805707E-3</v>
      </c>
      <c r="W47" s="1" t="s">
        <v>38</v>
      </c>
      <c r="Y47" s="12">
        <v>15</v>
      </c>
      <c r="Z47" s="13">
        <v>50</v>
      </c>
      <c r="AA47" s="23">
        <v>52.143999999999998</v>
      </c>
      <c r="AB47" s="13">
        <f t="shared" si="11"/>
        <v>2718.9967360000001</v>
      </c>
      <c r="AC47" s="27">
        <v>1201.68</v>
      </c>
      <c r="AD47" s="23">
        <f t="shared" si="12"/>
        <v>62660.401920000004</v>
      </c>
      <c r="AE47" s="24">
        <f t="shared" si="13"/>
        <v>23.045412703283219</v>
      </c>
      <c r="AF47" s="1">
        <f t="shared" si="16"/>
        <v>12.028107993928224</v>
      </c>
      <c r="AG47" s="1">
        <f t="shared" si="17"/>
        <v>4.4237302070553952E-3</v>
      </c>
      <c r="AH47" s="1" t="s">
        <v>38</v>
      </c>
    </row>
    <row r="48" spans="13:34" x14ac:dyDescent="0.25">
      <c r="Y48" s="12">
        <v>16</v>
      </c>
      <c r="Z48" s="13">
        <v>40</v>
      </c>
      <c r="AA48" s="23">
        <v>59.66</v>
      </c>
      <c r="AB48" s="13">
        <f t="shared" si="11"/>
        <v>3559.3155999999994</v>
      </c>
      <c r="AC48" s="27">
        <v>1380.66</v>
      </c>
      <c r="AD48" s="23">
        <f t="shared" si="12"/>
        <v>82370.175600000002</v>
      </c>
      <c r="AE48" s="24">
        <f t="shared" si="13"/>
        <v>23.142138786456592</v>
      </c>
      <c r="AF48" s="1">
        <f t="shared" si="16"/>
        <v>13.819483894849332</v>
      </c>
      <c r="AG48" s="1">
        <f t="shared" si="17"/>
        <v>3.8826239220959599E-3</v>
      </c>
      <c r="AH48" s="1" t="s">
        <v>38</v>
      </c>
    </row>
    <row r="49" spans="13:34" x14ac:dyDescent="0.25">
      <c r="Y49" s="12">
        <v>17</v>
      </c>
      <c r="Z49" s="13">
        <v>30</v>
      </c>
      <c r="AA49" s="23">
        <v>69.656999999999996</v>
      </c>
      <c r="AB49" s="13">
        <f t="shared" si="11"/>
        <v>4852.0976489999994</v>
      </c>
      <c r="AC49" s="27">
        <v>1622.5</v>
      </c>
      <c r="AD49" s="23">
        <f t="shared" si="12"/>
        <v>113018.4825</v>
      </c>
      <c r="AE49" s="24">
        <f t="shared" si="13"/>
        <v>23.29270568643496</v>
      </c>
      <c r="AF49" s="1">
        <f t="shared" si="16"/>
        <v>16.239945651537756</v>
      </c>
      <c r="AG49" s="1">
        <f t="shared" si="17"/>
        <v>3.3469948105609025E-3</v>
      </c>
      <c r="AH49" s="1" t="s">
        <v>38</v>
      </c>
    </row>
    <row r="50" spans="13:34" x14ac:dyDescent="0.25">
      <c r="Y50" s="16">
        <v>18</v>
      </c>
      <c r="Z50" s="17">
        <v>15</v>
      </c>
      <c r="AA50" s="25">
        <v>92.625</v>
      </c>
      <c r="AB50" s="17">
        <f t="shared" si="11"/>
        <v>8579.390625</v>
      </c>
      <c r="AC50" s="28">
        <v>2196.71</v>
      </c>
      <c r="AD50" s="25">
        <f t="shared" si="12"/>
        <v>203470.26375000001</v>
      </c>
      <c r="AE50" s="26">
        <f t="shared" si="13"/>
        <v>23.716167341430499</v>
      </c>
      <c r="AF50" s="1">
        <f t="shared" si="16"/>
        <v>21.986619146028342</v>
      </c>
      <c r="AG50" s="1">
        <f t="shared" si="17"/>
        <v>2.562725035733915E-3</v>
      </c>
      <c r="AH50" s="1" t="s">
        <v>38</v>
      </c>
    </row>
    <row r="53" spans="13:34" x14ac:dyDescent="0.25">
      <c r="N53" s="9" t="s">
        <v>15</v>
      </c>
      <c r="O53" s="10" t="s">
        <v>20</v>
      </c>
      <c r="P53" s="10" t="s">
        <v>16</v>
      </c>
      <c r="Q53" s="10" t="s">
        <v>22</v>
      </c>
      <c r="R53" s="10" t="s">
        <v>17</v>
      </c>
      <c r="S53" s="10" t="s">
        <v>33</v>
      </c>
      <c r="T53" s="11" t="s">
        <v>34</v>
      </c>
      <c r="U53" s="1" t="s">
        <v>35</v>
      </c>
      <c r="V53" s="1" t="s">
        <v>36</v>
      </c>
      <c r="W53" s="1" t="s">
        <v>37</v>
      </c>
    </row>
    <row r="54" spans="13:34" x14ac:dyDescent="0.25">
      <c r="M54" s="1" t="s">
        <v>28</v>
      </c>
      <c r="N54" s="12">
        <v>1</v>
      </c>
      <c r="O54" s="13">
        <v>2000</v>
      </c>
      <c r="P54" s="23">
        <v>2.0179999999999998</v>
      </c>
      <c r="Q54" s="14">
        <f t="shared" ref="Q54:Q71" si="18">P54^2</f>
        <v>4.0723239999999992</v>
      </c>
      <c r="R54" s="27">
        <v>47.29</v>
      </c>
      <c r="S54" s="21">
        <f t="shared" ref="S54:S71" si="19">R54*P54</f>
        <v>95.431219999999982</v>
      </c>
      <c r="T54" s="22">
        <f t="shared" ref="T54:T71" si="20">R54/P54</f>
        <v>23.434093161546087</v>
      </c>
      <c r="U54" s="1">
        <f>S54*SQRT((0.01/P54)^2+(0.01/R54)^2)</f>
        <v>0.47333037341797535</v>
      </c>
      <c r="V54" s="1">
        <f>T54*SQRT((0.01/P54)^2+(0.01/R54)^2)</f>
        <v>0.11623102027686782</v>
      </c>
      <c r="W54" s="1" t="s">
        <v>38</v>
      </c>
    </row>
    <row r="55" spans="13:34" x14ac:dyDescent="0.25">
      <c r="N55" s="12">
        <v>2</v>
      </c>
      <c r="O55" s="13">
        <v>1000</v>
      </c>
      <c r="P55" s="23">
        <v>3.98</v>
      </c>
      <c r="Q55" s="13">
        <f t="shared" si="18"/>
        <v>15.840400000000001</v>
      </c>
      <c r="R55" s="27">
        <v>93.19</v>
      </c>
      <c r="S55" s="21">
        <f t="shared" si="19"/>
        <v>370.89619999999996</v>
      </c>
      <c r="T55" s="22">
        <f t="shared" si="20"/>
        <v>23.414572864321606</v>
      </c>
      <c r="U55" s="1">
        <f t="shared" ref="U55:U64" si="21">S55*SQRT((0.01/P55)^2+(0.01/R55)^2)</f>
        <v>0.93274951085487035</v>
      </c>
      <c r="V55" s="1">
        <f t="shared" ref="V55:V64" si="22">T55*SQRT((0.01/P55)^2+(0.01/R55)^2)</f>
        <v>5.8884214467745152E-2</v>
      </c>
      <c r="W55" s="1" t="s">
        <v>38</v>
      </c>
    </row>
    <row r="56" spans="13:34" x14ac:dyDescent="0.25">
      <c r="N56" s="12">
        <v>3</v>
      </c>
      <c r="O56" s="13">
        <v>500</v>
      </c>
      <c r="P56" s="23">
        <v>7.7450000000000001</v>
      </c>
      <c r="Q56" s="13">
        <f t="shared" si="18"/>
        <v>59.985025</v>
      </c>
      <c r="R56" s="27">
        <v>181.27</v>
      </c>
      <c r="S56" s="21">
        <f t="shared" si="19"/>
        <v>1403.93615</v>
      </c>
      <c r="T56" s="22">
        <f t="shared" si="20"/>
        <v>23.404777275661719</v>
      </c>
      <c r="U56" s="1">
        <f t="shared" si="21"/>
        <v>1.8143538223014826</v>
      </c>
      <c r="V56" s="1">
        <f t="shared" si="22"/>
        <v>3.0246779463732533E-2</v>
      </c>
      <c r="W56" s="1" t="s">
        <v>38</v>
      </c>
    </row>
    <row r="57" spans="13:34" x14ac:dyDescent="0.25">
      <c r="N57" s="12">
        <v>4</v>
      </c>
      <c r="O57" s="13">
        <v>300</v>
      </c>
      <c r="P57" s="23">
        <v>12.452</v>
      </c>
      <c r="Q57" s="13">
        <f t="shared" si="18"/>
        <v>155.05230399999999</v>
      </c>
      <c r="R57" s="27">
        <v>291.55</v>
      </c>
      <c r="S57" s="21">
        <f t="shared" si="19"/>
        <v>3630.3806</v>
      </c>
      <c r="T57" s="22">
        <f t="shared" si="20"/>
        <v>23.41390941214263</v>
      </c>
      <c r="U57" s="1">
        <f t="shared" si="21"/>
        <v>2.9181578916158735</v>
      </c>
      <c r="V57" s="1">
        <f t="shared" si="22"/>
        <v>1.8820474229237341E-2</v>
      </c>
      <c r="W57" s="1" t="s">
        <v>38</v>
      </c>
      <c r="AD57" s="21">
        <v>98.034439999999989</v>
      </c>
      <c r="AE57" s="1">
        <f>AD57/1000</f>
        <v>9.8034439999999987E-2</v>
      </c>
    </row>
    <row r="58" spans="13:34" x14ac:dyDescent="0.25">
      <c r="N58" s="12">
        <v>5</v>
      </c>
      <c r="O58" s="13">
        <v>150</v>
      </c>
      <c r="P58" s="23">
        <v>22.887</v>
      </c>
      <c r="Q58" s="13">
        <f t="shared" si="18"/>
        <v>523.81476900000007</v>
      </c>
      <c r="R58" s="27">
        <v>536.74</v>
      </c>
      <c r="S58" s="21">
        <f t="shared" si="19"/>
        <v>12284.36838</v>
      </c>
      <c r="T58" s="22">
        <f t="shared" si="20"/>
        <v>23.451741163105694</v>
      </c>
      <c r="U58" s="1">
        <f t="shared" si="21"/>
        <v>5.3722773789985938</v>
      </c>
      <c r="V58" s="1">
        <f t="shared" si="22"/>
        <v>1.0256063205805856E-2</v>
      </c>
      <c r="W58" s="1" t="s">
        <v>38</v>
      </c>
      <c r="AD58" s="21">
        <v>380.73437999999999</v>
      </c>
      <c r="AE58" s="1">
        <f t="shared" ref="AE58:AE74" si="23">AD58/1000</f>
        <v>0.38073437999999998</v>
      </c>
    </row>
    <row r="59" spans="13:34" x14ac:dyDescent="0.25">
      <c r="N59" s="12">
        <v>6</v>
      </c>
      <c r="O59" s="13">
        <v>100</v>
      </c>
      <c r="P59" s="23">
        <v>31.75</v>
      </c>
      <c r="Q59" s="13">
        <f t="shared" si="18"/>
        <v>1008.0625</v>
      </c>
      <c r="R59" s="27">
        <v>746.35</v>
      </c>
      <c r="S59" s="21">
        <f t="shared" si="19"/>
        <v>23696.612499999999</v>
      </c>
      <c r="T59" s="22">
        <f t="shared" si="20"/>
        <v>23.507086614173229</v>
      </c>
      <c r="U59" s="1">
        <f t="shared" si="21"/>
        <v>7.4702502300793103</v>
      </c>
      <c r="V59" s="1">
        <f t="shared" si="22"/>
        <v>7.4105030492447746E-3</v>
      </c>
      <c r="W59" s="1" t="s">
        <v>38</v>
      </c>
      <c r="AD59" s="21">
        <v>1439.0967500000002</v>
      </c>
      <c r="AE59" s="1">
        <f t="shared" si="23"/>
        <v>1.4390967500000003</v>
      </c>
    </row>
    <row r="60" spans="13:34" x14ac:dyDescent="0.25">
      <c r="N60" s="12">
        <v>7</v>
      </c>
      <c r="O60" s="13">
        <v>70</v>
      </c>
      <c r="P60" s="23">
        <v>41.328000000000003</v>
      </c>
      <c r="Q60" s="13">
        <f t="shared" si="18"/>
        <v>1708.0035840000003</v>
      </c>
      <c r="R60" s="27">
        <v>974.9</v>
      </c>
      <c r="S60" s="21">
        <f t="shared" si="19"/>
        <v>40290.667200000004</v>
      </c>
      <c r="T60" s="22">
        <f t="shared" si="20"/>
        <v>23.589334107626787</v>
      </c>
      <c r="U60" s="1">
        <f t="shared" si="21"/>
        <v>9.7577559591537231</v>
      </c>
      <c r="V60" s="1">
        <f t="shared" si="22"/>
        <v>5.7129598851905694E-3</v>
      </c>
      <c r="W60" s="1" t="s">
        <v>38</v>
      </c>
      <c r="AD60" s="21">
        <v>3715.6729999999998</v>
      </c>
      <c r="AE60" s="1">
        <f t="shared" si="23"/>
        <v>3.7156729999999998</v>
      </c>
    </row>
    <row r="61" spans="13:34" x14ac:dyDescent="0.25">
      <c r="N61" s="12">
        <v>8</v>
      </c>
      <c r="O61" s="13">
        <v>50</v>
      </c>
      <c r="P61" s="23">
        <v>51.713000000000001</v>
      </c>
      <c r="Q61" s="13">
        <f t="shared" si="18"/>
        <v>2674.2343690000002</v>
      </c>
      <c r="R61" s="27">
        <v>1225.42</v>
      </c>
      <c r="S61" s="21">
        <f t="shared" si="19"/>
        <v>63370.144460000003</v>
      </c>
      <c r="T61" s="22">
        <f t="shared" si="20"/>
        <v>23.696555991723553</v>
      </c>
      <c r="U61" s="1">
        <f t="shared" si="21"/>
        <v>12.265106647595855</v>
      </c>
      <c r="V61" s="1">
        <f t="shared" si="22"/>
        <v>4.5863993035817029E-3</v>
      </c>
      <c r="W61" s="1" t="s">
        <v>38</v>
      </c>
      <c r="AD61" s="21">
        <v>12533.0784</v>
      </c>
      <c r="AE61" s="1">
        <f t="shared" si="23"/>
        <v>12.533078400000001</v>
      </c>
    </row>
    <row r="62" spans="13:34" x14ac:dyDescent="0.25">
      <c r="N62" s="12">
        <v>9</v>
      </c>
      <c r="O62" s="13">
        <v>30</v>
      </c>
      <c r="P62" s="23">
        <v>68.900000000000006</v>
      </c>
      <c r="Q62" s="13">
        <f t="shared" si="18"/>
        <v>4747.2100000000009</v>
      </c>
      <c r="R62" s="27">
        <v>1649.2</v>
      </c>
      <c r="S62" s="21">
        <f t="shared" si="19"/>
        <v>113629.88000000002</v>
      </c>
      <c r="T62" s="22">
        <f t="shared" si="20"/>
        <v>23.936139332365745</v>
      </c>
      <c r="U62" s="1">
        <f t="shared" si="21"/>
        <v>16.506386188381757</v>
      </c>
      <c r="V62" s="1">
        <f t="shared" si="22"/>
        <v>3.4770709929372728E-3</v>
      </c>
      <c r="W62" s="1" t="s">
        <v>38</v>
      </c>
      <c r="AD62" s="21">
        <v>24105.196639999998</v>
      </c>
      <c r="AE62" s="1">
        <f t="shared" si="23"/>
        <v>24.105196639999999</v>
      </c>
    </row>
    <row r="63" spans="13:34" x14ac:dyDescent="0.25">
      <c r="N63" s="12">
        <v>10</v>
      </c>
      <c r="O63" s="13">
        <v>20</v>
      </c>
      <c r="P63" s="23">
        <v>82.44</v>
      </c>
      <c r="Q63" s="13">
        <f t="shared" si="18"/>
        <v>6796.3535999999995</v>
      </c>
      <c r="R63" s="27">
        <v>1993</v>
      </c>
      <c r="S63" s="21">
        <f t="shared" si="19"/>
        <v>164302.91999999998</v>
      </c>
      <c r="T63" s="22">
        <f t="shared" si="20"/>
        <v>24.175157690441534</v>
      </c>
      <c r="U63" s="1">
        <f t="shared" si="21"/>
        <v>19.947043273628299</v>
      </c>
      <c r="V63" s="1">
        <f t="shared" si="22"/>
        <v>2.9349625472147745E-3</v>
      </c>
      <c r="W63" s="1" t="s">
        <v>38</v>
      </c>
      <c r="AD63" s="21">
        <v>40854.052560000004</v>
      </c>
      <c r="AE63" s="1">
        <f t="shared" si="23"/>
        <v>40.854052560000007</v>
      </c>
    </row>
    <row r="64" spans="13:34" x14ac:dyDescent="0.25">
      <c r="N64" s="12">
        <v>11</v>
      </c>
      <c r="O64" s="13">
        <v>15</v>
      </c>
      <c r="P64" s="23">
        <v>91.316000000000003</v>
      </c>
      <c r="Q64" s="13">
        <f t="shared" si="18"/>
        <v>8338.6118560000014</v>
      </c>
      <c r="R64" s="27">
        <v>2223.4699999999998</v>
      </c>
      <c r="S64" s="23">
        <f t="shared" si="19"/>
        <v>203038.38652</v>
      </c>
      <c r="T64" s="24">
        <f t="shared" si="20"/>
        <v>24.349183056638484</v>
      </c>
      <c r="U64" s="1">
        <f t="shared" si="21"/>
        <v>22.253443447601541</v>
      </c>
      <c r="V64" s="1">
        <f t="shared" si="22"/>
        <v>2.6687227840673749E-3</v>
      </c>
      <c r="W64" s="1" t="s">
        <v>38</v>
      </c>
      <c r="AD64" s="21">
        <v>64040.781600000002</v>
      </c>
      <c r="AE64" s="1">
        <f t="shared" si="23"/>
        <v>64.040781600000003</v>
      </c>
    </row>
    <row r="65" spans="13:31" x14ac:dyDescent="0.25">
      <c r="N65" s="12">
        <v>12</v>
      </c>
      <c r="O65" s="13"/>
      <c r="P65" s="13"/>
      <c r="Q65" s="13">
        <f t="shared" si="18"/>
        <v>0</v>
      </c>
      <c r="R65" s="13"/>
      <c r="S65" s="13">
        <f t="shared" si="19"/>
        <v>0</v>
      </c>
      <c r="T65" s="15" t="e">
        <f t="shared" si="20"/>
        <v>#DIV/0!</v>
      </c>
      <c r="V65" s="13"/>
      <c r="AD65" s="21">
        <v>114176.1404</v>
      </c>
      <c r="AE65" s="1">
        <f t="shared" si="23"/>
        <v>114.17614040000001</v>
      </c>
    </row>
    <row r="66" spans="13:31" x14ac:dyDescent="0.25">
      <c r="N66" s="12">
        <v>13</v>
      </c>
      <c r="O66" s="13"/>
      <c r="P66" s="13"/>
      <c r="Q66" s="13">
        <f t="shared" si="18"/>
        <v>0</v>
      </c>
      <c r="R66" s="13"/>
      <c r="S66" s="13">
        <f t="shared" si="19"/>
        <v>0</v>
      </c>
      <c r="T66" s="15" t="e">
        <f t="shared" si="20"/>
        <v>#DIV/0!</v>
      </c>
      <c r="V66" s="13"/>
      <c r="AD66" s="21">
        <v>164387.76112000001</v>
      </c>
      <c r="AE66" s="1">
        <f t="shared" si="23"/>
        <v>164.38776112000002</v>
      </c>
    </row>
    <row r="67" spans="13:31" x14ac:dyDescent="0.25">
      <c r="N67" s="12">
        <v>14</v>
      </c>
      <c r="O67" s="13"/>
      <c r="P67" s="13"/>
      <c r="Q67" s="13">
        <f t="shared" si="18"/>
        <v>0</v>
      </c>
      <c r="R67" s="13"/>
      <c r="S67" s="13">
        <f t="shared" si="19"/>
        <v>0</v>
      </c>
      <c r="T67" s="15" t="e">
        <f t="shared" si="20"/>
        <v>#DIV/0!</v>
      </c>
      <c r="V67" s="13"/>
      <c r="AD67" s="23">
        <v>202545.38258999999</v>
      </c>
      <c r="AE67" s="1">
        <f t="shared" si="23"/>
        <v>202.54538259</v>
      </c>
    </row>
    <row r="68" spans="13:31" x14ac:dyDescent="0.25">
      <c r="N68" s="12">
        <v>15</v>
      </c>
      <c r="O68" s="13"/>
      <c r="P68" s="13"/>
      <c r="Q68" s="13">
        <f t="shared" si="18"/>
        <v>0</v>
      </c>
      <c r="R68" s="13"/>
      <c r="S68" s="13">
        <f t="shared" si="19"/>
        <v>0</v>
      </c>
      <c r="T68" s="15" t="e">
        <f t="shared" si="20"/>
        <v>#DIV/0!</v>
      </c>
      <c r="V68" s="13"/>
      <c r="AD68" s="1">
        <v>255119.1477</v>
      </c>
      <c r="AE68" s="1">
        <f t="shared" si="23"/>
        <v>255.11914770000001</v>
      </c>
    </row>
    <row r="69" spans="13:31" x14ac:dyDescent="0.25">
      <c r="N69" s="12">
        <v>16</v>
      </c>
      <c r="O69" s="13"/>
      <c r="P69" s="13"/>
      <c r="Q69" s="13">
        <f t="shared" si="18"/>
        <v>0</v>
      </c>
      <c r="R69" s="13"/>
      <c r="S69" s="13">
        <f t="shared" si="19"/>
        <v>0</v>
      </c>
      <c r="T69" s="15" t="e">
        <f t="shared" si="20"/>
        <v>#DIV/0!</v>
      </c>
      <c r="V69" s="13"/>
      <c r="AD69" s="1">
        <v>23279.074500000002</v>
      </c>
      <c r="AE69" s="1">
        <f t="shared" si="23"/>
        <v>23.279074500000004</v>
      </c>
    </row>
    <row r="70" spans="13:31" x14ac:dyDescent="0.25">
      <c r="N70" s="12">
        <v>17</v>
      </c>
      <c r="O70" s="13"/>
      <c r="P70" s="13"/>
      <c r="Q70" s="13">
        <f t="shared" si="18"/>
        <v>0</v>
      </c>
      <c r="R70" s="13"/>
      <c r="S70" s="13">
        <f t="shared" si="19"/>
        <v>0</v>
      </c>
      <c r="T70" s="15" t="e">
        <f t="shared" si="20"/>
        <v>#DIV/0!</v>
      </c>
      <c r="V70" s="13"/>
      <c r="AD70" s="1">
        <v>39700.910839999997</v>
      </c>
      <c r="AE70" s="1">
        <f t="shared" si="23"/>
        <v>39.700910839999999</v>
      </c>
    </row>
    <row r="71" spans="13:31" x14ac:dyDescent="0.25">
      <c r="N71" s="16">
        <v>18</v>
      </c>
      <c r="O71" s="17"/>
      <c r="P71" s="17"/>
      <c r="Q71" s="17">
        <f t="shared" si="18"/>
        <v>0</v>
      </c>
      <c r="R71" s="17"/>
      <c r="S71" s="17">
        <f t="shared" si="19"/>
        <v>0</v>
      </c>
      <c r="T71" s="18" t="e">
        <f t="shared" si="20"/>
        <v>#DIV/0!</v>
      </c>
      <c r="V71" s="13"/>
      <c r="AD71" s="1">
        <v>62660.401920000004</v>
      </c>
      <c r="AE71" s="1">
        <f t="shared" si="23"/>
        <v>62.660401920000005</v>
      </c>
    </row>
    <row r="72" spans="13:31" x14ac:dyDescent="0.25">
      <c r="AC72" s="1" t="s">
        <v>29</v>
      </c>
      <c r="AD72" s="1">
        <v>82370.175600000002</v>
      </c>
      <c r="AE72" s="1">
        <f t="shared" si="23"/>
        <v>82.370175599999996</v>
      </c>
    </row>
    <row r="73" spans="13:31" x14ac:dyDescent="0.25">
      <c r="AC73" s="1" t="s">
        <v>30</v>
      </c>
      <c r="AD73" s="1">
        <v>113018.4825</v>
      </c>
      <c r="AE73" s="1">
        <f t="shared" si="23"/>
        <v>113.0184825</v>
      </c>
    </row>
    <row r="74" spans="13:31" x14ac:dyDescent="0.25">
      <c r="N74" s="9" t="s">
        <v>15</v>
      </c>
      <c r="O74" s="10" t="s">
        <v>20</v>
      </c>
      <c r="P74" s="10" t="s">
        <v>16</v>
      </c>
      <c r="Q74" s="10" t="s">
        <v>22</v>
      </c>
      <c r="R74" s="10" t="s">
        <v>17</v>
      </c>
      <c r="S74" s="10" t="s">
        <v>33</v>
      </c>
      <c r="T74" s="11" t="s">
        <v>34</v>
      </c>
      <c r="U74" s="1" t="s">
        <v>35</v>
      </c>
      <c r="V74" s="1" t="s">
        <v>36</v>
      </c>
      <c r="W74" s="1" t="s">
        <v>37</v>
      </c>
      <c r="AC74" s="1" t="s">
        <v>31</v>
      </c>
      <c r="AD74" s="1">
        <v>203470.26375000001</v>
      </c>
      <c r="AE74" s="1">
        <f t="shared" si="23"/>
        <v>203.47026375000002</v>
      </c>
    </row>
    <row r="75" spans="13:31" x14ac:dyDescent="0.25">
      <c r="M75" s="1" t="s">
        <v>32</v>
      </c>
      <c r="N75" s="12">
        <v>1</v>
      </c>
      <c r="O75" s="13">
        <v>2000</v>
      </c>
      <c r="P75" s="23">
        <v>2.0179999999999998</v>
      </c>
      <c r="Q75" s="14">
        <f t="shared" ref="Q75:Q92" si="24">P75^2</f>
        <v>4.0723239999999992</v>
      </c>
      <c r="R75" s="27">
        <v>48.58</v>
      </c>
      <c r="S75" s="21">
        <f t="shared" ref="S75:S86" si="25">R75*P75</f>
        <v>98.034439999999989</v>
      </c>
      <c r="T75" s="22">
        <f t="shared" ref="T75:T86" si="26">R75/P75</f>
        <v>24.073339940535185</v>
      </c>
      <c r="U75" s="1">
        <f>S75*SQRT((0.01/P75)^2+(0.01/R75)^2)</f>
        <v>0.48621895520434005</v>
      </c>
      <c r="V75" s="1">
        <f>T75*SQRT((0.01/P75)^2+(0.01/R75)^2)</f>
        <v>0.1193959407955605</v>
      </c>
      <c r="W75" s="1" t="s">
        <v>38</v>
      </c>
    </row>
    <row r="76" spans="13:31" x14ac:dyDescent="0.25">
      <c r="N76" s="12">
        <v>2</v>
      </c>
      <c r="O76" s="13">
        <v>1000</v>
      </c>
      <c r="P76" s="23">
        <v>3.9780000000000002</v>
      </c>
      <c r="Q76" s="13">
        <f t="shared" si="24"/>
        <v>15.824484000000002</v>
      </c>
      <c r="R76" s="27">
        <v>95.71</v>
      </c>
      <c r="S76" s="21">
        <f t="shared" si="25"/>
        <v>380.73437999999999</v>
      </c>
      <c r="T76" s="22">
        <f t="shared" si="26"/>
        <v>24.059829059829056</v>
      </c>
      <c r="U76" s="1">
        <f t="shared" ref="U76:U86" si="27">S76*SQRT((0.01/P76)^2+(0.01/R76)^2)</f>
        <v>0.9579263324494216</v>
      </c>
      <c r="V76" s="1">
        <f t="shared" ref="V76:V86" si="28">T76*SQRT((0.01/P76)^2+(0.01/R76)^2)</f>
        <v>6.0534443489558422E-2</v>
      </c>
      <c r="W76" s="1" t="s">
        <v>38</v>
      </c>
    </row>
    <row r="77" spans="13:31" x14ac:dyDescent="0.25">
      <c r="N77" s="12">
        <v>3</v>
      </c>
      <c r="O77" s="13">
        <v>500</v>
      </c>
      <c r="P77" s="23">
        <v>7.7350000000000003</v>
      </c>
      <c r="Q77" s="13">
        <f t="shared" si="24"/>
        <v>59.830225000000006</v>
      </c>
      <c r="R77" s="27">
        <v>186.05</v>
      </c>
      <c r="S77" s="21">
        <f t="shared" si="25"/>
        <v>1439.0967500000002</v>
      </c>
      <c r="T77" s="22">
        <f t="shared" si="26"/>
        <v>24.0530058177117</v>
      </c>
      <c r="U77" s="1">
        <f t="shared" si="27"/>
        <v>1.862107212944518</v>
      </c>
      <c r="V77" s="1">
        <f t="shared" si="28"/>
        <v>3.1123185863742246E-2</v>
      </c>
      <c r="W77" s="1" t="s">
        <v>38</v>
      </c>
    </row>
    <row r="78" spans="13:31" x14ac:dyDescent="0.25">
      <c r="N78" s="12">
        <v>4</v>
      </c>
      <c r="O78" s="13">
        <v>300</v>
      </c>
      <c r="P78" s="23">
        <v>12.427</v>
      </c>
      <c r="Q78" s="13">
        <f t="shared" si="24"/>
        <v>154.430329</v>
      </c>
      <c r="R78" s="27">
        <v>299</v>
      </c>
      <c r="S78" s="21">
        <f t="shared" si="25"/>
        <v>3715.6729999999998</v>
      </c>
      <c r="T78" s="22">
        <f t="shared" si="26"/>
        <v>24.060513398245757</v>
      </c>
      <c r="U78" s="1">
        <f t="shared" si="27"/>
        <v>2.992581332712613</v>
      </c>
      <c r="V78" s="1">
        <f t="shared" si="28"/>
        <v>1.9378196964876072E-2</v>
      </c>
      <c r="W78" s="1" t="s">
        <v>38</v>
      </c>
    </row>
    <row r="79" spans="13:31" x14ac:dyDescent="0.25">
      <c r="N79" s="12">
        <v>5</v>
      </c>
      <c r="O79" s="13">
        <v>150</v>
      </c>
      <c r="P79" s="23">
        <v>22.803999999999998</v>
      </c>
      <c r="Q79" s="13">
        <f t="shared" si="24"/>
        <v>520.02241599999991</v>
      </c>
      <c r="R79" s="27">
        <v>549.6</v>
      </c>
      <c r="S79" s="21">
        <f t="shared" si="25"/>
        <v>12533.0784</v>
      </c>
      <c r="T79" s="22">
        <f t="shared" si="26"/>
        <v>24.101034906156816</v>
      </c>
      <c r="U79" s="1">
        <f t="shared" si="27"/>
        <v>5.5007288827572669</v>
      </c>
      <c r="V79" s="1">
        <f t="shared" si="28"/>
        <v>1.0577868787020264E-2</v>
      </c>
      <c r="W79" s="1" t="s">
        <v>38</v>
      </c>
    </row>
    <row r="80" spans="13:31" x14ac:dyDescent="0.25">
      <c r="N80" s="12">
        <v>6</v>
      </c>
      <c r="O80" s="13">
        <v>100</v>
      </c>
      <c r="P80" s="23">
        <v>31.591000000000001</v>
      </c>
      <c r="Q80" s="13">
        <f t="shared" si="24"/>
        <v>997.99128100000007</v>
      </c>
      <c r="R80" s="27">
        <v>763.04</v>
      </c>
      <c r="S80" s="21">
        <f t="shared" si="25"/>
        <v>24105.196639999998</v>
      </c>
      <c r="T80" s="22">
        <f t="shared" si="26"/>
        <v>24.153714665569307</v>
      </c>
      <c r="U80" s="1">
        <f t="shared" si="27"/>
        <v>7.6369367738707892</v>
      </c>
      <c r="V80" s="1">
        <f t="shared" si="28"/>
        <v>7.6523081105663382E-3</v>
      </c>
      <c r="W80" s="1" t="s">
        <v>38</v>
      </c>
    </row>
    <row r="81" spans="14:23" x14ac:dyDescent="0.25">
      <c r="N81" s="12">
        <v>7</v>
      </c>
      <c r="O81" s="13">
        <v>70</v>
      </c>
      <c r="P81" s="23">
        <v>41.061</v>
      </c>
      <c r="Q81" s="13">
        <f t="shared" si="24"/>
        <v>1686.005721</v>
      </c>
      <c r="R81" s="27">
        <v>994.96</v>
      </c>
      <c r="S81" s="21">
        <f t="shared" si="25"/>
        <v>40854.052560000004</v>
      </c>
      <c r="T81" s="22">
        <f t="shared" si="26"/>
        <v>24.231265677893866</v>
      </c>
      <c r="U81" s="1">
        <f t="shared" si="27"/>
        <v>9.9580691266982093</v>
      </c>
      <c r="V81" s="1">
        <f t="shared" si="28"/>
        <v>5.9063080288908514E-3</v>
      </c>
      <c r="W81" s="1" t="s">
        <v>38</v>
      </c>
    </row>
    <row r="82" spans="14:23" x14ac:dyDescent="0.25">
      <c r="N82" s="12">
        <v>8</v>
      </c>
      <c r="O82" s="13">
        <v>50</v>
      </c>
      <c r="P82" s="23">
        <v>51.295000000000002</v>
      </c>
      <c r="Q82" s="13">
        <f t="shared" si="24"/>
        <v>2631.177025</v>
      </c>
      <c r="R82" s="27">
        <v>1248.48</v>
      </c>
      <c r="S82" s="21">
        <f t="shared" si="25"/>
        <v>64040.781600000002</v>
      </c>
      <c r="T82" s="22">
        <f t="shared" si="26"/>
        <v>24.339214348377034</v>
      </c>
      <c r="U82" s="1">
        <f t="shared" si="27"/>
        <v>12.495333078493747</v>
      </c>
      <c r="V82" s="1">
        <f t="shared" si="28"/>
        <v>4.7489518796226737E-3</v>
      </c>
      <c r="W82" s="1" t="s">
        <v>38</v>
      </c>
    </row>
    <row r="83" spans="14:23" x14ac:dyDescent="0.25">
      <c r="N83" s="12">
        <v>9</v>
      </c>
      <c r="O83" s="13">
        <v>30</v>
      </c>
      <c r="P83" s="23">
        <v>68.173000000000002</v>
      </c>
      <c r="Q83" s="13">
        <f t="shared" si="24"/>
        <v>4647.5579290000005</v>
      </c>
      <c r="R83" s="27">
        <v>1674.8</v>
      </c>
      <c r="S83" s="21">
        <f t="shared" si="25"/>
        <v>114176.1404</v>
      </c>
      <c r="T83" s="22">
        <f t="shared" si="26"/>
        <v>24.566910653777889</v>
      </c>
      <c r="U83" s="1">
        <f t="shared" si="27"/>
        <v>16.761869221327913</v>
      </c>
      <c r="V83" s="1">
        <f t="shared" si="28"/>
        <v>3.6065971586360644E-3</v>
      </c>
      <c r="W83" s="1" t="s">
        <v>38</v>
      </c>
    </row>
    <row r="84" spans="14:23" x14ac:dyDescent="0.25">
      <c r="N84" s="12">
        <v>10</v>
      </c>
      <c r="O84" s="13">
        <v>20</v>
      </c>
      <c r="P84" s="23">
        <v>81.421999999999997</v>
      </c>
      <c r="Q84" s="13">
        <f t="shared" si="24"/>
        <v>6629.5420839999997</v>
      </c>
      <c r="R84" s="27">
        <v>2018.96</v>
      </c>
      <c r="S84" s="21">
        <f t="shared" si="25"/>
        <v>164387.76112000001</v>
      </c>
      <c r="T84" s="22">
        <f t="shared" si="26"/>
        <v>24.796246714647147</v>
      </c>
      <c r="U84" s="1">
        <f t="shared" si="27"/>
        <v>20.206011540341162</v>
      </c>
      <c r="V84" s="1">
        <f t="shared" si="28"/>
        <v>3.0478743907678255E-3</v>
      </c>
      <c r="W84" s="1" t="s">
        <v>38</v>
      </c>
    </row>
    <row r="85" spans="14:23" x14ac:dyDescent="0.25">
      <c r="N85" s="12">
        <v>11</v>
      </c>
      <c r="O85" s="13">
        <v>15</v>
      </c>
      <c r="P85" s="23">
        <v>90.063000000000002</v>
      </c>
      <c r="Q85" s="13">
        <f t="shared" si="24"/>
        <v>8111.3439690000005</v>
      </c>
      <c r="R85" s="27">
        <v>2248.9299999999998</v>
      </c>
      <c r="S85" s="23">
        <f t="shared" si="25"/>
        <v>202545.38258999999</v>
      </c>
      <c r="T85" s="24">
        <f t="shared" si="26"/>
        <v>24.970631668942847</v>
      </c>
      <c r="U85" s="1">
        <f t="shared" si="27"/>
        <v>22.507326560187021</v>
      </c>
      <c r="V85" s="1">
        <f t="shared" si="28"/>
        <v>2.7747962170271289E-3</v>
      </c>
      <c r="W85" s="1" t="s">
        <v>38</v>
      </c>
    </row>
    <row r="86" spans="14:23" x14ac:dyDescent="0.25">
      <c r="N86" s="12">
        <v>12</v>
      </c>
      <c r="O86" s="13">
        <v>10</v>
      </c>
      <c r="P86" s="23">
        <v>100.60299999999999</v>
      </c>
      <c r="Q86" s="13">
        <f t="shared" si="24"/>
        <v>10120.963608999999</v>
      </c>
      <c r="R86" s="27">
        <v>2535.9</v>
      </c>
      <c r="S86" s="23">
        <f t="shared" si="25"/>
        <v>255119.1477</v>
      </c>
      <c r="T86" s="24">
        <f t="shared" si="26"/>
        <v>25.207001779271</v>
      </c>
      <c r="U86" s="1">
        <f t="shared" si="27"/>
        <v>25.378947522718512</v>
      </c>
      <c r="V86" s="1">
        <f t="shared" si="28"/>
        <v>2.5075623728308296E-3</v>
      </c>
      <c r="W86" s="1" t="s">
        <v>38</v>
      </c>
    </row>
    <row r="87" spans="14:23" x14ac:dyDescent="0.25">
      <c r="N87" s="12">
        <v>13</v>
      </c>
      <c r="O87" s="13"/>
      <c r="P87" s="13"/>
      <c r="Q87" s="13">
        <f t="shared" si="24"/>
        <v>0</v>
      </c>
      <c r="R87" s="13"/>
      <c r="S87" s="13"/>
      <c r="T87" s="13"/>
      <c r="U87" s="15"/>
      <c r="V87" s="13"/>
    </row>
    <row r="88" spans="14:23" x14ac:dyDescent="0.25">
      <c r="N88" s="12">
        <v>14</v>
      </c>
      <c r="O88" s="13"/>
      <c r="P88" s="13"/>
      <c r="Q88" s="13">
        <f t="shared" si="24"/>
        <v>0</v>
      </c>
      <c r="R88" s="13"/>
      <c r="S88" s="13"/>
      <c r="T88" s="13"/>
      <c r="U88" s="15"/>
      <c r="V88" s="13"/>
    </row>
    <row r="89" spans="14:23" x14ac:dyDescent="0.25">
      <c r="N89" s="12">
        <v>15</v>
      </c>
      <c r="O89" s="13"/>
      <c r="P89" s="13"/>
      <c r="Q89" s="13">
        <f t="shared" si="24"/>
        <v>0</v>
      </c>
      <c r="R89" s="13"/>
      <c r="S89" s="13"/>
      <c r="T89" s="13"/>
      <c r="U89" s="15"/>
      <c r="V89" s="13"/>
    </row>
    <row r="90" spans="14:23" x14ac:dyDescent="0.25">
      <c r="N90" s="12">
        <v>16</v>
      </c>
      <c r="O90" s="13"/>
      <c r="P90" s="13"/>
      <c r="Q90" s="13">
        <f t="shared" si="24"/>
        <v>0</v>
      </c>
      <c r="R90" s="13"/>
      <c r="S90" s="13"/>
      <c r="T90" s="13"/>
      <c r="U90" s="15"/>
      <c r="V90" s="13"/>
    </row>
    <row r="91" spans="14:23" x14ac:dyDescent="0.25">
      <c r="N91" s="12">
        <v>17</v>
      </c>
      <c r="O91" s="13"/>
      <c r="P91" s="13"/>
      <c r="Q91" s="13">
        <f t="shared" si="24"/>
        <v>0</v>
      </c>
      <c r="R91" s="13"/>
      <c r="S91" s="13"/>
      <c r="T91" s="13"/>
      <c r="U91" s="15"/>
      <c r="V91" s="13"/>
    </row>
    <row r="92" spans="14:23" x14ac:dyDescent="0.25">
      <c r="N92" s="16">
        <v>18</v>
      </c>
      <c r="O92" s="17"/>
      <c r="P92" s="17"/>
      <c r="Q92" s="17">
        <f t="shared" si="24"/>
        <v>0</v>
      </c>
      <c r="R92" s="17"/>
      <c r="S92" s="17"/>
      <c r="T92" s="17"/>
      <c r="U92" s="18"/>
      <c r="V9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7930-D0F1-473E-A318-A30021E7B060}">
  <dimension ref="C2:AA75"/>
  <sheetViews>
    <sheetView tabSelected="1" topLeftCell="B45" zoomScale="115" zoomScaleNormal="115" workbookViewId="0">
      <selection activeCell="J64" sqref="J64"/>
    </sheetView>
  </sheetViews>
  <sheetFormatPr defaultRowHeight="15" x14ac:dyDescent="0.25"/>
  <cols>
    <col min="1" max="4" width="9.140625" style="29"/>
    <col min="5" max="5" width="17.28515625" style="35" customWidth="1"/>
    <col min="6" max="6" width="12.140625" style="29" customWidth="1"/>
    <col min="7" max="7" width="9.140625" style="29"/>
    <col min="8" max="8" width="9.28515625" style="29" bestFit="1" customWidth="1"/>
    <col min="9" max="9" width="16.42578125" style="29" customWidth="1"/>
    <col min="10" max="10" width="9.28515625" style="29" bestFit="1" customWidth="1"/>
    <col min="11" max="11" width="32.28515625" style="29" customWidth="1"/>
    <col min="12" max="13" width="9.28515625" style="29" bestFit="1" customWidth="1"/>
    <col min="14" max="14" width="10.5703125" style="29" bestFit="1" customWidth="1"/>
    <col min="15" max="15" width="9.28515625" style="29" bestFit="1" customWidth="1"/>
    <col min="16" max="16" width="16.28515625" style="29" bestFit="1" customWidth="1"/>
    <col min="17" max="18" width="9.28515625" style="29" bestFit="1" customWidth="1"/>
    <col min="19" max="19" width="10.5703125" style="29" bestFit="1" customWidth="1"/>
    <col min="20" max="20" width="9.28515625" style="29" bestFit="1" customWidth="1"/>
    <col min="21" max="21" width="16.28515625" style="29" bestFit="1" customWidth="1"/>
    <col min="22" max="23" width="9.28515625" style="29" bestFit="1" customWidth="1"/>
    <col min="24" max="24" width="10.5703125" style="29" bestFit="1" customWidth="1"/>
    <col min="25" max="25" width="9.28515625" style="29" bestFit="1" customWidth="1"/>
    <col min="26" max="26" width="16.28515625" style="29" bestFit="1" customWidth="1"/>
    <col min="27" max="27" width="9.28515625" style="29" bestFit="1" customWidth="1"/>
    <col min="28" max="16384" width="9.140625" style="29"/>
  </cols>
  <sheetData>
    <row r="2" spans="4:27" x14ac:dyDescent="0.25">
      <c r="D2" s="29" t="s">
        <v>40</v>
      </c>
      <c r="E2" s="36">
        <v>0</v>
      </c>
      <c r="F2" s="29">
        <v>22.102102102</v>
      </c>
      <c r="I2" s="29" t="s">
        <v>33</v>
      </c>
      <c r="J2" s="29" t="s">
        <v>34</v>
      </c>
      <c r="K2" s="29" t="s">
        <v>42</v>
      </c>
      <c r="L2" s="29" t="s">
        <v>43</v>
      </c>
      <c r="N2" s="29" t="s">
        <v>33</v>
      </c>
      <c r="O2" s="29" t="s">
        <v>34</v>
      </c>
      <c r="P2" s="29" t="s">
        <v>42</v>
      </c>
      <c r="Q2" s="29" t="s">
        <v>43</v>
      </c>
      <c r="S2" s="29" t="s">
        <v>33</v>
      </c>
      <c r="T2" s="29" t="s">
        <v>34</v>
      </c>
      <c r="U2" s="29" t="s">
        <v>42</v>
      </c>
      <c r="V2" s="29" t="s">
        <v>43</v>
      </c>
      <c r="X2" s="29" t="s">
        <v>33</v>
      </c>
      <c r="Y2" s="29" t="s">
        <v>34</v>
      </c>
      <c r="Z2" s="29" t="s">
        <v>42</v>
      </c>
      <c r="AA2" s="29" t="s">
        <v>43</v>
      </c>
    </row>
    <row r="3" spans="4:27" x14ac:dyDescent="0.25">
      <c r="D3" s="29" t="s">
        <v>41</v>
      </c>
      <c r="E3" s="36">
        <v>260000</v>
      </c>
      <c r="F3" s="29">
        <v>23.382582582582501</v>
      </c>
      <c r="H3" s="29">
        <v>1</v>
      </c>
      <c r="I3" s="29">
        <v>3.68581</v>
      </c>
      <c r="J3" s="29">
        <v>22.098432908912834</v>
      </c>
      <c r="K3" s="29">
        <f>(I3/1000000)^2</f>
        <v>1.3585195356100002E-11</v>
      </c>
      <c r="L3" s="29">
        <f>J3^2</f>
        <v>488.34073702972171</v>
      </c>
      <c r="M3" s="29">
        <v>1</v>
      </c>
      <c r="N3" s="29">
        <v>92.716517999999994</v>
      </c>
      <c r="O3" s="29">
        <v>22.744923229321444</v>
      </c>
      <c r="P3" s="29">
        <f>(N3/1000000)^2</f>
        <v>8.5963527100443214E-9</v>
      </c>
      <c r="Q3" s="29">
        <f>O3^2</f>
        <v>517.33153270772618</v>
      </c>
      <c r="R3" s="29">
        <v>1</v>
      </c>
      <c r="S3" s="29">
        <v>95.431219999999982</v>
      </c>
      <c r="T3" s="29">
        <v>23.434093161546087</v>
      </c>
      <c r="U3" s="29">
        <f>(S3/1000000)^2</f>
        <v>9.107117750688395E-9</v>
      </c>
      <c r="V3" s="29">
        <f>T3^2</f>
        <v>549.15672230402106</v>
      </c>
      <c r="W3" s="29">
        <v>1</v>
      </c>
      <c r="X3" s="29">
        <v>98.034439999999989</v>
      </c>
      <c r="Y3" s="29">
        <v>24.073339940535185</v>
      </c>
      <c r="Z3" s="29">
        <f>(X3/1000000)^2</f>
        <v>9.6107514261135983E-9</v>
      </c>
      <c r="AA3" s="29">
        <f>Y3^2</f>
        <v>579.52569589256655</v>
      </c>
    </row>
    <row r="4" spans="4:27" x14ac:dyDescent="0.25">
      <c r="D4" s="29" t="s">
        <v>39</v>
      </c>
      <c r="E4" s="36">
        <f>(F3-F2)/E3</f>
        <v>4.924924925317311E-6</v>
      </c>
      <c r="F4" s="38">
        <f>E4*10^5</f>
        <v>0.49249249253173111</v>
      </c>
      <c r="H4" s="29">
        <v>2</v>
      </c>
      <c r="I4" s="29">
        <v>4.5450720000000002</v>
      </c>
      <c r="J4" s="29">
        <v>22.089947089947088</v>
      </c>
      <c r="K4" s="29">
        <f t="shared" ref="K4:K17" si="0">(I4/1000000)^2</f>
        <v>2.0657679485184001E-11</v>
      </c>
      <c r="L4" s="29">
        <f t="shared" ref="L4:L17" si="1">J4^2</f>
        <v>487.96576243666186</v>
      </c>
      <c r="M4" s="29">
        <v>2</v>
      </c>
      <c r="N4" s="29">
        <v>163.33796000000001</v>
      </c>
      <c r="O4" s="29">
        <v>22.741417910447762</v>
      </c>
      <c r="P4" s="29">
        <f t="shared" ref="P4:P19" si="2">(N4/1000000)^2</f>
        <v>2.6679289176961604E-8</v>
      </c>
      <c r="Q4" s="29">
        <f t="shared" ref="Q4:Q20" si="3">O4^2</f>
        <v>517.17208857763421</v>
      </c>
      <c r="R4" s="29">
        <v>2</v>
      </c>
      <c r="S4" s="29">
        <v>370.89619999999996</v>
      </c>
      <c r="T4" s="29">
        <v>23.414572864321606</v>
      </c>
      <c r="U4" s="29">
        <f t="shared" ref="U4:U13" si="4">(S4/1000000)^2</f>
        <v>1.3756399117443997E-7</v>
      </c>
      <c r="V4" s="29">
        <f t="shared" ref="U4:V12" si="5">T4^2</f>
        <v>548.24222241862572</v>
      </c>
      <c r="W4" s="29">
        <v>2</v>
      </c>
      <c r="X4" s="29">
        <v>380.73437999999999</v>
      </c>
      <c r="Y4" s="29">
        <v>24.059829059829056</v>
      </c>
      <c r="Z4" s="29">
        <f t="shared" ref="Z4:Z14" si="6">(X4/1000000)^2</f>
        <v>1.4495866811398438E-7</v>
      </c>
      <c r="AA4" s="29">
        <f t="shared" ref="AA4:AA14" si="7">Y4^2</f>
        <v>578.8753743881947</v>
      </c>
    </row>
    <row r="5" spans="4:27" x14ac:dyDescent="0.25">
      <c r="E5" s="36"/>
      <c r="H5" s="29">
        <v>3</v>
      </c>
      <c r="I5" s="29">
        <v>5.7477</v>
      </c>
      <c r="J5" s="29">
        <v>22.098039215686274</v>
      </c>
      <c r="K5" s="29">
        <f t="shared" si="0"/>
        <v>3.3036055289999998E-11</v>
      </c>
      <c r="L5" s="29">
        <f t="shared" si="1"/>
        <v>488.32333717800844</v>
      </c>
      <c r="M5" s="29">
        <v>3</v>
      </c>
      <c r="N5" s="29">
        <v>360.79607200000004</v>
      </c>
      <c r="O5" s="29">
        <v>22.742656289229224</v>
      </c>
      <c r="P5" s="29">
        <f t="shared" si="2"/>
        <v>1.301738055706292E-7</v>
      </c>
      <c r="Q5" s="29">
        <f t="shared" si="3"/>
        <v>517.22841509001762</v>
      </c>
      <c r="R5" s="29">
        <v>3</v>
      </c>
      <c r="S5" s="29">
        <v>1403.93615</v>
      </c>
      <c r="T5" s="29">
        <v>23.404777275661719</v>
      </c>
      <c r="U5" s="29">
        <f t="shared" si="4"/>
        <v>1.9710367132768226E-6</v>
      </c>
      <c r="V5" s="29">
        <f t="shared" si="5"/>
        <v>547.78359932333115</v>
      </c>
      <c r="W5" s="29">
        <v>3</v>
      </c>
      <c r="X5" s="29">
        <v>1439.0967500000002</v>
      </c>
      <c r="Y5" s="29">
        <v>24.0530058177117</v>
      </c>
      <c r="Z5" s="29">
        <f t="shared" si="6"/>
        <v>2.070999455860563E-6</v>
      </c>
      <c r="AA5" s="29">
        <f t="shared" si="7"/>
        <v>578.54708886687285</v>
      </c>
    </row>
    <row r="6" spans="4:27" x14ac:dyDescent="0.25">
      <c r="D6" s="29" t="s">
        <v>40</v>
      </c>
      <c r="E6" s="36">
        <v>0</v>
      </c>
      <c r="F6" s="29">
        <v>22.7447447447447</v>
      </c>
      <c r="H6" s="29">
        <v>4</v>
      </c>
      <c r="I6" s="29">
        <v>7.498062</v>
      </c>
      <c r="J6" s="29">
        <v>22.090628218331616</v>
      </c>
      <c r="K6" s="29">
        <f t="shared" si="0"/>
        <v>5.6220933755843997E-11</v>
      </c>
      <c r="L6" s="29">
        <f t="shared" si="1"/>
        <v>487.99585508054906</v>
      </c>
      <c r="M6" s="29">
        <v>4</v>
      </c>
      <c r="N6" s="29">
        <v>442.83244000000002</v>
      </c>
      <c r="O6" s="29">
        <v>22.749320036264734</v>
      </c>
      <c r="P6" s="29">
        <f t="shared" si="2"/>
        <v>1.9610056991635361E-7</v>
      </c>
      <c r="Q6" s="29">
        <f t="shared" si="3"/>
        <v>517.53156211239605</v>
      </c>
      <c r="R6" s="29">
        <v>4</v>
      </c>
      <c r="S6" s="29">
        <v>3630.3806</v>
      </c>
      <c r="T6" s="29">
        <v>23.41390941214263</v>
      </c>
      <c r="U6" s="29">
        <f t="shared" si="4"/>
        <v>1.3179663300856361E-5</v>
      </c>
      <c r="V6" s="29">
        <f t="shared" si="5"/>
        <v>548.21115396002119</v>
      </c>
      <c r="W6" s="29">
        <v>4</v>
      </c>
      <c r="X6" s="29">
        <v>3715.6729999999998</v>
      </c>
      <c r="Y6" s="29">
        <v>24.060513398245757</v>
      </c>
      <c r="Z6" s="29">
        <f t="shared" si="6"/>
        <v>1.3806225842928996E-5</v>
      </c>
      <c r="AA6" s="29">
        <f t="shared" si="7"/>
        <v>578.90830498716355</v>
      </c>
    </row>
    <row r="7" spans="4:27" x14ac:dyDescent="0.25">
      <c r="D7" s="29" t="s">
        <v>41</v>
      </c>
      <c r="E7" s="36">
        <v>260000</v>
      </c>
      <c r="F7" s="29">
        <v>23.9913913913913</v>
      </c>
      <c r="H7" s="29">
        <v>5</v>
      </c>
      <c r="I7" s="29">
        <v>10.196293000000001</v>
      </c>
      <c r="J7" s="29">
        <v>22.096275577800675</v>
      </c>
      <c r="K7" s="29">
        <f t="shared" si="0"/>
        <v>1.03964390941849E-10</v>
      </c>
      <c r="L7" s="29">
        <f t="shared" si="1"/>
        <v>488.24539441011058</v>
      </c>
      <c r="M7" s="29">
        <v>5</v>
      </c>
      <c r="N7" s="29">
        <v>556.26305000000002</v>
      </c>
      <c r="O7" s="29">
        <v>22.748230535894841</v>
      </c>
      <c r="P7" s="29">
        <f t="shared" si="2"/>
        <v>3.094285807953025E-7</v>
      </c>
      <c r="Q7" s="29">
        <f t="shared" si="3"/>
        <v>517.48199251421852</v>
      </c>
      <c r="R7" s="29">
        <v>5</v>
      </c>
      <c r="S7" s="29">
        <v>12284.36838</v>
      </c>
      <c r="T7" s="29">
        <v>23.451741163105694</v>
      </c>
      <c r="U7" s="29">
        <f t="shared" si="4"/>
        <v>1.5090570649554385E-4</v>
      </c>
      <c r="V7" s="29">
        <f t="shared" si="5"/>
        <v>549.98416358130601</v>
      </c>
      <c r="W7" s="29">
        <v>5</v>
      </c>
      <c r="X7" s="29">
        <v>12533.0784</v>
      </c>
      <c r="Y7" s="29">
        <v>24.101034906156816</v>
      </c>
      <c r="Z7" s="29">
        <f t="shared" si="6"/>
        <v>1.5707805418054655E-4</v>
      </c>
      <c r="AA7" s="29">
        <f t="shared" si="7"/>
        <v>580.85988354778931</v>
      </c>
    </row>
    <row r="8" spans="4:27" x14ac:dyDescent="0.25">
      <c r="D8" s="29" t="s">
        <v>39</v>
      </c>
      <c r="E8" s="36">
        <f>(F7-F6)/E7</f>
        <v>4.7947947947946132E-6</v>
      </c>
      <c r="F8" s="38">
        <f>E8*10^5</f>
        <v>0.47947947947946135</v>
      </c>
      <c r="H8" s="29">
        <v>6</v>
      </c>
      <c r="I8" s="29">
        <v>14.652854999999999</v>
      </c>
      <c r="J8" s="29">
        <v>22.087170042971145</v>
      </c>
      <c r="K8" s="29">
        <f t="shared" si="0"/>
        <v>2.1470615965102497E-10</v>
      </c>
      <c r="L8" s="29">
        <f t="shared" si="1"/>
        <v>487.84308050712201</v>
      </c>
      <c r="M8" s="29">
        <v>6</v>
      </c>
      <c r="N8" s="29">
        <v>719.53455999999994</v>
      </c>
      <c r="O8" s="29">
        <v>22.748933143669987</v>
      </c>
      <c r="P8" s="29">
        <f t="shared" si="2"/>
        <v>5.1772998303439341E-7</v>
      </c>
      <c r="Q8" s="29">
        <f t="shared" si="3"/>
        <v>517.51395917516686</v>
      </c>
      <c r="R8" s="29">
        <v>6</v>
      </c>
      <c r="S8" s="29">
        <v>23696.612499999999</v>
      </c>
      <c r="T8" s="29">
        <v>23.507086614173229</v>
      </c>
      <c r="U8" s="29">
        <f t="shared" si="4"/>
        <v>5.6152944397515618E-4</v>
      </c>
      <c r="V8" s="29">
        <f t="shared" si="5"/>
        <v>552.58312108624216</v>
      </c>
      <c r="W8" s="29">
        <v>6</v>
      </c>
      <c r="X8" s="29">
        <v>24105.196639999998</v>
      </c>
      <c r="Y8" s="29">
        <v>24.153714665569307</v>
      </c>
      <c r="Z8" s="29">
        <f t="shared" si="6"/>
        <v>5.8106050505306729E-4</v>
      </c>
      <c r="AA8" s="29">
        <f t="shared" si="7"/>
        <v>583.40193214573787</v>
      </c>
    </row>
    <row r="9" spans="4:27" x14ac:dyDescent="0.25">
      <c r="E9" s="36"/>
      <c r="H9" s="29">
        <v>7</v>
      </c>
      <c r="I9" s="29">
        <v>22.835082</v>
      </c>
      <c r="J9" s="29">
        <v>22.091078981017017</v>
      </c>
      <c r="K9" s="29">
        <f t="shared" si="0"/>
        <v>5.2144096994672397E-10</v>
      </c>
      <c r="L9" s="29">
        <f t="shared" si="1"/>
        <v>488.01577054553184</v>
      </c>
      <c r="M9" s="29">
        <v>7</v>
      </c>
      <c r="N9" s="29">
        <v>967.04639999999995</v>
      </c>
      <c r="O9" s="29">
        <v>22.748466257668714</v>
      </c>
      <c r="P9" s="29">
        <f t="shared" si="2"/>
        <v>9.351787397529599E-7</v>
      </c>
      <c r="Q9" s="29">
        <f t="shared" si="3"/>
        <v>517.49271707629202</v>
      </c>
      <c r="R9" s="29">
        <v>7</v>
      </c>
      <c r="S9" s="29">
        <v>40290.667200000004</v>
      </c>
      <c r="T9" s="29">
        <v>23.589334107626787</v>
      </c>
      <c r="U9" s="29">
        <f t="shared" si="4"/>
        <v>1.6233378634211563E-3</v>
      </c>
      <c r="V9" s="29">
        <f t="shared" si="5"/>
        <v>556.45668364124447</v>
      </c>
      <c r="W9" s="29">
        <v>7</v>
      </c>
      <c r="X9" s="29">
        <v>40854.052560000004</v>
      </c>
      <c r="Y9" s="29">
        <v>24.231265677893866</v>
      </c>
      <c r="Z9" s="29">
        <f t="shared" si="6"/>
        <v>1.6690536105752431E-3</v>
      </c>
      <c r="AA9" s="29">
        <f t="shared" si="7"/>
        <v>587.15423635267723</v>
      </c>
    </row>
    <row r="10" spans="4:27" x14ac:dyDescent="0.25">
      <c r="D10" s="29" t="s">
        <v>40</v>
      </c>
      <c r="E10" s="36">
        <v>0</v>
      </c>
      <c r="F10" s="29">
        <v>23.4059059059059</v>
      </c>
      <c r="H10" s="29">
        <v>8</v>
      </c>
      <c r="I10" s="29">
        <v>40.412700000000001</v>
      </c>
      <c r="J10" s="29">
        <v>22.092421441774491</v>
      </c>
      <c r="K10" s="29">
        <f t="shared" si="0"/>
        <v>1.6331863212899999E-9</v>
      </c>
      <c r="L10" s="29">
        <f t="shared" si="1"/>
        <v>488.07508516097727</v>
      </c>
      <c r="M10" s="29">
        <v>8</v>
      </c>
      <c r="N10" s="29">
        <v>1367.9606799999999</v>
      </c>
      <c r="O10" s="29">
        <v>22.752127933969565</v>
      </c>
      <c r="P10" s="29">
        <f t="shared" si="2"/>
        <v>1.8713164220260624E-6</v>
      </c>
      <c r="Q10" s="29">
        <f t="shared" si="3"/>
        <v>517.65932552371817</v>
      </c>
      <c r="R10" s="29">
        <v>8</v>
      </c>
      <c r="S10" s="29">
        <v>63370.144460000003</v>
      </c>
      <c r="T10" s="29">
        <v>23.696555991723553</v>
      </c>
      <c r="U10" s="29">
        <f t="shared" si="4"/>
        <v>4.0157752088812683E-3</v>
      </c>
      <c r="V10" s="29">
        <f t="shared" si="5"/>
        <v>561.52676586888947</v>
      </c>
      <c r="W10" s="29">
        <v>8</v>
      </c>
      <c r="X10" s="29">
        <v>64040.781600000002</v>
      </c>
      <c r="Y10" s="29">
        <v>24.339214348377034</v>
      </c>
      <c r="Z10" s="29">
        <f t="shared" si="6"/>
        <v>4.1012217079388989E-3</v>
      </c>
      <c r="AA10" s="29">
        <f t="shared" si="7"/>
        <v>592.39735509624245</v>
      </c>
    </row>
    <row r="11" spans="4:27" x14ac:dyDescent="0.25">
      <c r="D11" s="29" t="s">
        <v>41</v>
      </c>
      <c r="E11" s="36">
        <v>260000</v>
      </c>
      <c r="F11" s="29">
        <v>24.6161161161161</v>
      </c>
      <c r="H11" s="29">
        <v>9</v>
      </c>
      <c r="I11" s="29">
        <v>90.107970000000009</v>
      </c>
      <c r="J11" s="29">
        <v>22.105002476473501</v>
      </c>
      <c r="K11" s="29">
        <f t="shared" si="0"/>
        <v>8.1194462575209021E-9</v>
      </c>
      <c r="L11" s="29">
        <f t="shared" si="1"/>
        <v>488.63113448489963</v>
      </c>
      <c r="M11" s="29">
        <v>9</v>
      </c>
      <c r="N11" s="29">
        <v>2080.9088000000002</v>
      </c>
      <c r="O11" s="29">
        <v>22.754365784795564</v>
      </c>
      <c r="P11" s="29">
        <f t="shared" si="2"/>
        <v>4.3301814339174404E-6</v>
      </c>
      <c r="Q11" s="29">
        <f t="shared" si="3"/>
        <v>517.76116226827503</v>
      </c>
      <c r="R11" s="29">
        <v>9</v>
      </c>
      <c r="S11" s="29">
        <v>113629.88000000002</v>
      </c>
      <c r="T11" s="29">
        <v>23.936139332365745</v>
      </c>
      <c r="U11" s="29">
        <f t="shared" si="4"/>
        <v>1.2911749628814403E-2</v>
      </c>
      <c r="V11" s="29">
        <f t="shared" si="5"/>
        <v>572.93876613842644</v>
      </c>
      <c r="W11" s="29">
        <v>9</v>
      </c>
      <c r="X11" s="29">
        <v>114176.1404</v>
      </c>
      <c r="Y11" s="29">
        <v>24.566910653777889</v>
      </c>
      <c r="Z11" s="29">
        <f t="shared" si="6"/>
        <v>1.3036191036640513E-2</v>
      </c>
      <c r="AA11" s="29">
        <f t="shared" si="7"/>
        <v>603.53309907070559</v>
      </c>
    </row>
    <row r="12" spans="4:27" x14ac:dyDescent="0.25">
      <c r="D12" s="29" t="s">
        <v>39</v>
      </c>
      <c r="E12" s="36">
        <f>(F11-F10)/E11</f>
        <v>4.654654654654613E-6</v>
      </c>
      <c r="F12" s="38">
        <f>E12*10^5</f>
        <v>0.4654654654654613</v>
      </c>
      <c r="H12" s="29">
        <v>10</v>
      </c>
      <c r="I12" s="29">
        <v>350.99879999999996</v>
      </c>
      <c r="J12" s="29">
        <v>22.102885821831869</v>
      </c>
      <c r="K12" s="29">
        <f t="shared" si="0"/>
        <v>1.2320015760143996E-7</v>
      </c>
      <c r="L12" s="29">
        <f t="shared" si="1"/>
        <v>488.53756165293623</v>
      </c>
      <c r="M12" s="29">
        <v>10</v>
      </c>
      <c r="N12" s="29">
        <v>3543.2184600000005</v>
      </c>
      <c r="O12" s="29">
        <v>22.760278913200288</v>
      </c>
      <c r="P12" s="29">
        <f t="shared" si="2"/>
        <v>1.2554397055284776E-5</v>
      </c>
      <c r="Q12" s="29">
        <f t="shared" si="3"/>
        <v>518.03029620666973</v>
      </c>
      <c r="R12" s="29">
        <v>10</v>
      </c>
      <c r="S12" s="29">
        <v>164302.91999999998</v>
      </c>
      <c r="T12" s="29">
        <v>24.175157690441534</v>
      </c>
      <c r="U12" s="29">
        <f t="shared" si="4"/>
        <v>2.6995449520526398E-2</v>
      </c>
      <c r="V12" s="29">
        <f t="shared" si="5"/>
        <v>584.43824935771443</v>
      </c>
      <c r="W12" s="29">
        <v>10</v>
      </c>
      <c r="X12" s="29">
        <v>164387.76112000001</v>
      </c>
      <c r="Y12" s="29">
        <v>24.796246714647147</v>
      </c>
      <c r="Z12" s="29">
        <f t="shared" si="6"/>
        <v>2.7023336006046186E-2</v>
      </c>
      <c r="AA12" s="29">
        <f t="shared" si="7"/>
        <v>614.85385113364941</v>
      </c>
    </row>
    <row r="13" spans="4:27" x14ac:dyDescent="0.25">
      <c r="E13" s="36"/>
      <c r="H13" s="29">
        <v>11</v>
      </c>
      <c r="I13" s="29">
        <v>1332.53532</v>
      </c>
      <c r="J13" s="29">
        <v>22.105873261205563</v>
      </c>
      <c r="K13" s="29">
        <f t="shared" si="0"/>
        <v>1.7756503790475023E-6</v>
      </c>
      <c r="L13" s="29">
        <f t="shared" si="1"/>
        <v>488.66963264048309</v>
      </c>
      <c r="M13" s="29">
        <v>11</v>
      </c>
      <c r="N13" s="29">
        <v>4932.4433399999998</v>
      </c>
      <c r="O13" s="29">
        <v>22.770077456176111</v>
      </c>
      <c r="P13" s="29">
        <f t="shared" si="2"/>
        <v>2.432899730231035E-5</v>
      </c>
      <c r="Q13" s="29">
        <f t="shared" si="3"/>
        <v>518.47642736025955</v>
      </c>
      <c r="R13" s="29">
        <v>11</v>
      </c>
      <c r="S13" s="29">
        <v>203038.38652</v>
      </c>
      <c r="T13" s="29">
        <v>24.349183056638484</v>
      </c>
      <c r="U13" s="29">
        <f t="shared" si="4"/>
        <v>4.1224586400644921E-2</v>
      </c>
      <c r="V13" s="29">
        <f>T13^2</f>
        <v>592.88271552569063</v>
      </c>
      <c r="W13" s="29">
        <v>11</v>
      </c>
      <c r="X13" s="29">
        <v>202545.38258999999</v>
      </c>
      <c r="Y13" s="29">
        <v>24.970631668942847</v>
      </c>
      <c r="Z13" s="29">
        <f t="shared" si="6"/>
        <v>4.1024632008529474E-2</v>
      </c>
      <c r="AA13" s="29">
        <f t="shared" si="7"/>
        <v>623.53244594601142</v>
      </c>
    </row>
    <row r="14" spans="4:27" x14ac:dyDescent="0.25">
      <c r="D14" s="29" t="s">
        <v>40</v>
      </c>
      <c r="E14" s="36">
        <v>0</v>
      </c>
      <c r="F14" s="29">
        <v>24.050550550550501</v>
      </c>
      <c r="H14" s="29">
        <v>12</v>
      </c>
      <c r="I14" s="29">
        <v>3456.27648</v>
      </c>
      <c r="J14" s="29">
        <v>22.116630669546439</v>
      </c>
      <c r="K14" s="29">
        <f t="shared" si="0"/>
        <v>1.1945847106201191E-5</v>
      </c>
      <c r="L14" s="29">
        <f t="shared" si="1"/>
        <v>489.14535217312215</v>
      </c>
      <c r="M14" s="29">
        <v>12</v>
      </c>
      <c r="N14" s="29">
        <v>7333.2043399999993</v>
      </c>
      <c r="O14" s="29">
        <v>22.782453597904244</v>
      </c>
      <c r="P14" s="29">
        <f t="shared" si="2"/>
        <v>5.377588589219482E-5</v>
      </c>
      <c r="Q14" s="29">
        <f t="shared" si="3"/>
        <v>519.04019194066007</v>
      </c>
      <c r="W14" s="29">
        <v>12</v>
      </c>
      <c r="X14" s="29">
        <v>255119.1477</v>
      </c>
      <c r="Y14" s="29">
        <v>25.207001779271</v>
      </c>
      <c r="Z14" s="29">
        <f t="shared" si="6"/>
        <v>6.5085779523174417E-2</v>
      </c>
      <c r="AA14" s="29">
        <f t="shared" si="7"/>
        <v>635.39293870017138</v>
      </c>
    </row>
    <row r="15" spans="4:27" x14ac:dyDescent="0.25">
      <c r="D15" s="29" t="s">
        <v>41</v>
      </c>
      <c r="E15" s="36">
        <v>260000</v>
      </c>
      <c r="F15" s="29">
        <v>25.229529529529501</v>
      </c>
      <c r="H15" s="29">
        <v>13</v>
      </c>
      <c r="I15" s="29">
        <v>22853.153180000001</v>
      </c>
      <c r="J15" s="29">
        <v>22.218826977643356</v>
      </c>
      <c r="K15" s="29">
        <f t="shared" si="0"/>
        <v>5.2226661026854421E-4</v>
      </c>
      <c r="L15" s="29">
        <f t="shared" si="1"/>
        <v>493.67627226245219</v>
      </c>
      <c r="M15" s="29">
        <v>13</v>
      </c>
      <c r="N15" s="29">
        <v>23279.074500000002</v>
      </c>
      <c r="O15" s="29">
        <v>22.860455642255022</v>
      </c>
      <c r="P15" s="29">
        <f t="shared" si="2"/>
        <v>5.4191530957655039E-4</v>
      </c>
      <c r="Q15" s="29">
        <f t="shared" si="3"/>
        <v>522.60043217150951</v>
      </c>
    </row>
    <row r="16" spans="4:27" x14ac:dyDescent="0.25">
      <c r="D16" s="29" t="s">
        <v>39</v>
      </c>
      <c r="E16" s="36">
        <f>(F15-F14)/E15</f>
        <v>4.5345345345346155E-6</v>
      </c>
      <c r="F16" s="38">
        <f>E16*10^5</f>
        <v>0.45345345345346155</v>
      </c>
      <c r="H16" s="29">
        <v>14</v>
      </c>
      <c r="I16" s="29">
        <v>39088.994599999998</v>
      </c>
      <c r="J16" s="29">
        <v>22.297110102698831</v>
      </c>
      <c r="K16" s="29">
        <f t="shared" si="0"/>
        <v>1.5279494988388288E-3</v>
      </c>
      <c r="L16" s="29">
        <f t="shared" si="1"/>
        <v>497.16111893187428</v>
      </c>
      <c r="M16" s="29">
        <v>14</v>
      </c>
      <c r="N16" s="29">
        <v>39700.910839999997</v>
      </c>
      <c r="O16" s="29">
        <v>22.937768910895848</v>
      </c>
      <c r="P16" s="29">
        <f t="shared" si="2"/>
        <v>1.5761623215256293E-3</v>
      </c>
      <c r="Q16" s="29">
        <f t="shared" si="3"/>
        <v>526.14124260966014</v>
      </c>
    </row>
    <row r="17" spans="4:27" x14ac:dyDescent="0.25">
      <c r="H17" s="29">
        <v>15</v>
      </c>
      <c r="I17" s="29">
        <v>61916.945999999996</v>
      </c>
      <c r="J17" s="29">
        <v>22.404413163401177</v>
      </c>
      <c r="K17" s="29">
        <f t="shared" si="0"/>
        <v>3.8337082019669153E-3</v>
      </c>
      <c r="L17" s="29">
        <f t="shared" si="1"/>
        <v>501.95772919638392</v>
      </c>
      <c r="M17" s="29">
        <v>15</v>
      </c>
      <c r="N17" s="29">
        <v>62660.401920000004</v>
      </c>
      <c r="O17" s="29">
        <v>23.045412703283219</v>
      </c>
      <c r="P17" s="29">
        <f t="shared" si="2"/>
        <v>3.9263259687759393E-3</v>
      </c>
      <c r="Q17" s="29">
        <f t="shared" si="3"/>
        <v>531.09104666464759</v>
      </c>
    </row>
    <row r="18" spans="4:27" x14ac:dyDescent="0.25">
      <c r="M18" s="29">
        <v>16</v>
      </c>
      <c r="N18" s="29">
        <v>82370.175600000002</v>
      </c>
      <c r="O18" s="29">
        <v>23.142138786456592</v>
      </c>
      <c r="P18" s="29">
        <f t="shared" si="2"/>
        <v>6.7848458283748352E-3</v>
      </c>
      <c r="Q18" s="29">
        <f t="shared" si="3"/>
        <v>535.55858761161858</v>
      </c>
    </row>
    <row r="19" spans="4:27" x14ac:dyDescent="0.25">
      <c r="M19" s="29">
        <v>17</v>
      </c>
      <c r="N19" s="29">
        <v>113018.4825</v>
      </c>
      <c r="O19" s="29">
        <v>23.29270568643496</v>
      </c>
      <c r="P19" s="29">
        <f t="shared" si="2"/>
        <v>1.2773177386602807E-2</v>
      </c>
      <c r="Q19" s="29">
        <f t="shared" si="3"/>
        <v>542.55013819487954</v>
      </c>
    </row>
    <row r="20" spans="4:27" x14ac:dyDescent="0.25">
      <c r="M20" s="29">
        <v>18</v>
      </c>
      <c r="N20" s="29">
        <v>203470.26375000001</v>
      </c>
      <c r="O20" s="29">
        <v>23.716167341430499</v>
      </c>
      <c r="P20" s="29">
        <f>(N20/1000000)^2</f>
        <v>4.1400148230494573E-2</v>
      </c>
      <c r="Q20" s="29">
        <f t="shared" si="3"/>
        <v>562.45659336673452</v>
      </c>
    </row>
    <row r="22" spans="4:27" x14ac:dyDescent="0.25">
      <c r="J22" s="29" t="s">
        <v>44</v>
      </c>
      <c r="K22" s="29">
        <f>AVERAGE(K3:K17)</f>
        <v>3.9318531499740679E-4</v>
      </c>
      <c r="O22" s="29" t="s">
        <v>44</v>
      </c>
      <c r="P22" s="29">
        <f>AVERAGE(P3:P17)</f>
        <v>4.0955921768698729E-4</v>
      </c>
      <c r="T22" s="29" t="s">
        <v>44</v>
      </c>
      <c r="U22" s="29">
        <f>AVERAGE(U3:U17)</f>
        <v>7.9544210130801721E-3</v>
      </c>
      <c r="Y22" s="29" t="s">
        <v>44</v>
      </c>
      <c r="Z22" s="29">
        <f>AVERAGE(Z3:Z17)</f>
        <v>1.2724532020571389E-2</v>
      </c>
    </row>
    <row r="23" spans="4:27" x14ac:dyDescent="0.25">
      <c r="K23" s="29" t="s">
        <v>45</v>
      </c>
      <c r="L23" s="29">
        <f>AVERAGE(L3:L17)</f>
        <v>490.17225491272239</v>
      </c>
      <c r="P23" s="29" t="s">
        <v>45</v>
      </c>
      <c r="Q23" s="29">
        <f>AVERAGE(Q3:Q17)</f>
        <v>519.50349279992349</v>
      </c>
      <c r="U23" s="29" t="s">
        <v>45</v>
      </c>
      <c r="V23" s="29">
        <f>AVERAGE(V3:V17)</f>
        <v>560.38219665504653</v>
      </c>
      <c r="Z23" s="29" t="s">
        <v>45</v>
      </c>
      <c r="AA23" s="29">
        <f>AVERAGE(AA3:AA17)</f>
        <v>594.74851717731519</v>
      </c>
    </row>
    <row r="24" spans="4:27" x14ac:dyDescent="0.25">
      <c r="K24" s="37">
        <f>E4*100000</f>
        <v>0.49249249253173111</v>
      </c>
    </row>
    <row r="25" spans="4:27" x14ac:dyDescent="0.25">
      <c r="J25" s="29" t="s">
        <v>46</v>
      </c>
      <c r="K25" s="37">
        <f>SQRT((1/13)*(ABS((K22/L23)-(E4*100000)^2)))</f>
        <v>0.13659261525907862</v>
      </c>
      <c r="O25" s="29" t="s">
        <v>46</v>
      </c>
      <c r="P25" s="34">
        <f>SQRT((1/16)*(ABS((P22/Q23)-(E8*100000)^2)))</f>
        <v>0.11986966434300256</v>
      </c>
      <c r="T25" s="29" t="s">
        <v>46</v>
      </c>
      <c r="U25" s="34">
        <f>SQRT((1/9)*(ABS((U22/V23)-(E12*100000)^2)))</f>
        <v>0.15515007247661675</v>
      </c>
      <c r="Y25" s="29" t="s">
        <v>46</v>
      </c>
      <c r="Z25" s="34">
        <f>SQRT((1/10)*(ABS((Z22/AA23)-(E16*100000)^2)))</f>
        <v>0.1433871122653754</v>
      </c>
    </row>
    <row r="26" spans="4:27" x14ac:dyDescent="0.25">
      <c r="J26" s="29" t="s">
        <v>47</v>
      </c>
      <c r="K26" s="32">
        <f>K25*SQRT(L23)</f>
        <v>3.0241378440121749</v>
      </c>
      <c r="O26" s="29" t="s">
        <v>47</v>
      </c>
      <c r="P26" s="32">
        <f>P25*SQRT(Q23)</f>
        <v>2.7321436203744454</v>
      </c>
      <c r="T26" s="29" t="s">
        <v>47</v>
      </c>
      <c r="U26" s="32">
        <f>U25*SQRT(V23)</f>
        <v>3.6727735103183901</v>
      </c>
      <c r="Y26" s="29" t="s">
        <v>47</v>
      </c>
      <c r="Z26" s="32">
        <f>Z25*SQRT(AA23)</f>
        <v>3.4968483818775113</v>
      </c>
    </row>
    <row r="28" spans="4:27" x14ac:dyDescent="0.25">
      <c r="G28" s="29" t="s">
        <v>48</v>
      </c>
      <c r="H28" s="29" t="s">
        <v>34</v>
      </c>
      <c r="I28" s="29" t="s">
        <v>35</v>
      </c>
      <c r="J28" s="29" t="s">
        <v>36</v>
      </c>
      <c r="K28" s="29" t="s">
        <v>37</v>
      </c>
    </row>
    <row r="29" spans="4:27" x14ac:dyDescent="0.25">
      <c r="D29" s="29">
        <f>H29^2</f>
        <v>488.49840399999999</v>
      </c>
      <c r="F29" s="29">
        <f>G29+273</f>
        <v>314.5</v>
      </c>
      <c r="G29" s="29">
        <v>41.5</v>
      </c>
      <c r="H29" s="30">
        <v>22.102</v>
      </c>
      <c r="I29" s="29">
        <v>0.05</v>
      </c>
      <c r="J29" s="30">
        <v>1.2E-2</v>
      </c>
      <c r="K29" s="29" t="s">
        <v>38</v>
      </c>
    </row>
    <row r="30" spans="4:27" x14ac:dyDescent="0.25">
      <c r="D30" s="29">
        <f>H30^2</f>
        <v>517.289536</v>
      </c>
      <c r="F30" s="29">
        <f>G30+273</f>
        <v>323.5</v>
      </c>
      <c r="G30" s="29">
        <v>50.5</v>
      </c>
      <c r="H30" s="30">
        <v>22.744</v>
      </c>
      <c r="I30" s="29">
        <v>0.05</v>
      </c>
      <c r="J30" s="30">
        <v>1.0999999999999999E-2</v>
      </c>
      <c r="K30" s="29" t="s">
        <v>38</v>
      </c>
    </row>
    <row r="31" spans="4:27" x14ac:dyDescent="0.25">
      <c r="D31" s="29">
        <f>H31^2</f>
        <v>547.84083599999997</v>
      </c>
      <c r="F31" s="29">
        <f>G31+273</f>
        <v>332.5</v>
      </c>
      <c r="G31" s="29">
        <v>59.5</v>
      </c>
      <c r="H31" s="30">
        <v>23.405999999999999</v>
      </c>
      <c r="I31" s="29">
        <v>0.05</v>
      </c>
      <c r="J31" s="30">
        <v>1.7000000000000001E-2</v>
      </c>
      <c r="K31" s="29" t="s">
        <v>38</v>
      </c>
    </row>
    <row r="32" spans="4:27" x14ac:dyDescent="0.25">
      <c r="D32" s="29">
        <f>H32^2</f>
        <v>578.40250000000003</v>
      </c>
      <c r="F32" s="29">
        <f>G32+273</f>
        <v>341.5</v>
      </c>
      <c r="G32" s="29">
        <v>68.5</v>
      </c>
      <c r="H32" s="30">
        <v>24.05</v>
      </c>
      <c r="I32" s="29">
        <v>0.05</v>
      </c>
      <c r="J32" s="30">
        <v>1.6E-2</v>
      </c>
      <c r="K32" s="29" t="s">
        <v>38</v>
      </c>
    </row>
    <row r="34" spans="3:12" x14ac:dyDescent="0.25">
      <c r="D34" s="29">
        <f>0.00901*SQRT(AVERAGE(D29:D32))</f>
        <v>0.20801352851966601</v>
      </c>
      <c r="G34" s="29">
        <f>(G29+273)*H29</f>
        <v>6951.0789999999997</v>
      </c>
      <c r="I34" s="29">
        <f>(G29+273)^2</f>
        <v>98910.25</v>
      </c>
    </row>
    <row r="35" spans="3:12" x14ac:dyDescent="0.25">
      <c r="G35" s="29">
        <f t="shared" ref="G35:G37" si="8">(G30+273)*H30</f>
        <v>7357.6840000000002</v>
      </c>
      <c r="I35" s="29">
        <f t="shared" ref="I35:I37" si="9">(G30+273)^2</f>
        <v>104652.25</v>
      </c>
    </row>
    <row r="36" spans="3:12" x14ac:dyDescent="0.25">
      <c r="G36" s="29">
        <f t="shared" si="8"/>
        <v>7782.4949999999999</v>
      </c>
      <c r="I36" s="29">
        <f t="shared" si="9"/>
        <v>110556.25</v>
      </c>
    </row>
    <row r="37" spans="3:12" x14ac:dyDescent="0.25">
      <c r="G37" s="29">
        <f t="shared" si="8"/>
        <v>8213.0750000000007</v>
      </c>
      <c r="I37" s="29">
        <f t="shared" si="9"/>
        <v>116622.25</v>
      </c>
    </row>
    <row r="38" spans="3:12" x14ac:dyDescent="0.25">
      <c r="F38" s="29" t="s">
        <v>49</v>
      </c>
      <c r="G38" s="29">
        <f>AVERAGE(G34:G37)</f>
        <v>7576.0832499999997</v>
      </c>
      <c r="H38" s="29" t="s">
        <v>44</v>
      </c>
      <c r="I38" s="29">
        <f>AVERAGE(I34:I37)</f>
        <v>107685.25</v>
      </c>
      <c r="J38" s="29" t="s">
        <v>39</v>
      </c>
      <c r="K38" s="32">
        <f>G38/I38</f>
        <v>7.0353955160990009E-2</v>
      </c>
      <c r="L38" s="29">
        <f>K38*(273+25)+K39</f>
        <v>20.964881345170301</v>
      </c>
    </row>
    <row r="39" spans="3:12" x14ac:dyDescent="0.25">
      <c r="J39" s="29" t="s">
        <v>51</v>
      </c>
      <c r="K39" s="33">
        <f>AVERAGE(H29:H32)-K38*AVERAGE(F29:F32)</f>
        <v>-5.9729280471998436E-4</v>
      </c>
      <c r="L39" s="29">
        <f>K38*273+K39</f>
        <v>19.206032466145551</v>
      </c>
    </row>
    <row r="40" spans="3:12" x14ac:dyDescent="0.25">
      <c r="I40" s="29">
        <f>H29^2</f>
        <v>488.49840399999999</v>
      </c>
    </row>
    <row r="41" spans="3:12" x14ac:dyDescent="0.25">
      <c r="C41" s="29" t="s">
        <v>60</v>
      </c>
      <c r="D41" s="29">
        <f>3.6*SQRT((0.21/19.21)^2+(0.00901/0.07035)^2)</f>
        <v>0.4627426106328022</v>
      </c>
      <c r="I41" s="29">
        <f>H30^2</f>
        <v>517.289536</v>
      </c>
    </row>
    <row r="42" spans="3:12" x14ac:dyDescent="0.25">
      <c r="I42" s="29">
        <f>H31^2</f>
        <v>547.84083599999997</v>
      </c>
    </row>
    <row r="43" spans="3:12" x14ac:dyDescent="0.25">
      <c r="I43" s="29">
        <f>H32^2</f>
        <v>578.40250000000003</v>
      </c>
    </row>
    <row r="44" spans="3:12" x14ac:dyDescent="0.25">
      <c r="H44" s="29" t="s">
        <v>45</v>
      </c>
      <c r="I44" s="29">
        <f>AVERAGE(I40:I43)</f>
        <v>533.00781900000004</v>
      </c>
      <c r="J44" s="29" t="s">
        <v>50</v>
      </c>
      <c r="K44" s="34">
        <f>SQRT((1/2)*ABS(I44/I38-K38^2))</f>
        <v>4.2973726696536398E-5</v>
      </c>
    </row>
    <row r="45" spans="3:12" x14ac:dyDescent="0.25">
      <c r="J45" s="29" t="s">
        <v>47</v>
      </c>
      <c r="K45" s="29">
        <f>K44*SQRT(I38)</f>
        <v>1.4102013555518109E-2</v>
      </c>
    </row>
    <row r="46" spans="3:12" x14ac:dyDescent="0.25">
      <c r="I46" s="29">
        <f>I44/I38</f>
        <v>4.9496827002769653E-3</v>
      </c>
    </row>
    <row r="50" spans="4:12" x14ac:dyDescent="0.25">
      <c r="D50" s="29" t="s">
        <v>50</v>
      </c>
      <c r="F50" s="29">
        <v>7.0349999999999996E-2</v>
      </c>
      <c r="H50" s="29" t="s">
        <v>56</v>
      </c>
      <c r="I50" s="29" t="s">
        <v>48</v>
      </c>
      <c r="J50" s="29" t="s">
        <v>57</v>
      </c>
      <c r="L50" s="29" t="s">
        <v>61</v>
      </c>
    </row>
    <row r="51" spans="4:12" x14ac:dyDescent="0.25">
      <c r="D51" s="32">
        <f>F51*SQRT((0.00901/F50)^2+(0.136/4.535)^2)</f>
        <v>1.8789533030605951E-3</v>
      </c>
      <c r="E51" s="35" t="s">
        <v>52</v>
      </c>
      <c r="F51" s="32">
        <f>F50/(E4*10^6)</f>
        <v>1.4284481706178978E-2</v>
      </c>
      <c r="G51" s="31">
        <f>F51*(5/(2*3.141592*0.4))</f>
        <v>2.841807932526522E-2</v>
      </c>
      <c r="H51" s="29">
        <f>LN(G51)</f>
        <v>-3.5607297403961886</v>
      </c>
      <c r="I51" s="29">
        <f>41.5+273</f>
        <v>314.5</v>
      </c>
      <c r="J51" s="29">
        <f>LN(I51)</f>
        <v>5.7509840761404956</v>
      </c>
      <c r="L51" s="32">
        <f>G51*SQRT((D51/F51)^2)</f>
        <v>3.738059602942941E-3</v>
      </c>
    </row>
    <row r="52" spans="4:12" x14ac:dyDescent="0.25">
      <c r="D52" s="32">
        <f>F52*SQRT((0.00901/F50)^2+(0.12/4.655)^2)</f>
        <v>1.9168082236499344E-3</v>
      </c>
      <c r="E52" s="35" t="s">
        <v>53</v>
      </c>
      <c r="F52" s="32">
        <f>F50/(E8*10^6)</f>
        <v>1.4672160751566316E-2</v>
      </c>
      <c r="G52" s="31">
        <f t="shared" ref="G52:G54" si="10">F52*(5/(2*3.141592*0.4))</f>
        <v>2.918934244080373E-2</v>
      </c>
      <c r="H52" s="29">
        <f t="shared" ref="H52:H54" si="11">LN(G52)</f>
        <v>-3.5339516212350843</v>
      </c>
      <c r="I52" s="29">
        <f>I51+9</f>
        <v>323.5</v>
      </c>
      <c r="J52" s="29">
        <f>LN(I52)</f>
        <v>5.7791991139409555</v>
      </c>
      <c r="L52" s="32">
        <f t="shared" ref="L52:L54" si="12">G52*SQRT((D52/F52)^2)</f>
        <v>3.8133695902625451E-3</v>
      </c>
    </row>
    <row r="53" spans="4:12" x14ac:dyDescent="0.25">
      <c r="D53" s="32">
        <f>F53*SQRT((0.00901/F50)^2+(0.155/4.795)^2)</f>
        <v>1.9964004789272956E-3</v>
      </c>
      <c r="E53" s="35" t="s">
        <v>54</v>
      </c>
      <c r="F53" s="32">
        <f>F50/(E12*10^6)</f>
        <v>1.5113903225806587E-2</v>
      </c>
      <c r="G53" s="31">
        <f t="shared" si="10"/>
        <v>3.0068161352999105E-2</v>
      </c>
      <c r="H53" s="29">
        <f t="shared" si="11"/>
        <v>-3.5042884294115542</v>
      </c>
      <c r="I53" s="29">
        <f>I52+9</f>
        <v>332.5</v>
      </c>
      <c r="J53" s="29">
        <f>LN(I53)</f>
        <v>5.8066398600959088</v>
      </c>
      <c r="L53" s="32">
        <f t="shared" si="12"/>
        <v>3.9717133839453364E-3</v>
      </c>
    </row>
    <row r="54" spans="4:12" x14ac:dyDescent="0.25">
      <c r="D54" s="32">
        <f>F54*SQRT((0.00901/F50)^2+(0.143/4.925)^2)</f>
        <v>2.037396027769086E-3</v>
      </c>
      <c r="E54" s="35" t="s">
        <v>55</v>
      </c>
      <c r="F54" s="32">
        <f>F50/(E16*10^6)</f>
        <v>1.551427152317853E-2</v>
      </c>
      <c r="G54" s="31">
        <f t="shared" si="10"/>
        <v>3.0864668938508186E-2</v>
      </c>
      <c r="H54" s="29">
        <f t="shared" si="11"/>
        <v>-3.4781431493072588</v>
      </c>
      <c r="I54" s="29">
        <f>I53+9</f>
        <v>341.5</v>
      </c>
      <c r="J54" s="29">
        <f>LN(I54)</f>
        <v>5.8333476790108447</v>
      </c>
      <c r="L54" s="32">
        <f t="shared" si="12"/>
        <v>4.0532714539497135E-3</v>
      </c>
    </row>
    <row r="57" spans="4:12" x14ac:dyDescent="0.25">
      <c r="F57" s="29" t="s">
        <v>56</v>
      </c>
      <c r="G57" s="29" t="s">
        <v>57</v>
      </c>
      <c r="H57" s="29" t="s">
        <v>37</v>
      </c>
    </row>
    <row r="58" spans="4:12" x14ac:dyDescent="0.25">
      <c r="F58" s="29">
        <f>H51</f>
        <v>-3.5607297403961886</v>
      </c>
      <c r="G58" s="29">
        <v>5.7509840761404956</v>
      </c>
      <c r="H58" s="29" t="s">
        <v>38</v>
      </c>
    </row>
    <row r="59" spans="4:12" x14ac:dyDescent="0.25">
      <c r="F59" s="29">
        <f t="shared" ref="F59:F62" si="13">H52</f>
        <v>-3.5339516212350843</v>
      </c>
      <c r="G59" s="29">
        <v>5.7791991139409555</v>
      </c>
      <c r="H59" s="29" t="s">
        <v>38</v>
      </c>
    </row>
    <row r="60" spans="4:12" x14ac:dyDescent="0.25">
      <c r="F60" s="29">
        <f t="shared" si="13"/>
        <v>-3.5042884294115542</v>
      </c>
      <c r="G60" s="29">
        <v>5.8066398600959088</v>
      </c>
      <c r="H60" s="29" t="s">
        <v>38</v>
      </c>
    </row>
    <row r="61" spans="4:12" x14ac:dyDescent="0.25">
      <c r="F61" s="29">
        <f t="shared" si="13"/>
        <v>-3.4781431493072588</v>
      </c>
      <c r="G61" s="29">
        <v>5.8333476790108447</v>
      </c>
      <c r="H61" s="29" t="s">
        <v>38</v>
      </c>
    </row>
    <row r="62" spans="4:12" x14ac:dyDescent="0.25">
      <c r="F62" s="29">
        <f>AVERAGE(F58:F61)</f>
        <v>-3.5192782350875214</v>
      </c>
      <c r="G62" s="29">
        <f>AVERAGE(G58:G61)</f>
        <v>5.7925426822970518</v>
      </c>
    </row>
    <row r="63" spans="4:12" x14ac:dyDescent="0.25">
      <c r="F63" s="29" t="s">
        <v>58</v>
      </c>
      <c r="G63" s="29" t="s">
        <v>59</v>
      </c>
      <c r="I63" s="29" t="s">
        <v>39</v>
      </c>
    </row>
    <row r="64" spans="4:12" x14ac:dyDescent="0.25">
      <c r="F64" s="29">
        <f>F58*G58</f>
        <v>-20.477700036458362</v>
      </c>
      <c r="G64" s="29">
        <f>G58^2</f>
        <v>33.073817844021548</v>
      </c>
      <c r="I64" s="31">
        <f>(F68-F62*G62)/(G68-G62^2)</f>
        <v>1.0104396194882967</v>
      </c>
    </row>
    <row r="65" spans="5:10" x14ac:dyDescent="0.25">
      <c r="F65" s="29">
        <f t="shared" ref="F65:F67" si="14">F59*G59</f>
        <v>-20.423410078152003</v>
      </c>
      <c r="G65" s="29">
        <f>G59^2</f>
        <v>33.399142398575925</v>
      </c>
      <c r="I65" s="29" t="s">
        <v>51</v>
      </c>
    </row>
    <row r="66" spans="5:10" x14ac:dyDescent="0.25">
      <c r="F66" s="29">
        <f t="shared" si="14"/>
        <v>-20.348140875494018</v>
      </c>
      <c r="G66" s="29">
        <f>G60^2</f>
        <v>33.717066464854632</v>
      </c>
      <c r="I66" s="29">
        <f>F62-I64*G62</f>
        <v>-9.3722928588574721</v>
      </c>
    </row>
    <row r="67" spans="5:10" x14ac:dyDescent="0.25">
      <c r="F67" s="29">
        <f t="shared" si="14"/>
        <v>-20.289218267278969</v>
      </c>
      <c r="G67" s="29">
        <f>G61^2</f>
        <v>34.027945144221206</v>
      </c>
    </row>
    <row r="68" spans="5:10" x14ac:dyDescent="0.25">
      <c r="E68" s="35" t="s">
        <v>49</v>
      </c>
      <c r="F68" s="29">
        <f>AVERAGE(F64:F67)</f>
        <v>-20.384617314345839</v>
      </c>
      <c r="G68" s="29">
        <f>AVERAGE(G64:G67)</f>
        <v>33.554492962918332</v>
      </c>
      <c r="I68" s="29">
        <f>5.74*I64+I66</f>
        <v>-3.5723694429946482</v>
      </c>
      <c r="J68" s="29">
        <v>5.74</v>
      </c>
    </row>
    <row r="69" spans="5:10" x14ac:dyDescent="0.25">
      <c r="G69" s="29" t="s">
        <v>44</v>
      </c>
      <c r="I69" s="29">
        <f>J69*I64+I66</f>
        <v>-3.4713254810458194</v>
      </c>
      <c r="J69" s="29">
        <v>5.84</v>
      </c>
    </row>
    <row r="70" spans="5:10" x14ac:dyDescent="0.25">
      <c r="F70" s="29" t="s">
        <v>62</v>
      </c>
    </row>
    <row r="71" spans="5:10" x14ac:dyDescent="0.25">
      <c r="F71" s="29">
        <f>F58^2</f>
        <v>12.678796284141908</v>
      </c>
    </row>
    <row r="72" spans="5:10" x14ac:dyDescent="0.25">
      <c r="F72" s="29">
        <f>F59^2</f>
        <v>12.48881406123008</v>
      </c>
    </row>
    <row r="73" spans="5:10" x14ac:dyDescent="0.25">
      <c r="F73" s="29">
        <f>F60^2</f>
        <v>12.280037396507698</v>
      </c>
    </row>
    <row r="74" spans="5:10" x14ac:dyDescent="0.25">
      <c r="F74" s="29">
        <f>F61^2</f>
        <v>12.097479767073017</v>
      </c>
    </row>
    <row r="75" spans="5:10" x14ac:dyDescent="0.25">
      <c r="F75" s="29">
        <f>AVERAGE(F71:F74)</f>
        <v>12.386281877238178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2024-02-06T06:34:29Z</dcterms:created>
  <dcterms:modified xsi:type="dcterms:W3CDTF">2024-02-19T21:44:14Z</dcterms:modified>
</cp:coreProperties>
</file>