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pt_dgap\2_semester\labs\lab_2_5_1\"/>
    </mc:Choice>
  </mc:AlternateContent>
  <xr:revisionPtr revIDLastSave="0" documentId="13_ncr:1_{C5A0F032-1E2A-4ADB-AB7C-0F93DB02194F}" xr6:coauthVersionLast="47" xr6:coauthVersionMax="47" xr10:uidLastSave="{00000000-0000-0000-0000-000000000000}"/>
  <bookViews>
    <workbookView xWindow="-108" yWindow="-108" windowWidth="23256" windowHeight="12576" xr2:uid="{438C22A8-7B93-426B-B172-54550A05B4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P26" i="1"/>
  <c r="P25" i="1"/>
  <c r="P24" i="1"/>
  <c r="P23" i="1"/>
  <c r="P22" i="1"/>
  <c r="P21" i="1"/>
  <c r="P20" i="1"/>
  <c r="P19" i="1"/>
  <c r="I30" i="1"/>
  <c r="I25" i="1"/>
  <c r="K30" i="1"/>
  <c r="K25" i="1"/>
  <c r="K24" i="1"/>
  <c r="I24" i="1" s="1"/>
  <c r="K23" i="1"/>
  <c r="I23" i="1" s="1"/>
  <c r="K22" i="1"/>
  <c r="I22" i="1" s="1"/>
  <c r="K10" i="1"/>
  <c r="I10" i="1" s="1"/>
  <c r="K9" i="1"/>
  <c r="I9" i="1" s="1"/>
  <c r="Z9" i="1"/>
  <c r="Z12" i="1"/>
  <c r="Z11" i="1"/>
  <c r="Z10" i="1"/>
  <c r="Y68" i="1"/>
  <c r="Y67" i="1"/>
  <c r="Y66" i="1"/>
  <c r="Y65" i="1"/>
  <c r="Z64" i="1"/>
  <c r="Y64" i="1"/>
  <c r="Y61" i="1"/>
  <c r="Y60" i="1"/>
  <c r="Y59" i="1"/>
  <c r="Y58" i="1"/>
  <c r="Z57" i="1"/>
  <c r="Y57" i="1"/>
  <c r="Y54" i="1"/>
  <c r="Y53" i="1"/>
  <c r="Y52" i="1"/>
  <c r="Y51" i="1"/>
  <c r="Z50" i="1"/>
  <c r="Y50" i="1"/>
  <c r="Y47" i="1"/>
  <c r="Y46" i="1"/>
  <c r="Y45" i="1"/>
  <c r="Y44" i="1"/>
  <c r="Z43" i="1"/>
  <c r="Y43" i="1"/>
  <c r="Y40" i="1"/>
  <c r="Y39" i="1"/>
  <c r="Y38" i="1"/>
  <c r="Y37" i="1"/>
  <c r="Z36" i="1"/>
  <c r="Y36" i="1"/>
  <c r="Y33" i="1"/>
  <c r="Y32" i="1"/>
  <c r="Y31" i="1"/>
  <c r="Y30" i="1"/>
  <c r="Z29" i="1"/>
  <c r="Y29" i="1"/>
  <c r="Y26" i="1"/>
  <c r="Y25" i="1"/>
  <c r="Y24" i="1"/>
  <c r="Y23" i="1"/>
  <c r="Z22" i="1"/>
  <c r="Y22" i="1"/>
  <c r="W19" i="1"/>
  <c r="Y19" i="1" s="1"/>
  <c r="Z15" i="1"/>
  <c r="W12" i="1"/>
  <c r="Y12" i="1" s="1"/>
  <c r="W10" i="1"/>
  <c r="Y10" i="1" s="1"/>
  <c r="Z8" i="1"/>
  <c r="Y5" i="1"/>
  <c r="Y4" i="1"/>
  <c r="Y3" i="1"/>
  <c r="O16" i="1"/>
  <c r="O15" i="1"/>
  <c r="O14" i="1"/>
  <c r="O13" i="1"/>
  <c r="O12" i="1"/>
  <c r="O11" i="1"/>
  <c r="O10" i="1"/>
  <c r="O9" i="1"/>
  <c r="O8" i="1"/>
  <c r="L64" i="1"/>
  <c r="K66" i="1" s="1"/>
  <c r="I66" i="1" s="1"/>
  <c r="L57" i="1"/>
  <c r="L59" i="1" s="1"/>
  <c r="L61" i="1" s="1"/>
  <c r="P15" i="1" s="1"/>
  <c r="P37" i="1" s="1"/>
  <c r="L50" i="1"/>
  <c r="L52" i="1" s="1"/>
  <c r="L54" i="1" s="1"/>
  <c r="P14" i="1" s="1"/>
  <c r="P36" i="1" s="1"/>
  <c r="L43" i="1"/>
  <c r="L36" i="1"/>
  <c r="K40" i="1" s="1"/>
  <c r="I40" i="1" s="1"/>
  <c r="L29" i="1"/>
  <c r="K33" i="1" s="1"/>
  <c r="I33" i="1" s="1"/>
  <c r="L22" i="1"/>
  <c r="K26" i="1" s="1"/>
  <c r="I26" i="1" s="1"/>
  <c r="L15" i="1"/>
  <c r="K15" i="1" s="1"/>
  <c r="I15" i="1" s="1"/>
  <c r="L8" i="1"/>
  <c r="W11" i="1" s="1"/>
  <c r="Y11" i="1" s="1"/>
  <c r="C7" i="1"/>
  <c r="K5" i="1"/>
  <c r="K4" i="1"/>
  <c r="K3" i="1"/>
  <c r="P3" i="1"/>
  <c r="L10" i="1" s="1"/>
  <c r="H22" i="1" l="1"/>
  <c r="H24" i="1" s="1"/>
  <c r="H26" i="1" s="1"/>
  <c r="R10" i="1" s="1"/>
  <c r="Z17" i="1"/>
  <c r="Z19" i="1" s="1"/>
  <c r="W16" i="1"/>
  <c r="Y16" i="1" s="1"/>
  <c r="K31" i="1"/>
  <c r="I31" i="1" s="1"/>
  <c r="W17" i="1"/>
  <c r="Y17" i="1" s="1"/>
  <c r="K32" i="1"/>
  <c r="I32" i="1" s="1"/>
  <c r="L45" i="1"/>
  <c r="L47" i="1" s="1"/>
  <c r="P13" i="1" s="1"/>
  <c r="P35" i="1" s="1"/>
  <c r="W18" i="1"/>
  <c r="Y18" i="1" s="1"/>
  <c r="K8" i="1"/>
  <c r="I8" i="1" s="1"/>
  <c r="H8" i="1" s="1"/>
  <c r="H10" i="1" s="1"/>
  <c r="H12" i="1" s="1"/>
  <c r="R8" i="1" s="1"/>
  <c r="L66" i="1"/>
  <c r="L68" i="1" s="1"/>
  <c r="P16" i="1" s="1"/>
  <c r="P38" i="1" s="1"/>
  <c r="Z52" i="1"/>
  <c r="Z54" i="1" s="1"/>
  <c r="W15" i="1"/>
  <c r="Y15" i="1" s="1"/>
  <c r="K29" i="1"/>
  <c r="I29" i="1" s="1"/>
  <c r="K50" i="1"/>
  <c r="I50" i="1" s="1"/>
  <c r="K51" i="1"/>
  <c r="I51" i="1" s="1"/>
  <c r="K45" i="1"/>
  <c r="I45" i="1" s="1"/>
  <c r="K52" i="1"/>
  <c r="I52" i="1" s="1"/>
  <c r="K44" i="1"/>
  <c r="I44" i="1" s="1"/>
  <c r="K46" i="1"/>
  <c r="I46" i="1" s="1"/>
  <c r="Z59" i="1"/>
  <c r="Z61" i="1" s="1"/>
  <c r="K53" i="1"/>
  <c r="I53" i="1" s="1"/>
  <c r="K67" i="1"/>
  <c r="I67" i="1" s="1"/>
  <c r="K47" i="1"/>
  <c r="I47" i="1" s="1"/>
  <c r="K54" i="1"/>
  <c r="I54" i="1" s="1"/>
  <c r="K11" i="1"/>
  <c r="I11" i="1" s="1"/>
  <c r="K57" i="1"/>
  <c r="I57" i="1" s="1"/>
  <c r="Z24" i="1"/>
  <c r="Z26" i="1" s="1"/>
  <c r="W8" i="1"/>
  <c r="Y8" i="1" s="1"/>
  <c r="K12" i="1"/>
  <c r="I12" i="1" s="1"/>
  <c r="K36" i="1"/>
  <c r="I36" i="1" s="1"/>
  <c r="K58" i="1"/>
  <c r="I58" i="1" s="1"/>
  <c r="Z45" i="1"/>
  <c r="Z47" i="1" s="1"/>
  <c r="K37" i="1"/>
  <c r="I37" i="1" s="1"/>
  <c r="K59" i="1"/>
  <c r="I59" i="1" s="1"/>
  <c r="L17" i="1"/>
  <c r="L19" i="1" s="1"/>
  <c r="P9" i="1" s="1"/>
  <c r="P31" i="1" s="1"/>
  <c r="W9" i="1"/>
  <c r="Y9" i="1" s="1"/>
  <c r="K16" i="1"/>
  <c r="I16" i="1" s="1"/>
  <c r="H15" i="1" s="1"/>
  <c r="H17" i="1" s="1"/>
  <c r="H19" i="1" s="1"/>
  <c r="R9" i="1" s="1"/>
  <c r="K38" i="1"/>
  <c r="I38" i="1" s="1"/>
  <c r="K60" i="1"/>
  <c r="I60" i="1" s="1"/>
  <c r="K68" i="1"/>
  <c r="I68" i="1" s="1"/>
  <c r="L24" i="1"/>
  <c r="L26" i="1" s="1"/>
  <c r="P10" i="1" s="1"/>
  <c r="P32" i="1" s="1"/>
  <c r="Z66" i="1"/>
  <c r="Z68" i="1" s="1"/>
  <c r="K17" i="1"/>
  <c r="I17" i="1" s="1"/>
  <c r="K39" i="1"/>
  <c r="I39" i="1" s="1"/>
  <c r="K61" i="1"/>
  <c r="I61" i="1" s="1"/>
  <c r="L31" i="1"/>
  <c r="L33" i="1" s="1"/>
  <c r="P11" i="1" s="1"/>
  <c r="P33" i="1" s="1"/>
  <c r="K18" i="1"/>
  <c r="I18" i="1" s="1"/>
  <c r="K64" i="1"/>
  <c r="I64" i="1" s="1"/>
  <c r="H64" i="1" s="1"/>
  <c r="H66" i="1" s="1"/>
  <c r="H68" i="1" s="1"/>
  <c r="R16" i="1" s="1"/>
  <c r="Z38" i="1"/>
  <c r="Z40" i="1" s="1"/>
  <c r="L38" i="1"/>
  <c r="L40" i="1" s="1"/>
  <c r="P12" i="1" s="1"/>
  <c r="P34" i="1" s="1"/>
  <c r="Z31" i="1"/>
  <c r="Z33" i="1" s="1"/>
  <c r="K19" i="1"/>
  <c r="I19" i="1" s="1"/>
  <c r="K43" i="1"/>
  <c r="I43" i="1" s="1"/>
  <c r="K65" i="1"/>
  <c r="I65" i="1" s="1"/>
  <c r="L12" i="1"/>
  <c r="H43" i="1" l="1"/>
  <c r="H45" i="1" s="1"/>
  <c r="H47" i="1" s="1"/>
  <c r="R13" i="1" s="1"/>
  <c r="H57" i="1"/>
  <c r="H59" i="1" s="1"/>
  <c r="H61" i="1" s="1"/>
  <c r="R15" i="1" s="1"/>
  <c r="H50" i="1"/>
  <c r="H52" i="1" s="1"/>
  <c r="H54" i="1" s="1"/>
  <c r="R14" i="1" s="1"/>
  <c r="H36" i="1"/>
  <c r="H38" i="1" s="1"/>
  <c r="H40" i="1" s="1"/>
  <c r="R12" i="1" s="1"/>
  <c r="H29" i="1"/>
  <c r="H31" i="1" s="1"/>
  <c r="H33" i="1" s="1"/>
  <c r="R11" i="1" s="1"/>
  <c r="P8" i="1"/>
  <c r="P30" i="1" s="1"/>
</calcChain>
</file>

<file path=xl/sharedStrings.xml><?xml version="1.0" encoding="utf-8"?>
<sst xmlns="http://schemas.openxmlformats.org/spreadsheetml/2006/main" count="254" uniqueCount="31">
  <si>
    <t>ед</t>
  </si>
  <si>
    <t>K</t>
  </si>
  <si>
    <t>g</t>
  </si>
  <si>
    <t>dPmax</t>
  </si>
  <si>
    <t xml:space="preserve"> </t>
  </si>
  <si>
    <t>Спирт</t>
  </si>
  <si>
    <t>T</t>
  </si>
  <si>
    <t>*C</t>
  </si>
  <si>
    <t>h1</t>
  </si>
  <si>
    <t>h2</t>
  </si>
  <si>
    <t>N</t>
  </si>
  <si>
    <t>dh</t>
  </si>
  <si>
    <t>dp</t>
  </si>
  <si>
    <t>d del</t>
  </si>
  <si>
    <t>del min</t>
  </si>
  <si>
    <t>del max</t>
  </si>
  <si>
    <t>del avg</t>
  </si>
  <si>
    <t>p avg</t>
  </si>
  <si>
    <t>sigma</t>
  </si>
  <si>
    <t>rho</t>
  </si>
  <si>
    <t>label</t>
  </si>
  <si>
    <t>a</t>
  </si>
  <si>
    <t>sqr d</t>
  </si>
  <si>
    <t>sum</t>
  </si>
  <si>
    <t>sigma rnd</t>
  </si>
  <si>
    <t>sigma c</t>
  </si>
  <si>
    <t>Terr</t>
  </si>
  <si>
    <t>sigmaerr</t>
  </si>
  <si>
    <t>qerr</t>
  </si>
  <si>
    <t>q</t>
  </si>
  <si>
    <t>ds/dt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</si>
</sst>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wrapText="1"/>
    </xf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A08D-1FA0-4A65-B8DB-055746EF8A50}">
  <dimension ref="B1:Z68"/>
  <sheetViews>
    <sheetView tabSelected="1" topLeftCell="F14" zoomScale="108" zoomScaleNormal="130" workbookViewId="0">
      <selection activeCell="P38" sqref="P38"/>
    </sheetView>
  </sheetViews>
  <sheetFormatPr defaultColWidth="8.88671875" defaultRowHeight="14.4" x14ac:dyDescent="0.3"/>
  <cols>
    <col min="1" max="12" width="8.88671875" style="1"/>
    <col min="13" max="13" width="12.88671875" style="1" bestFit="1" customWidth="1"/>
    <col min="14" max="14" width="26.33203125" style="11" customWidth="1"/>
    <col min="15" max="15" width="8.88671875" style="1"/>
    <col min="16" max="16" width="12.88671875" style="1" bestFit="1" customWidth="1"/>
    <col min="17" max="17" width="8.88671875" style="1"/>
    <col min="18" max="18" width="10.33203125" style="1" customWidth="1"/>
    <col min="19" max="16384" width="8.88671875" style="1"/>
  </cols>
  <sheetData>
    <row r="1" spans="2:26" ht="15" thickBot="1" x14ac:dyDescent="0.35"/>
    <row r="2" spans="2:26" x14ac:dyDescent="0.3">
      <c r="B2" s="1" t="s">
        <v>6</v>
      </c>
      <c r="C2" s="1">
        <v>22</v>
      </c>
      <c r="D2" s="1" t="s">
        <v>7</v>
      </c>
      <c r="F2" s="3" t="s">
        <v>6</v>
      </c>
      <c r="G2" s="4" t="s">
        <v>10</v>
      </c>
      <c r="H2" s="4"/>
      <c r="I2" s="4" t="s">
        <v>14</v>
      </c>
      <c r="J2" s="4" t="s">
        <v>15</v>
      </c>
      <c r="K2" s="4" t="s">
        <v>13</v>
      </c>
      <c r="L2" s="5" t="s">
        <v>12</v>
      </c>
      <c r="N2" s="11" t="s">
        <v>8</v>
      </c>
      <c r="O2" s="1" t="s">
        <v>9</v>
      </c>
      <c r="P2" s="1" t="s">
        <v>11</v>
      </c>
      <c r="U2" s="3" t="s">
        <v>6</v>
      </c>
      <c r="V2" s="4" t="s">
        <v>10</v>
      </c>
      <c r="W2" s="4" t="s">
        <v>14</v>
      </c>
      <c r="X2" s="4" t="s">
        <v>15</v>
      </c>
      <c r="Y2" s="4" t="s">
        <v>13</v>
      </c>
      <c r="Z2" s="5" t="s">
        <v>12</v>
      </c>
    </row>
    <row r="3" spans="2:26" x14ac:dyDescent="0.3">
      <c r="B3" s="1" t="s">
        <v>5</v>
      </c>
      <c r="C3" s="1">
        <v>0.5</v>
      </c>
      <c r="D3" s="1" t="s">
        <v>0</v>
      </c>
      <c r="F3" s="6">
        <v>22</v>
      </c>
      <c r="G3" s="2">
        <v>1</v>
      </c>
      <c r="H3" s="2"/>
      <c r="I3" s="2">
        <v>115</v>
      </c>
      <c r="J3" s="2">
        <v>129</v>
      </c>
      <c r="K3" s="2">
        <f>J3-I3</f>
        <v>14</v>
      </c>
      <c r="L3" s="7"/>
      <c r="N3" s="11">
        <v>25.5</v>
      </c>
      <c r="O3" s="1">
        <v>8</v>
      </c>
      <c r="P3" s="1">
        <f>N3-O3</f>
        <v>17.5</v>
      </c>
      <c r="U3" s="6">
        <v>22</v>
      </c>
      <c r="V3" s="2">
        <v>1</v>
      </c>
      <c r="W3" s="2">
        <v>115</v>
      </c>
      <c r="X3" s="2">
        <v>129</v>
      </c>
      <c r="Y3" s="2">
        <f>X3-W3</f>
        <v>14</v>
      </c>
      <c r="Z3" s="7"/>
    </row>
    <row r="4" spans="2:26" x14ac:dyDescent="0.3">
      <c r="B4" s="1" t="s">
        <v>1</v>
      </c>
      <c r="C4" s="1">
        <v>0.2</v>
      </c>
      <c r="F4" s="6"/>
      <c r="G4" s="2">
        <v>2</v>
      </c>
      <c r="H4" s="2"/>
      <c r="I4" s="2">
        <v>115</v>
      </c>
      <c r="J4" s="2">
        <v>128</v>
      </c>
      <c r="K4" s="2">
        <f>J4-I4</f>
        <v>13</v>
      </c>
      <c r="L4" s="7"/>
      <c r="U4" s="6"/>
      <c r="V4" s="2">
        <v>2</v>
      </c>
      <c r="W4" s="2">
        <v>115</v>
      </c>
      <c r="X4" s="2">
        <v>128</v>
      </c>
      <c r="Y4" s="2">
        <f>X4-W4</f>
        <v>13</v>
      </c>
      <c r="Z4" s="7"/>
    </row>
    <row r="5" spans="2:26" ht="15" thickBot="1" x14ac:dyDescent="0.35">
      <c r="B5" s="1" t="s">
        <v>2</v>
      </c>
      <c r="C5" s="1">
        <v>9.8066499999999994</v>
      </c>
      <c r="F5" s="8"/>
      <c r="G5" s="9">
        <v>3</v>
      </c>
      <c r="H5" s="9"/>
      <c r="I5" s="9">
        <v>114</v>
      </c>
      <c r="J5" s="9">
        <v>128</v>
      </c>
      <c r="K5" s="9">
        <f>J5-I5</f>
        <v>14</v>
      </c>
      <c r="L5" s="10"/>
      <c r="U5" s="8"/>
      <c r="V5" s="9">
        <v>3</v>
      </c>
      <c r="W5" s="9">
        <v>114</v>
      </c>
      <c r="X5" s="9">
        <v>128</v>
      </c>
      <c r="Y5" s="9">
        <f>X5-W5</f>
        <v>14</v>
      </c>
      <c r="Z5" s="10"/>
    </row>
    <row r="6" spans="2:26" ht="15" thickBot="1" x14ac:dyDescent="0.35">
      <c r="B6" s="1" t="s">
        <v>19</v>
      </c>
      <c r="C6" s="1">
        <v>1000</v>
      </c>
    </row>
    <row r="7" spans="2:26" x14ac:dyDescent="0.3">
      <c r="B7" s="1" t="s">
        <v>3</v>
      </c>
      <c r="C7" s="1">
        <f>C3*C4*C5</f>
        <v>0.98066500000000001</v>
      </c>
      <c r="F7" s="3" t="s">
        <v>6</v>
      </c>
      <c r="G7" s="4" t="s">
        <v>10</v>
      </c>
      <c r="H7" s="4" t="s">
        <v>23</v>
      </c>
      <c r="I7" s="4" t="s">
        <v>22</v>
      </c>
      <c r="J7" s="4" t="s">
        <v>15</v>
      </c>
      <c r="K7" s="4"/>
      <c r="L7" s="5" t="s">
        <v>16</v>
      </c>
      <c r="M7" s="1" t="s">
        <v>19</v>
      </c>
      <c r="O7" s="1" t="s">
        <v>6</v>
      </c>
      <c r="P7" s="1" t="s">
        <v>18</v>
      </c>
      <c r="Q7" s="1" t="s">
        <v>26</v>
      </c>
      <c r="R7" s="1" t="s">
        <v>27</v>
      </c>
      <c r="S7" s="1" t="s">
        <v>20</v>
      </c>
      <c r="U7" s="3" t="s">
        <v>6</v>
      </c>
      <c r="V7" s="4" t="s">
        <v>10</v>
      </c>
      <c r="W7" s="4" t="s">
        <v>14</v>
      </c>
      <c r="X7" s="4" t="s">
        <v>15</v>
      </c>
      <c r="Y7" s="4" t="s">
        <v>13</v>
      </c>
      <c r="Z7" s="5" t="s">
        <v>16</v>
      </c>
    </row>
    <row r="8" spans="2:26" x14ac:dyDescent="0.3">
      <c r="D8" s="1" t="s">
        <v>4</v>
      </c>
      <c r="F8" s="6">
        <v>22</v>
      </c>
      <c r="G8" s="2">
        <v>1</v>
      </c>
      <c r="H8" s="2">
        <f>SUM(I8:I12)</f>
        <v>0.30000000000000004</v>
      </c>
      <c r="I8" s="2">
        <f>(J8-K8)^2</f>
        <v>9.0000000000006825E-2</v>
      </c>
      <c r="J8" s="2">
        <v>224</v>
      </c>
      <c r="K8" s="2">
        <f>L8</f>
        <v>224.3</v>
      </c>
      <c r="L8" s="7">
        <f>AVERAGE(J8:J12)</f>
        <v>224.3</v>
      </c>
      <c r="M8" s="1">
        <v>1000</v>
      </c>
      <c r="O8" s="1">
        <f>22+273</f>
        <v>295</v>
      </c>
      <c r="P8" s="1">
        <f>L12</f>
        <v>8.0492983200000007E-2</v>
      </c>
      <c r="Q8" s="1">
        <v>0.2</v>
      </c>
      <c r="R8" s="1">
        <f>SQRT(H12^2+0.0006^2)</f>
        <v>6.2126162261970993E-4</v>
      </c>
      <c r="S8" s="1" t="s">
        <v>21</v>
      </c>
      <c r="U8" s="6">
        <v>22</v>
      </c>
      <c r="V8" s="2">
        <v>1</v>
      </c>
      <c r="W8" s="2">
        <f>($L$8-X8)^2</f>
        <v>9.0000000000006825E-2</v>
      </c>
      <c r="X8" s="2">
        <v>224</v>
      </c>
      <c r="Y8" s="2">
        <f>X8-W8</f>
        <v>223.91</v>
      </c>
      <c r="Z8" s="7">
        <f>AVERAGE(X8:X12)</f>
        <v>224.3</v>
      </c>
    </row>
    <row r="9" spans="2:26" x14ac:dyDescent="0.3">
      <c r="F9" s="6"/>
      <c r="G9" s="2">
        <v>2</v>
      </c>
      <c r="H9" s="2" t="s">
        <v>24</v>
      </c>
      <c r="I9" s="2">
        <f t="shared" ref="I9:I12" si="0">(J9-K9)^2</f>
        <v>3.9999999999995456E-2</v>
      </c>
      <c r="J9" s="2">
        <v>224.5</v>
      </c>
      <c r="K9" s="2">
        <f>L8</f>
        <v>224.3</v>
      </c>
      <c r="L9" s="7" t="s">
        <v>17</v>
      </c>
      <c r="O9" s="1">
        <f>28+273</f>
        <v>301</v>
      </c>
      <c r="P9" s="1">
        <f>L19</f>
        <v>8.031646349999999E-2</v>
      </c>
      <c r="Q9" s="1">
        <v>0.2</v>
      </c>
      <c r="R9" s="1">
        <f>SQRT(H19^2+0.0006^2)</f>
        <v>5.9999999999999995E-4</v>
      </c>
      <c r="S9" s="1" t="s">
        <v>21</v>
      </c>
      <c r="U9" s="6"/>
      <c r="V9" s="2">
        <v>2</v>
      </c>
      <c r="W9" s="2">
        <f t="shared" ref="W9:W12" si="1">($L$8-X9)^2</f>
        <v>3.9999999999995456E-2</v>
      </c>
      <c r="X9" s="2">
        <v>224.5</v>
      </c>
      <c r="Y9" s="2">
        <f>X9-W9</f>
        <v>224.46</v>
      </c>
      <c r="Z9" s="7">
        <f>AVERAGE(X8:X12)</f>
        <v>224.3</v>
      </c>
    </row>
    <row r="10" spans="2:26" x14ac:dyDescent="0.3">
      <c r="F10" s="6" t="s">
        <v>1</v>
      </c>
      <c r="G10" s="2">
        <v>3</v>
      </c>
      <c r="H10" s="2">
        <f>SQRT(H8/4)</f>
        <v>0.27386127875258309</v>
      </c>
      <c r="I10" s="2">
        <f t="shared" si="0"/>
        <v>3.9999999999995456E-2</v>
      </c>
      <c r="J10" s="2">
        <v>224.5</v>
      </c>
      <c r="K10" s="2">
        <f>L8</f>
        <v>224.3</v>
      </c>
      <c r="L10" s="7">
        <f>L8*$C$4*$C$5-M8*$C$5*$P$3/1000</f>
        <v>268.30994400000003</v>
      </c>
      <c r="O10" s="1">
        <f>32+273</f>
        <v>305</v>
      </c>
      <c r="P10" s="1">
        <f>L26</f>
        <v>8.031646349999999E-2</v>
      </c>
      <c r="Q10" s="1">
        <v>0.2</v>
      </c>
      <c r="R10" s="1">
        <f>SQRT(H26^2+0.0006^2)</f>
        <v>5.9999999999999995E-4</v>
      </c>
      <c r="S10" s="1" t="s">
        <v>21</v>
      </c>
      <c r="U10" s="6" t="s">
        <v>1</v>
      </c>
      <c r="V10" s="2">
        <v>3</v>
      </c>
      <c r="W10" s="2">
        <f t="shared" si="1"/>
        <v>3.9999999999995456E-2</v>
      </c>
      <c r="X10" s="2">
        <v>224.5</v>
      </c>
      <c r="Y10" s="2">
        <f>X10-W10</f>
        <v>224.46</v>
      </c>
      <c r="Z10" s="7">
        <f t="shared" ref="Z10:Z12" si="2">AVERAGE(X10:X14)</f>
        <v>224.33333333333334</v>
      </c>
    </row>
    <row r="11" spans="2:26" x14ac:dyDescent="0.3">
      <c r="F11" s="6">
        <v>0.2</v>
      </c>
      <c r="G11" s="2">
        <v>4</v>
      </c>
      <c r="H11" s="2" t="s">
        <v>25</v>
      </c>
      <c r="I11" s="2">
        <f t="shared" si="0"/>
        <v>3.9999999999995456E-2</v>
      </c>
      <c r="J11" s="2">
        <v>224.5</v>
      </c>
      <c r="K11" s="2">
        <f>L8</f>
        <v>224.3</v>
      </c>
      <c r="L11" s="7" t="s">
        <v>18</v>
      </c>
      <c r="O11" s="1">
        <f>35+273</f>
        <v>308</v>
      </c>
      <c r="P11" s="1">
        <f>L33</f>
        <v>7.9786904399999997E-2</v>
      </c>
      <c r="Q11" s="1">
        <v>0.2</v>
      </c>
      <c r="R11" s="1">
        <f>SQRT(H33^2+0.0006^2)</f>
        <v>6.8107563086657269E-4</v>
      </c>
      <c r="S11" s="1" t="s">
        <v>21</v>
      </c>
      <c r="U11" s="6">
        <v>0.2</v>
      </c>
      <c r="V11" s="2">
        <v>4</v>
      </c>
      <c r="W11" s="2">
        <f t="shared" si="1"/>
        <v>3.9999999999995456E-2</v>
      </c>
      <c r="X11" s="2">
        <v>224.5</v>
      </c>
      <c r="Y11" s="2">
        <f>X11-W11</f>
        <v>224.46</v>
      </c>
      <c r="Z11" s="7">
        <f t="shared" si="2"/>
        <v>224.16666666666666</v>
      </c>
    </row>
    <row r="12" spans="2:26" ht="15" thickBot="1" x14ac:dyDescent="0.35">
      <c r="F12" s="8"/>
      <c r="G12" s="9">
        <v>5</v>
      </c>
      <c r="H12" s="9">
        <f>H10*$C$4*$C$5*0.0006/2</f>
        <v>1.6113970255674114E-4</v>
      </c>
      <c r="I12" s="9">
        <f t="shared" si="0"/>
        <v>9.0000000000006825E-2</v>
      </c>
      <c r="J12" s="9">
        <v>224</v>
      </c>
      <c r="K12" s="9">
        <f>L8</f>
        <v>224.3</v>
      </c>
      <c r="L12" s="10">
        <f>L10*0.0006/2</f>
        <v>8.0492983200000007E-2</v>
      </c>
      <c r="O12" s="1">
        <f>40+273</f>
        <v>313</v>
      </c>
      <c r="P12" s="1">
        <f>L40</f>
        <v>7.9021985700000005E-2</v>
      </c>
      <c r="Q12" s="1">
        <v>0.2</v>
      </c>
      <c r="R12" s="1">
        <f>SQRT(H40^2+0.0006^2)</f>
        <v>6.551661443024967E-4</v>
      </c>
      <c r="S12" s="1" t="s">
        <v>21</v>
      </c>
      <c r="U12" s="8"/>
      <c r="V12" s="9">
        <v>5</v>
      </c>
      <c r="W12" s="2">
        <f t="shared" si="1"/>
        <v>9.0000000000006825E-2</v>
      </c>
      <c r="X12" s="9">
        <v>224</v>
      </c>
      <c r="Y12" s="9">
        <f>X12-W12</f>
        <v>223.91</v>
      </c>
      <c r="Z12" s="7">
        <f t="shared" si="2"/>
        <v>224</v>
      </c>
    </row>
    <row r="13" spans="2:26" ht="15" thickBot="1" x14ac:dyDescent="0.35">
      <c r="O13" s="1">
        <f>45+273</f>
        <v>318</v>
      </c>
      <c r="P13" s="1">
        <f>L47</f>
        <v>7.8080547299999983E-2</v>
      </c>
      <c r="Q13" s="1">
        <v>0.2</v>
      </c>
      <c r="R13" s="1">
        <f>SQRT(H47^2+0.0006^2)</f>
        <v>6.551661443024967E-4</v>
      </c>
      <c r="S13" s="1" t="s">
        <v>21</v>
      </c>
    </row>
    <row r="14" spans="2:26" x14ac:dyDescent="0.3">
      <c r="F14" s="3" t="s">
        <v>6</v>
      </c>
      <c r="G14" s="4" t="s">
        <v>10</v>
      </c>
      <c r="H14" s="4" t="s">
        <v>23</v>
      </c>
      <c r="I14" s="4" t="s">
        <v>14</v>
      </c>
      <c r="J14" s="4" t="s">
        <v>15</v>
      </c>
      <c r="K14" s="4"/>
      <c r="L14" s="5" t="s">
        <v>16</v>
      </c>
      <c r="M14" s="1" t="s">
        <v>19</v>
      </c>
      <c r="O14" s="1">
        <f>50+273</f>
        <v>323</v>
      </c>
      <c r="P14" s="1">
        <f>L54</f>
        <v>7.649186999999999E-2</v>
      </c>
      <c r="Q14" s="1">
        <v>0.2</v>
      </c>
      <c r="R14" s="1">
        <f>SQRT(H54^2+0.0006^2)</f>
        <v>6.6824647084758331E-4</v>
      </c>
      <c r="S14" s="1" t="s">
        <v>21</v>
      </c>
      <c r="U14" s="3" t="s">
        <v>6</v>
      </c>
      <c r="V14" s="4" t="s">
        <v>10</v>
      </c>
      <c r="W14" s="4" t="s">
        <v>14</v>
      </c>
      <c r="X14" s="4" t="s">
        <v>15</v>
      </c>
      <c r="Y14" s="4" t="s">
        <v>13</v>
      </c>
      <c r="Z14" s="5" t="s">
        <v>16</v>
      </c>
    </row>
    <row r="15" spans="2:26" x14ac:dyDescent="0.3">
      <c r="F15" s="6">
        <v>28</v>
      </c>
      <c r="G15" s="2">
        <v>1</v>
      </c>
      <c r="H15" s="2">
        <f>SUM(I15:I19)</f>
        <v>0</v>
      </c>
      <c r="I15" s="2">
        <f t="shared" ref="I15:I19" si="3">(J15-K15)^2</f>
        <v>0</v>
      </c>
      <c r="J15" s="2">
        <v>224</v>
      </c>
      <c r="K15" s="2">
        <f>L15</f>
        <v>224</v>
      </c>
      <c r="L15" s="7">
        <f>AVERAGE(J15:J19)</f>
        <v>224</v>
      </c>
      <c r="M15" s="1">
        <v>1000</v>
      </c>
      <c r="O15" s="1">
        <f>55+273</f>
        <v>328</v>
      </c>
      <c r="P15" s="1">
        <f>L61</f>
        <v>7.5609271500000005E-2</v>
      </c>
      <c r="Q15" s="1">
        <v>0.2</v>
      </c>
      <c r="R15" s="1">
        <f>SQRT(H61^2+0.0006^2)</f>
        <v>5.9999999999999995E-4</v>
      </c>
      <c r="S15" s="1" t="s">
        <v>21</v>
      </c>
      <c r="U15" s="6">
        <v>28</v>
      </c>
      <c r="V15" s="2">
        <v>1</v>
      </c>
      <c r="W15" s="2">
        <f>($L$8-X15)^2</f>
        <v>9.0000000000006825E-2</v>
      </c>
      <c r="X15" s="2">
        <v>224</v>
      </c>
      <c r="Y15" s="2">
        <f>X15-W15</f>
        <v>223.91</v>
      </c>
      <c r="Z15" s="7">
        <f>AVERAGE(X15:X19)</f>
        <v>224</v>
      </c>
    </row>
    <row r="16" spans="2:26" x14ac:dyDescent="0.3">
      <c r="F16" s="6"/>
      <c r="G16" s="2">
        <v>2</v>
      </c>
      <c r="H16" s="2" t="s">
        <v>24</v>
      </c>
      <c r="I16" s="2">
        <f t="shared" si="3"/>
        <v>0</v>
      </c>
      <c r="J16" s="2">
        <v>224</v>
      </c>
      <c r="K16" s="2">
        <f>L15</f>
        <v>224</v>
      </c>
      <c r="L16" s="7" t="s">
        <v>17</v>
      </c>
      <c r="O16" s="1">
        <f>59+273</f>
        <v>332</v>
      </c>
      <c r="P16" s="1">
        <f>L68</f>
        <v>7.478551289999999E-2</v>
      </c>
      <c r="Q16" s="1">
        <v>0.2</v>
      </c>
      <c r="R16" s="1">
        <f>SQRT(H68^2+0.0006^2)</f>
        <v>6.8107563086657269E-4</v>
      </c>
      <c r="S16" s="1" t="s">
        <v>21</v>
      </c>
      <c r="U16" s="6"/>
      <c r="V16" s="2">
        <v>2</v>
      </c>
      <c r="W16" s="2">
        <f t="shared" ref="W16:W19" si="4">($L$8-X16)^2</f>
        <v>9.0000000000006825E-2</v>
      </c>
      <c r="X16" s="2">
        <v>224</v>
      </c>
      <c r="Y16" s="2">
        <f>X16-W16</f>
        <v>223.91</v>
      </c>
      <c r="Z16" s="7" t="s">
        <v>17</v>
      </c>
    </row>
    <row r="17" spans="6:26" x14ac:dyDescent="0.3">
      <c r="F17" s="6" t="s">
        <v>1</v>
      </c>
      <c r="G17" s="2">
        <v>3</v>
      </c>
      <c r="H17" s="2">
        <f>SQRT(H15/4)</f>
        <v>0</v>
      </c>
      <c r="I17" s="2">
        <f t="shared" si="3"/>
        <v>0</v>
      </c>
      <c r="J17" s="2">
        <v>224</v>
      </c>
      <c r="K17" s="2">
        <f>L15</f>
        <v>224</v>
      </c>
      <c r="L17" s="7">
        <f>L15*$C$4*$C$5-M15*$C$5*$P$3/1000</f>
        <v>267.72154499999999</v>
      </c>
      <c r="U17" s="6" t="s">
        <v>1</v>
      </c>
      <c r="V17" s="2">
        <v>3</v>
      </c>
      <c r="W17" s="2">
        <f t="shared" si="4"/>
        <v>9.0000000000006825E-2</v>
      </c>
      <c r="X17" s="2">
        <v>224</v>
      </c>
      <c r="Y17" s="2">
        <f>X17-W17</f>
        <v>223.91</v>
      </c>
      <c r="Z17" s="7">
        <f>Z15*$C$4*$C$5-AA15*$C$5*$P$3/1000</f>
        <v>439.33792</v>
      </c>
    </row>
    <row r="18" spans="6:26" x14ac:dyDescent="0.3">
      <c r="F18" s="6">
        <v>0.2</v>
      </c>
      <c r="G18" s="2">
        <v>4</v>
      </c>
      <c r="H18" s="2" t="s">
        <v>25</v>
      </c>
      <c r="I18" s="2">
        <f t="shared" si="3"/>
        <v>0</v>
      </c>
      <c r="J18" s="2">
        <v>224</v>
      </c>
      <c r="K18" s="2">
        <f>L15</f>
        <v>224</v>
      </c>
      <c r="L18" s="7" t="s">
        <v>18</v>
      </c>
      <c r="N18" s="11" t="s">
        <v>30</v>
      </c>
      <c r="O18" s="1" t="s">
        <v>6</v>
      </c>
      <c r="P18" s="1" t="s">
        <v>29</v>
      </c>
      <c r="Q18" s="1" t="s">
        <v>26</v>
      </c>
      <c r="R18" s="1" t="s">
        <v>28</v>
      </c>
      <c r="S18" s="1" t="s">
        <v>20</v>
      </c>
      <c r="U18" s="6">
        <v>0.2</v>
      </c>
      <c r="V18" s="2">
        <v>4</v>
      </c>
      <c r="W18" s="2">
        <f t="shared" si="4"/>
        <v>9.0000000000006825E-2</v>
      </c>
      <c r="X18" s="2">
        <v>224</v>
      </c>
      <c r="Y18" s="2">
        <f>X18-W18</f>
        <v>223.91</v>
      </c>
      <c r="Z18" s="7" t="s">
        <v>18</v>
      </c>
    </row>
    <row r="19" spans="6:26" ht="15" thickBot="1" x14ac:dyDescent="0.35">
      <c r="F19" s="8"/>
      <c r="G19" s="9">
        <v>5</v>
      </c>
      <c r="H19" s="9">
        <f>H17*$C$4*$C$5*0.0006/2</f>
        <v>0</v>
      </c>
      <c r="I19" s="9">
        <f t="shared" si="3"/>
        <v>0</v>
      </c>
      <c r="J19" s="9">
        <v>224</v>
      </c>
      <c r="K19" s="9">
        <f>L15</f>
        <v>224</v>
      </c>
      <c r="L19" s="10">
        <f>L17*0.0006/2</f>
        <v>8.031646349999999E-2</v>
      </c>
      <c r="N19" s="12">
        <v>-2.9419833333336301E-5</v>
      </c>
      <c r="O19" s="1">
        <v>295</v>
      </c>
      <c r="P19" s="15">
        <f>-O19*N19</f>
        <v>8.678850833334209E-3</v>
      </c>
      <c r="Q19" s="1">
        <v>0.2</v>
      </c>
      <c r="R19" s="1">
        <v>0</v>
      </c>
      <c r="S19" s="1" t="s">
        <v>21</v>
      </c>
      <c r="U19" s="8"/>
      <c r="V19" s="9">
        <v>5</v>
      </c>
      <c r="W19" s="2">
        <f t="shared" si="4"/>
        <v>9.0000000000006825E-2</v>
      </c>
      <c r="X19" s="9">
        <v>224</v>
      </c>
      <c r="Y19" s="9">
        <f>X19-W19</f>
        <v>223.91</v>
      </c>
      <c r="Z19" s="10">
        <f>Z17*0.0006/2</f>
        <v>0.131801376</v>
      </c>
    </row>
    <row r="20" spans="6:26" ht="15" thickBot="1" x14ac:dyDescent="0.35">
      <c r="N20" s="13">
        <v>2.4841304445577199E-18</v>
      </c>
      <c r="O20" s="1">
        <v>301</v>
      </c>
      <c r="P20" s="15">
        <f>-O20*N20</f>
        <v>-7.4772326381187367E-16</v>
      </c>
      <c r="Q20" s="1">
        <v>0.2</v>
      </c>
      <c r="R20" s="1">
        <v>0</v>
      </c>
      <c r="S20" s="1" t="s">
        <v>21</v>
      </c>
    </row>
    <row r="21" spans="6:26" x14ac:dyDescent="0.3">
      <c r="F21" s="3" t="s">
        <v>6</v>
      </c>
      <c r="G21" s="4" t="s">
        <v>10</v>
      </c>
      <c r="H21" s="4" t="s">
        <v>23</v>
      </c>
      <c r="I21" s="4" t="s">
        <v>14</v>
      </c>
      <c r="J21" s="4" t="s">
        <v>15</v>
      </c>
      <c r="K21" s="4"/>
      <c r="L21" s="5" t="s">
        <v>16</v>
      </c>
      <c r="M21" s="1" t="s">
        <v>19</v>
      </c>
      <c r="N21" s="14">
        <v>-1.76520000000001E-4</v>
      </c>
      <c r="O21" s="1">
        <v>305</v>
      </c>
      <c r="P21" s="15">
        <f>-O21*N21</f>
        <v>5.3838600000000306E-2</v>
      </c>
      <c r="Q21" s="1">
        <v>0.2</v>
      </c>
      <c r="R21" s="1">
        <v>0</v>
      </c>
      <c r="S21" s="1" t="s">
        <v>21</v>
      </c>
      <c r="U21" s="3" t="s">
        <v>6</v>
      </c>
      <c r="V21" s="4" t="s">
        <v>10</v>
      </c>
      <c r="W21" s="4" t="s">
        <v>14</v>
      </c>
      <c r="X21" s="4" t="s">
        <v>15</v>
      </c>
      <c r="Y21" s="4" t="s">
        <v>13</v>
      </c>
      <c r="Z21" s="5" t="s">
        <v>16</v>
      </c>
    </row>
    <row r="22" spans="6:26" x14ac:dyDescent="0.3">
      <c r="F22" s="6">
        <v>32</v>
      </c>
      <c r="G22" s="2">
        <v>1</v>
      </c>
      <c r="H22" s="2">
        <f>SUM(I22:I26)</f>
        <v>0</v>
      </c>
      <c r="I22" s="2">
        <f t="shared" ref="I22:I26" si="5">(J22-K22)^2</f>
        <v>0</v>
      </c>
      <c r="J22" s="2">
        <v>224</v>
      </c>
      <c r="K22" s="2">
        <f>L22</f>
        <v>224</v>
      </c>
      <c r="L22" s="7">
        <f>AVERAGE(J22:J26)</f>
        <v>224</v>
      </c>
      <c r="M22" s="1">
        <v>1000</v>
      </c>
      <c r="N22" s="14">
        <v>-1.5298360000000699E-4</v>
      </c>
      <c r="O22" s="1">
        <v>308</v>
      </c>
      <c r="P22" s="15">
        <f>-O22*N22</f>
        <v>4.7118948800002156E-2</v>
      </c>
      <c r="Q22" s="1">
        <v>0.2</v>
      </c>
      <c r="R22" s="1">
        <v>0</v>
      </c>
      <c r="S22" s="1" t="s">
        <v>21</v>
      </c>
      <c r="U22" s="6">
        <v>32</v>
      </c>
      <c r="V22" s="2">
        <v>1</v>
      </c>
      <c r="W22" s="2">
        <v>211</v>
      </c>
      <c r="X22" s="2">
        <v>224</v>
      </c>
      <c r="Y22" s="2">
        <f>X22-W22</f>
        <v>13</v>
      </c>
      <c r="Z22" s="7">
        <f>AVERAGE(X22:X26)</f>
        <v>224</v>
      </c>
    </row>
    <row r="23" spans="6:26" x14ac:dyDescent="0.3">
      <c r="F23" s="6"/>
      <c r="G23" s="2">
        <v>2</v>
      </c>
      <c r="H23" s="2" t="s">
        <v>24</v>
      </c>
      <c r="I23" s="2">
        <f t="shared" si="5"/>
        <v>0</v>
      </c>
      <c r="J23" s="2">
        <v>224</v>
      </c>
      <c r="K23" s="2">
        <f>L22</f>
        <v>224</v>
      </c>
      <c r="L23" s="7" t="s">
        <v>17</v>
      </c>
      <c r="N23" s="14">
        <v>-1.8828779999999199E-4</v>
      </c>
      <c r="O23" s="1">
        <v>313</v>
      </c>
      <c r="P23" s="15">
        <f>-O23*N23</f>
        <v>5.8934081399997493E-2</v>
      </c>
      <c r="Q23" s="1">
        <v>0.2</v>
      </c>
      <c r="R23" s="1">
        <v>0</v>
      </c>
      <c r="S23" s="1" t="s">
        <v>21</v>
      </c>
      <c r="U23" s="6"/>
      <c r="V23" s="2">
        <v>2</v>
      </c>
      <c r="W23" s="2">
        <v>211</v>
      </c>
      <c r="X23" s="2">
        <v>224</v>
      </c>
      <c r="Y23" s="2">
        <f>X23-W23</f>
        <v>13</v>
      </c>
      <c r="Z23" s="7" t="s">
        <v>17</v>
      </c>
    </row>
    <row r="24" spans="6:26" x14ac:dyDescent="0.3">
      <c r="F24" s="6" t="s">
        <v>1</v>
      </c>
      <c r="G24" s="2">
        <v>3</v>
      </c>
      <c r="H24" s="2">
        <f>SQRT(H22/4)</f>
        <v>0</v>
      </c>
      <c r="I24" s="2">
        <f t="shared" si="5"/>
        <v>0</v>
      </c>
      <c r="J24" s="2">
        <v>224</v>
      </c>
      <c r="K24" s="2">
        <f>L22</f>
        <v>224</v>
      </c>
      <c r="L24" s="7">
        <f>L22*$C$4*$C$5-M22*$C$5*$P$3/1000</f>
        <v>267.72154499999999</v>
      </c>
      <c r="N24" s="14">
        <v>-3.1773540000000402E-4</v>
      </c>
      <c r="O24" s="1">
        <v>318</v>
      </c>
      <c r="P24" s="15">
        <f>-O24*N24</f>
        <v>0.10103985720000128</v>
      </c>
      <c r="Q24" s="1">
        <v>0.2</v>
      </c>
      <c r="R24" s="1">
        <v>0</v>
      </c>
      <c r="S24" s="1" t="s">
        <v>21</v>
      </c>
      <c r="U24" s="6" t="s">
        <v>1</v>
      </c>
      <c r="V24" s="2">
        <v>3</v>
      </c>
      <c r="W24" s="2">
        <v>210</v>
      </c>
      <c r="X24" s="2">
        <v>224</v>
      </c>
      <c r="Y24" s="2">
        <f>X24-W24</f>
        <v>14</v>
      </c>
      <c r="Z24" s="7">
        <f>Z22*$C$4*$C$5-AA22*$C$5*$P$3/1000</f>
        <v>439.33792</v>
      </c>
    </row>
    <row r="25" spans="6:26" x14ac:dyDescent="0.3">
      <c r="F25" s="6">
        <v>0.2</v>
      </c>
      <c r="G25" s="2">
        <v>4</v>
      </c>
      <c r="H25" s="2" t="s">
        <v>25</v>
      </c>
      <c r="I25" s="2">
        <f t="shared" si="5"/>
        <v>0</v>
      </c>
      <c r="J25" s="2">
        <v>224</v>
      </c>
      <c r="K25" s="2">
        <f>L22</f>
        <v>224</v>
      </c>
      <c r="L25" s="7" t="s">
        <v>18</v>
      </c>
      <c r="N25" s="14">
        <v>-1.76519599999992E-4</v>
      </c>
      <c r="O25" s="1">
        <v>323</v>
      </c>
      <c r="P25" s="15">
        <f>-O25*N25</f>
        <v>5.7015830799997419E-2</v>
      </c>
      <c r="Q25" s="1">
        <v>0.2</v>
      </c>
      <c r="R25" s="1">
        <v>0</v>
      </c>
      <c r="S25" s="1" t="s">
        <v>21</v>
      </c>
      <c r="U25" s="6">
        <v>0.2</v>
      </c>
      <c r="V25" s="2">
        <v>4</v>
      </c>
      <c r="W25" s="2">
        <v>211</v>
      </c>
      <c r="X25" s="2">
        <v>224</v>
      </c>
      <c r="Y25" s="2">
        <f>X25-W25</f>
        <v>13</v>
      </c>
      <c r="Z25" s="7" t="s">
        <v>18</v>
      </c>
    </row>
    <row r="26" spans="6:26" ht="15" thickBot="1" x14ac:dyDescent="0.35">
      <c r="F26" s="8"/>
      <c r="G26" s="9">
        <v>5</v>
      </c>
      <c r="H26" s="9">
        <f>H24*$C$4*$C$5*0.0006/2</f>
        <v>0</v>
      </c>
      <c r="I26" s="2">
        <f t="shared" si="5"/>
        <v>0</v>
      </c>
      <c r="J26" s="9">
        <v>224</v>
      </c>
      <c r="K26" s="9">
        <f>L22</f>
        <v>224</v>
      </c>
      <c r="L26" s="10">
        <f>L24*0.0006/2</f>
        <v>8.031646349999999E-2</v>
      </c>
      <c r="N26" s="14">
        <v>-2.05939750000021E-4</v>
      </c>
      <c r="O26" s="1">
        <v>328</v>
      </c>
      <c r="P26" s="15">
        <f>-O26*N26</f>
        <v>6.7548238000006894E-2</v>
      </c>
      <c r="Q26" s="1">
        <v>0.2</v>
      </c>
      <c r="R26" s="1">
        <v>0</v>
      </c>
      <c r="S26" s="1" t="s">
        <v>21</v>
      </c>
      <c r="U26" s="8"/>
      <c r="V26" s="9">
        <v>5</v>
      </c>
      <c r="W26" s="9">
        <v>210.5</v>
      </c>
      <c r="X26" s="9">
        <v>224</v>
      </c>
      <c r="Y26" s="9">
        <f>X26-W26</f>
        <v>13.5</v>
      </c>
      <c r="Z26" s="10">
        <f>Z24*0.0006/2</f>
        <v>0.131801376</v>
      </c>
    </row>
    <row r="27" spans="6:26" ht="15" thickBot="1" x14ac:dyDescent="0.35">
      <c r="N27" s="14">
        <v>-2.05939750000021E-4</v>
      </c>
      <c r="O27" s="1">
        <v>332</v>
      </c>
      <c r="P27" s="15">
        <f>-O27*N27</f>
        <v>6.837199700000697E-2</v>
      </c>
      <c r="Q27" s="1">
        <v>0.2</v>
      </c>
      <c r="R27" s="1">
        <v>0</v>
      </c>
      <c r="S27" s="1" t="s">
        <v>21</v>
      </c>
    </row>
    <row r="28" spans="6:26" x14ac:dyDescent="0.3">
      <c r="F28" s="3" t="s">
        <v>6</v>
      </c>
      <c r="G28" s="4" t="s">
        <v>10</v>
      </c>
      <c r="H28" s="4" t="s">
        <v>23</v>
      </c>
      <c r="I28" s="4" t="s">
        <v>14</v>
      </c>
      <c r="J28" s="4" t="s">
        <v>15</v>
      </c>
      <c r="K28" s="4"/>
      <c r="L28" s="5" t="s">
        <v>16</v>
      </c>
      <c r="M28" s="1" t="s">
        <v>19</v>
      </c>
      <c r="U28" s="3" t="s">
        <v>6</v>
      </c>
      <c r="V28" s="4" t="s">
        <v>10</v>
      </c>
      <c r="W28" s="4" t="s">
        <v>14</v>
      </c>
      <c r="X28" s="4" t="s">
        <v>15</v>
      </c>
      <c r="Y28" s="4" t="s">
        <v>13</v>
      </c>
      <c r="Z28" s="5" t="s">
        <v>16</v>
      </c>
    </row>
    <row r="29" spans="6:26" x14ac:dyDescent="0.3">
      <c r="F29" s="6">
        <v>35</v>
      </c>
      <c r="G29" s="2">
        <v>1</v>
      </c>
      <c r="H29" s="2">
        <f>SUM(I29:I33)</f>
        <v>1.2000000000000002</v>
      </c>
      <c r="I29" s="2">
        <f t="shared" ref="I29:I33" si="6">(J29-K29)^2</f>
        <v>0.81000000000001027</v>
      </c>
      <c r="J29" s="2">
        <v>224</v>
      </c>
      <c r="K29" s="2">
        <f>L29</f>
        <v>223.1</v>
      </c>
      <c r="L29" s="7">
        <f>AVERAGE(J29:J33)</f>
        <v>223.1</v>
      </c>
      <c r="M29" s="1">
        <v>1000</v>
      </c>
      <c r="O29" s="1" t="s">
        <v>6</v>
      </c>
      <c r="P29" s="1" t="s">
        <v>29</v>
      </c>
      <c r="Q29" s="1" t="s">
        <v>26</v>
      </c>
      <c r="R29" s="1" t="s">
        <v>28</v>
      </c>
      <c r="S29" s="1" t="s">
        <v>20</v>
      </c>
      <c r="U29" s="6">
        <v>35</v>
      </c>
      <c r="V29" s="2">
        <v>1</v>
      </c>
      <c r="W29" s="2">
        <v>211</v>
      </c>
      <c r="X29" s="2">
        <v>224</v>
      </c>
      <c r="Y29" s="2">
        <f>X29-W29</f>
        <v>13</v>
      </c>
      <c r="Z29" s="7">
        <f>AVERAGE(X29:X33)</f>
        <v>223.1</v>
      </c>
    </row>
    <row r="30" spans="6:26" x14ac:dyDescent="0.3">
      <c r="F30" s="6"/>
      <c r="G30" s="2">
        <v>2</v>
      </c>
      <c r="H30" s="2" t="s">
        <v>24</v>
      </c>
      <c r="I30" s="2">
        <f t="shared" si="6"/>
        <v>9.999999999998864E-3</v>
      </c>
      <c r="J30" s="2">
        <v>223</v>
      </c>
      <c r="K30" s="2">
        <f>L29</f>
        <v>223.1</v>
      </c>
      <c r="L30" s="7" t="s">
        <v>17</v>
      </c>
      <c r="O30" s="1">
        <v>295</v>
      </c>
      <c r="P30" s="1">
        <f>P8+P19</f>
        <v>8.9171834033334216E-2</v>
      </c>
      <c r="Q30" s="1">
        <v>0.2</v>
      </c>
      <c r="R30" s="1">
        <v>0</v>
      </c>
      <c r="S30" s="1" t="s">
        <v>21</v>
      </c>
      <c r="U30" s="6"/>
      <c r="V30" s="2">
        <v>2</v>
      </c>
      <c r="W30" s="2">
        <v>210</v>
      </c>
      <c r="X30" s="2">
        <v>223</v>
      </c>
      <c r="Y30" s="2">
        <f>X30-W30</f>
        <v>13</v>
      </c>
      <c r="Z30" s="7" t="s">
        <v>17</v>
      </c>
    </row>
    <row r="31" spans="6:26" x14ac:dyDescent="0.3">
      <c r="F31" s="6" t="s">
        <v>1</v>
      </c>
      <c r="G31" s="2">
        <v>3</v>
      </c>
      <c r="H31" s="2">
        <f>SQRT(H29/4)</f>
        <v>0.54772255750516619</v>
      </c>
      <c r="I31" s="2">
        <f t="shared" si="6"/>
        <v>9.999999999998864E-3</v>
      </c>
      <c r="J31" s="2">
        <v>223</v>
      </c>
      <c r="K31" s="2">
        <f>L29</f>
        <v>223.1</v>
      </c>
      <c r="L31" s="7">
        <f>L29*$C$4*$C$5-M29*$C$5*$P$3/1000</f>
        <v>265.95634799999999</v>
      </c>
      <c r="O31" s="1">
        <v>301</v>
      </c>
      <c r="P31" s="1">
        <f t="shared" ref="P31:P38" si="7">P9+P20</f>
        <v>8.0316463499999241E-2</v>
      </c>
      <c r="Q31" s="1">
        <v>0.2</v>
      </c>
      <c r="R31" s="1">
        <v>0</v>
      </c>
      <c r="S31" s="1" t="s">
        <v>21</v>
      </c>
      <c r="U31" s="6" t="s">
        <v>1</v>
      </c>
      <c r="V31" s="2">
        <v>3</v>
      </c>
      <c r="W31" s="2">
        <v>210</v>
      </c>
      <c r="X31" s="2">
        <v>223</v>
      </c>
      <c r="Y31" s="2">
        <f>X31-W31</f>
        <v>13</v>
      </c>
      <c r="Z31" s="7">
        <f>Z29*$C$4*$C$5-AA29*$C$5*$P$3/1000</f>
        <v>437.572723</v>
      </c>
    </row>
    <row r="32" spans="6:26" x14ac:dyDescent="0.3">
      <c r="F32" s="6">
        <v>0.2</v>
      </c>
      <c r="G32" s="2">
        <v>4</v>
      </c>
      <c r="H32" s="2" t="s">
        <v>25</v>
      </c>
      <c r="I32" s="2">
        <f t="shared" si="6"/>
        <v>0.35999999999999316</v>
      </c>
      <c r="J32" s="2">
        <v>222.5</v>
      </c>
      <c r="K32" s="2">
        <f>L29</f>
        <v>223.1</v>
      </c>
      <c r="L32" s="7" t="s">
        <v>18</v>
      </c>
      <c r="O32" s="1">
        <v>305</v>
      </c>
      <c r="P32" s="1">
        <f t="shared" si="7"/>
        <v>0.13415506350000028</v>
      </c>
      <c r="Q32" s="1">
        <v>0.2</v>
      </c>
      <c r="R32" s="1">
        <v>0</v>
      </c>
      <c r="S32" s="1" t="s">
        <v>21</v>
      </c>
      <c r="U32" s="6">
        <v>0.2</v>
      </c>
      <c r="V32" s="2">
        <v>4</v>
      </c>
      <c r="W32" s="2">
        <v>210</v>
      </c>
      <c r="X32" s="2">
        <v>222.5</v>
      </c>
      <c r="Y32" s="2">
        <f>X32-W32</f>
        <v>12.5</v>
      </c>
      <c r="Z32" s="7" t="s">
        <v>18</v>
      </c>
    </row>
    <row r="33" spans="6:26" ht="15" thickBot="1" x14ac:dyDescent="0.35">
      <c r="F33" s="8"/>
      <c r="G33" s="9">
        <v>5</v>
      </c>
      <c r="H33" s="9">
        <f>H31*$C$4*$C$5*0.0006/2</f>
        <v>3.2227940511348228E-4</v>
      </c>
      <c r="I33" s="2">
        <f t="shared" si="6"/>
        <v>9.999999999998864E-3</v>
      </c>
      <c r="J33" s="9">
        <v>223</v>
      </c>
      <c r="K33" s="9">
        <f>L29</f>
        <v>223.1</v>
      </c>
      <c r="L33" s="10">
        <f>L31*0.0006/2</f>
        <v>7.9786904399999997E-2</v>
      </c>
      <c r="O33" s="1">
        <v>308</v>
      </c>
      <c r="P33" s="1">
        <f t="shared" si="7"/>
        <v>0.12690585320000214</v>
      </c>
      <c r="Q33" s="1">
        <v>0.2</v>
      </c>
      <c r="R33" s="1">
        <v>0</v>
      </c>
      <c r="S33" s="1" t="s">
        <v>21</v>
      </c>
      <c r="U33" s="8"/>
      <c r="V33" s="9">
        <v>5</v>
      </c>
      <c r="W33" s="9">
        <v>210</v>
      </c>
      <c r="X33" s="9">
        <v>223</v>
      </c>
      <c r="Y33" s="9">
        <f>X33-W33</f>
        <v>13</v>
      </c>
      <c r="Z33" s="10">
        <f>Z31*0.0006/2</f>
        <v>0.13127181689999998</v>
      </c>
    </row>
    <row r="34" spans="6:26" ht="15" thickBot="1" x14ac:dyDescent="0.35">
      <c r="O34" s="1">
        <v>313</v>
      </c>
      <c r="P34" s="1">
        <f t="shared" si="7"/>
        <v>0.1379560670999975</v>
      </c>
      <c r="Q34" s="1">
        <v>0.2</v>
      </c>
      <c r="R34" s="1">
        <v>0</v>
      </c>
      <c r="S34" s="1" t="s">
        <v>21</v>
      </c>
    </row>
    <row r="35" spans="6:26" x14ac:dyDescent="0.3">
      <c r="F35" s="3" t="s">
        <v>6</v>
      </c>
      <c r="G35" s="4" t="s">
        <v>10</v>
      </c>
      <c r="H35" s="4" t="s">
        <v>23</v>
      </c>
      <c r="I35" s="4" t="s">
        <v>14</v>
      </c>
      <c r="J35" s="4" t="s">
        <v>15</v>
      </c>
      <c r="K35" s="4"/>
      <c r="L35" s="5" t="s">
        <v>16</v>
      </c>
      <c r="M35" s="1" t="s">
        <v>19</v>
      </c>
      <c r="O35" s="1">
        <v>318</v>
      </c>
      <c r="P35" s="1">
        <f t="shared" si="7"/>
        <v>0.17912040450000127</v>
      </c>
      <c r="Q35" s="1">
        <v>0.2</v>
      </c>
      <c r="R35" s="1">
        <v>0</v>
      </c>
      <c r="S35" s="1" t="s">
        <v>21</v>
      </c>
      <c r="U35" s="3" t="s">
        <v>6</v>
      </c>
      <c r="V35" s="4" t="s">
        <v>10</v>
      </c>
      <c r="W35" s="4" t="s">
        <v>14</v>
      </c>
      <c r="X35" s="4" t="s">
        <v>15</v>
      </c>
      <c r="Y35" s="4" t="s">
        <v>13</v>
      </c>
      <c r="Z35" s="5" t="s">
        <v>16</v>
      </c>
    </row>
    <row r="36" spans="6:26" x14ac:dyDescent="0.3">
      <c r="F36" s="6">
        <v>40</v>
      </c>
      <c r="G36" s="2">
        <v>1</v>
      </c>
      <c r="H36" s="2">
        <f>SUM(I36:I40)</f>
        <v>0.8</v>
      </c>
      <c r="I36" s="2">
        <f t="shared" ref="I36:I40" si="8">(J36-K36)^2</f>
        <v>3.9999999999995456E-2</v>
      </c>
      <c r="J36" s="2">
        <v>222</v>
      </c>
      <c r="K36" s="2">
        <f>L36</f>
        <v>221.8</v>
      </c>
      <c r="L36" s="7">
        <f>AVERAGE(J36:J40)</f>
        <v>221.8</v>
      </c>
      <c r="M36" s="1">
        <v>1000</v>
      </c>
      <c r="O36" s="1">
        <v>323</v>
      </c>
      <c r="P36" s="1">
        <f t="shared" si="7"/>
        <v>0.13350770079999741</v>
      </c>
      <c r="Q36" s="1">
        <v>0.2</v>
      </c>
      <c r="R36" s="1">
        <v>0</v>
      </c>
      <c r="S36" s="1" t="s">
        <v>21</v>
      </c>
      <c r="U36" s="6">
        <v>40</v>
      </c>
      <c r="V36" s="2">
        <v>1</v>
      </c>
      <c r="W36" s="2">
        <v>209</v>
      </c>
      <c r="X36" s="2">
        <v>222</v>
      </c>
      <c r="Y36" s="2">
        <f>X36-W36</f>
        <v>13</v>
      </c>
      <c r="Z36" s="7">
        <f>AVERAGE(X36:X40)</f>
        <v>221.8</v>
      </c>
    </row>
    <row r="37" spans="6:26" x14ac:dyDescent="0.3">
      <c r="F37" s="6"/>
      <c r="G37" s="2">
        <v>2</v>
      </c>
      <c r="H37" s="2" t="s">
        <v>24</v>
      </c>
      <c r="I37" s="2">
        <f t="shared" si="8"/>
        <v>3.9999999999995456E-2</v>
      </c>
      <c r="J37" s="2">
        <v>222</v>
      </c>
      <c r="K37" s="2">
        <f>L36</f>
        <v>221.8</v>
      </c>
      <c r="L37" s="7" t="s">
        <v>17</v>
      </c>
      <c r="O37" s="1">
        <v>328</v>
      </c>
      <c r="P37" s="1">
        <f t="shared" si="7"/>
        <v>0.14315750950000689</v>
      </c>
      <c r="Q37" s="1">
        <v>0.2</v>
      </c>
      <c r="R37" s="1">
        <v>0</v>
      </c>
      <c r="S37" s="1" t="s">
        <v>21</v>
      </c>
      <c r="U37" s="6"/>
      <c r="V37" s="2">
        <v>2</v>
      </c>
      <c r="W37" s="2">
        <v>209</v>
      </c>
      <c r="X37" s="2">
        <v>222</v>
      </c>
      <c r="Y37" s="2">
        <f>X37-W37</f>
        <v>13</v>
      </c>
      <c r="Z37" s="7" t="s">
        <v>17</v>
      </c>
    </row>
    <row r="38" spans="6:26" x14ac:dyDescent="0.3">
      <c r="F38" s="6" t="s">
        <v>1</v>
      </c>
      <c r="G38" s="2">
        <v>3</v>
      </c>
      <c r="H38" s="2">
        <f>SQRT(H36/4)</f>
        <v>0.44721359549995793</v>
      </c>
      <c r="I38" s="2">
        <f t="shared" si="8"/>
        <v>0.64000000000001822</v>
      </c>
      <c r="J38" s="2">
        <v>221</v>
      </c>
      <c r="K38" s="2">
        <f>L36</f>
        <v>221.8</v>
      </c>
      <c r="L38" s="7">
        <f>L36*$C$4*$C$5-M36*$C$5*$P$3/1000</f>
        <v>263.40661900000003</v>
      </c>
      <c r="O38" s="1">
        <v>332</v>
      </c>
      <c r="P38" s="1">
        <f t="shared" si="7"/>
        <v>0.14315750990000697</v>
      </c>
      <c r="Q38" s="1">
        <v>0.2</v>
      </c>
      <c r="R38" s="1">
        <v>0</v>
      </c>
      <c r="S38" s="1" t="s">
        <v>21</v>
      </c>
      <c r="U38" s="6" t="s">
        <v>1</v>
      </c>
      <c r="V38" s="2">
        <v>3</v>
      </c>
      <c r="W38" s="2">
        <v>209</v>
      </c>
      <c r="X38" s="2">
        <v>221</v>
      </c>
      <c r="Y38" s="2">
        <f>X38-W38</f>
        <v>12</v>
      </c>
      <c r="Z38" s="7">
        <f>Z36*$C$4*$C$5-AA36*$C$5*$P$3/1000</f>
        <v>435.02299400000004</v>
      </c>
    </row>
    <row r="39" spans="6:26" x14ac:dyDescent="0.3">
      <c r="F39" s="6">
        <v>0.2</v>
      </c>
      <c r="G39" s="2">
        <v>4</v>
      </c>
      <c r="H39" s="2" t="s">
        <v>25</v>
      </c>
      <c r="I39" s="2">
        <f t="shared" si="8"/>
        <v>3.9999999999995456E-2</v>
      </c>
      <c r="J39" s="2">
        <v>222</v>
      </c>
      <c r="K39" s="2">
        <f>L36</f>
        <v>221.8</v>
      </c>
      <c r="L39" s="7" t="s">
        <v>18</v>
      </c>
      <c r="U39" s="6">
        <v>0.2</v>
      </c>
      <c r="V39" s="2">
        <v>4</v>
      </c>
      <c r="W39" s="2">
        <v>209</v>
      </c>
      <c r="X39" s="2">
        <v>222</v>
      </c>
      <c r="Y39" s="2">
        <f>X39-W39</f>
        <v>13</v>
      </c>
      <c r="Z39" s="7" t="s">
        <v>18</v>
      </c>
    </row>
    <row r="40" spans="6:26" ht="15" thickBot="1" x14ac:dyDescent="0.35">
      <c r="F40" s="8"/>
      <c r="G40" s="9">
        <v>5</v>
      </c>
      <c r="H40" s="9">
        <f>H38*$C$4*$C$5*0.0006/2</f>
        <v>2.6314003237857972E-4</v>
      </c>
      <c r="I40" s="2">
        <f t="shared" si="8"/>
        <v>3.9999999999995456E-2</v>
      </c>
      <c r="J40" s="9">
        <v>222</v>
      </c>
      <c r="K40" s="9">
        <f>L36</f>
        <v>221.8</v>
      </c>
      <c r="L40" s="10">
        <f>L38*0.0006/2</f>
        <v>7.9021985700000005E-2</v>
      </c>
      <c r="U40" s="8"/>
      <c r="V40" s="9">
        <v>5</v>
      </c>
      <c r="W40" s="9">
        <v>209</v>
      </c>
      <c r="X40" s="9">
        <v>222</v>
      </c>
      <c r="Y40" s="9">
        <f>X40-W40</f>
        <v>13</v>
      </c>
      <c r="Z40" s="10">
        <f>Z38*0.0006/2</f>
        <v>0.1305068982</v>
      </c>
    </row>
    <row r="41" spans="6:26" ht="15" thickBot="1" x14ac:dyDescent="0.35"/>
    <row r="42" spans="6:26" x14ac:dyDescent="0.3">
      <c r="F42" s="3" t="s">
        <v>6</v>
      </c>
      <c r="G42" s="4" t="s">
        <v>10</v>
      </c>
      <c r="H42" s="4" t="s">
        <v>23</v>
      </c>
      <c r="I42" s="4" t="s">
        <v>14</v>
      </c>
      <c r="J42" s="4" t="s">
        <v>15</v>
      </c>
      <c r="K42" s="4"/>
      <c r="L42" s="5" t="s">
        <v>16</v>
      </c>
      <c r="M42" s="1" t="s">
        <v>19</v>
      </c>
      <c r="U42" s="3" t="s">
        <v>6</v>
      </c>
      <c r="V42" s="4" t="s">
        <v>10</v>
      </c>
      <c r="W42" s="4" t="s">
        <v>14</v>
      </c>
      <c r="X42" s="4" t="s">
        <v>15</v>
      </c>
      <c r="Y42" s="4" t="s">
        <v>13</v>
      </c>
      <c r="Z42" s="5" t="s">
        <v>16</v>
      </c>
    </row>
    <row r="43" spans="6:26" x14ac:dyDescent="0.3">
      <c r="F43" s="6">
        <v>45</v>
      </c>
      <c r="G43" s="2">
        <v>1</v>
      </c>
      <c r="H43" s="2">
        <f>SUM(I43:I47)</f>
        <v>0.80000000000000016</v>
      </c>
      <c r="I43" s="2">
        <f t="shared" ref="I43:I47" si="9">(J43-K43)^2</f>
        <v>0.64000000000001822</v>
      </c>
      <c r="J43" s="2">
        <v>221</v>
      </c>
      <c r="K43" s="2">
        <f>L43</f>
        <v>220.2</v>
      </c>
      <c r="L43" s="7">
        <f>AVERAGE(J43:J47)</f>
        <v>220.2</v>
      </c>
      <c r="M43" s="1">
        <v>1000</v>
      </c>
      <c r="U43" s="6">
        <v>45</v>
      </c>
      <c r="V43" s="2">
        <v>1</v>
      </c>
      <c r="W43" s="2">
        <v>209</v>
      </c>
      <c r="X43" s="2">
        <v>221</v>
      </c>
      <c r="Y43" s="2">
        <f>X43-W43</f>
        <v>12</v>
      </c>
      <c r="Z43" s="7">
        <f>AVERAGE(X43:X47)</f>
        <v>220.2</v>
      </c>
    </row>
    <row r="44" spans="6:26" x14ac:dyDescent="0.3">
      <c r="F44" s="6"/>
      <c r="G44" s="2">
        <v>2</v>
      </c>
      <c r="H44" s="2" t="s">
        <v>24</v>
      </c>
      <c r="I44" s="2">
        <f t="shared" si="9"/>
        <v>3.9999999999995456E-2</v>
      </c>
      <c r="J44" s="2">
        <v>220</v>
      </c>
      <c r="K44" s="2">
        <f>L43</f>
        <v>220.2</v>
      </c>
      <c r="L44" s="7" t="s">
        <v>17</v>
      </c>
      <c r="U44" s="6"/>
      <c r="V44" s="2">
        <v>2</v>
      </c>
      <c r="W44" s="2">
        <v>208</v>
      </c>
      <c r="X44" s="2">
        <v>220</v>
      </c>
      <c r="Y44" s="2">
        <f>X44-W44</f>
        <v>12</v>
      </c>
      <c r="Z44" s="7" t="s">
        <v>17</v>
      </c>
    </row>
    <row r="45" spans="6:26" x14ac:dyDescent="0.3">
      <c r="F45" s="6" t="s">
        <v>1</v>
      </c>
      <c r="G45" s="2">
        <v>3</v>
      </c>
      <c r="H45" s="2">
        <f>SQRT(H43/4)</f>
        <v>0.44721359549995798</v>
      </c>
      <c r="I45" s="2">
        <f t="shared" si="9"/>
        <v>3.9999999999995456E-2</v>
      </c>
      <c r="J45" s="2">
        <v>220</v>
      </c>
      <c r="K45" s="2">
        <f>L43</f>
        <v>220.2</v>
      </c>
      <c r="L45" s="7">
        <f>L43*$C$4*$C$5-M43*$C$5*$P$3/1000</f>
        <v>260.26849099999998</v>
      </c>
      <c r="U45" s="6" t="s">
        <v>1</v>
      </c>
      <c r="V45" s="2">
        <v>3</v>
      </c>
      <c r="W45" s="2">
        <v>208</v>
      </c>
      <c r="X45" s="2">
        <v>220</v>
      </c>
      <c r="Y45" s="2">
        <f>X45-W45</f>
        <v>12</v>
      </c>
      <c r="Z45" s="7">
        <f>Z43*$C$4*$C$5-AA43*$C$5*$P$3/1000</f>
        <v>431.88486599999999</v>
      </c>
    </row>
    <row r="46" spans="6:26" x14ac:dyDescent="0.3">
      <c r="F46" s="6">
        <v>0.2</v>
      </c>
      <c r="G46" s="2">
        <v>4</v>
      </c>
      <c r="H46" s="2" t="s">
        <v>25</v>
      </c>
      <c r="I46" s="2">
        <f t="shared" si="9"/>
        <v>3.9999999999995456E-2</v>
      </c>
      <c r="J46" s="2">
        <v>220</v>
      </c>
      <c r="K46" s="2">
        <f>L43</f>
        <v>220.2</v>
      </c>
      <c r="L46" s="7" t="s">
        <v>18</v>
      </c>
      <c r="U46" s="6">
        <v>0.2</v>
      </c>
      <c r="V46" s="2">
        <v>4</v>
      </c>
      <c r="W46" s="2">
        <v>208</v>
      </c>
      <c r="X46" s="2">
        <v>220</v>
      </c>
      <c r="Y46" s="2">
        <f>X46-W46</f>
        <v>12</v>
      </c>
      <c r="Z46" s="7" t="s">
        <v>18</v>
      </c>
    </row>
    <row r="47" spans="6:26" ht="15" thickBot="1" x14ac:dyDescent="0.35">
      <c r="F47" s="8"/>
      <c r="G47" s="9">
        <v>5</v>
      </c>
      <c r="H47" s="9">
        <f>H45*$C$4*$C$5*0.0006/2</f>
        <v>2.6314003237857978E-4</v>
      </c>
      <c r="I47" s="2">
        <f t="shared" si="9"/>
        <v>3.9999999999995456E-2</v>
      </c>
      <c r="J47" s="9">
        <v>220</v>
      </c>
      <c r="K47" s="9">
        <f>L43</f>
        <v>220.2</v>
      </c>
      <c r="L47" s="10">
        <f>L45*0.0006/2</f>
        <v>7.8080547299999983E-2</v>
      </c>
      <c r="U47" s="8"/>
      <c r="V47" s="9">
        <v>5</v>
      </c>
      <c r="W47" s="9">
        <v>208</v>
      </c>
      <c r="X47" s="9">
        <v>220</v>
      </c>
      <c r="Y47" s="9">
        <f>X47-W47</f>
        <v>12</v>
      </c>
      <c r="Z47" s="10">
        <f>Z45*0.0006/2</f>
        <v>0.12956545979999998</v>
      </c>
    </row>
    <row r="48" spans="6:26" ht="15" thickBot="1" x14ac:dyDescent="0.35"/>
    <row r="49" spans="6:26" x14ac:dyDescent="0.3">
      <c r="F49" s="3" t="s">
        <v>6</v>
      </c>
      <c r="G49" s="4" t="s">
        <v>10</v>
      </c>
      <c r="H49" s="4" t="s">
        <v>23</v>
      </c>
      <c r="I49" s="4" t="s">
        <v>14</v>
      </c>
      <c r="J49" s="4" t="s">
        <v>15</v>
      </c>
      <c r="K49" s="4"/>
      <c r="L49" s="5" t="s">
        <v>16</v>
      </c>
      <c r="M49" s="1" t="s">
        <v>19</v>
      </c>
      <c r="U49" s="3" t="s">
        <v>6</v>
      </c>
      <c r="V49" s="4" t="s">
        <v>10</v>
      </c>
      <c r="W49" s="4" t="s">
        <v>14</v>
      </c>
      <c r="X49" s="4" t="s">
        <v>15</v>
      </c>
      <c r="Y49" s="4" t="s">
        <v>13</v>
      </c>
      <c r="Z49" s="5" t="s">
        <v>16</v>
      </c>
    </row>
    <row r="50" spans="6:26" x14ac:dyDescent="0.3">
      <c r="F50" s="6">
        <v>50</v>
      </c>
      <c r="G50" s="2">
        <v>1</v>
      </c>
      <c r="H50" s="2">
        <f>SUM(I50:I54)</f>
        <v>1</v>
      </c>
      <c r="I50" s="2">
        <f t="shared" ref="I50:I54" si="10">(J50-K50)^2</f>
        <v>0.25</v>
      </c>
      <c r="J50" s="2">
        <v>217</v>
      </c>
      <c r="K50" s="2">
        <f>L50</f>
        <v>217.5</v>
      </c>
      <c r="L50" s="7">
        <f>AVERAGE(J50:J54)</f>
        <v>217.5</v>
      </c>
      <c r="M50" s="1">
        <v>1000</v>
      </c>
      <c r="U50" s="6">
        <v>50</v>
      </c>
      <c r="V50" s="2">
        <v>1</v>
      </c>
      <c r="W50" s="2">
        <v>205.5</v>
      </c>
      <c r="X50" s="2">
        <v>217</v>
      </c>
      <c r="Y50" s="2">
        <f>X50-W50</f>
        <v>11.5</v>
      </c>
      <c r="Z50" s="7">
        <f>AVERAGE(X50:X54)</f>
        <v>217.5</v>
      </c>
    </row>
    <row r="51" spans="6:26" x14ac:dyDescent="0.3">
      <c r="F51" s="6"/>
      <c r="G51" s="2">
        <v>2</v>
      </c>
      <c r="H51" s="2" t="s">
        <v>24</v>
      </c>
      <c r="I51" s="2">
        <f t="shared" si="10"/>
        <v>0.25</v>
      </c>
      <c r="J51" s="2">
        <v>217</v>
      </c>
      <c r="K51" s="2">
        <f>L50</f>
        <v>217.5</v>
      </c>
      <c r="L51" s="7" t="s">
        <v>17</v>
      </c>
      <c r="U51" s="6"/>
      <c r="V51" s="2">
        <v>2</v>
      </c>
      <c r="W51" s="2">
        <v>205</v>
      </c>
      <c r="X51" s="2">
        <v>217</v>
      </c>
      <c r="Y51" s="2">
        <f>X51-W51</f>
        <v>12</v>
      </c>
      <c r="Z51" s="7" t="s">
        <v>17</v>
      </c>
    </row>
    <row r="52" spans="6:26" x14ac:dyDescent="0.3">
      <c r="F52" s="6" t="s">
        <v>1</v>
      </c>
      <c r="G52" s="2">
        <v>3</v>
      </c>
      <c r="H52" s="2">
        <f>SQRT(H50/4)</f>
        <v>0.5</v>
      </c>
      <c r="I52" s="2">
        <f t="shared" si="10"/>
        <v>0</v>
      </c>
      <c r="J52" s="2">
        <v>217.5</v>
      </c>
      <c r="K52" s="2">
        <f>L50</f>
        <v>217.5</v>
      </c>
      <c r="L52" s="7">
        <f>L50*$C$4*$C$5-M50*$C$5*$P$3/1000</f>
        <v>254.97289999999998</v>
      </c>
      <c r="U52" s="6" t="s">
        <v>1</v>
      </c>
      <c r="V52" s="2">
        <v>3</v>
      </c>
      <c r="W52" s="2">
        <v>205</v>
      </c>
      <c r="X52" s="2">
        <v>217.5</v>
      </c>
      <c r="Y52" s="2">
        <f>X52-W52</f>
        <v>12.5</v>
      </c>
      <c r="Z52" s="7">
        <f>Z50*$C$4*$C$5-AA50*$C$5*$P$3/1000</f>
        <v>426.58927499999999</v>
      </c>
    </row>
    <row r="53" spans="6:26" x14ac:dyDescent="0.3">
      <c r="F53" s="6">
        <v>0.2</v>
      </c>
      <c r="G53" s="2">
        <v>4</v>
      </c>
      <c r="H53" s="2" t="s">
        <v>25</v>
      </c>
      <c r="I53" s="2">
        <f t="shared" si="10"/>
        <v>0.25</v>
      </c>
      <c r="J53" s="2">
        <v>218</v>
      </c>
      <c r="K53" s="2">
        <f>L50</f>
        <v>217.5</v>
      </c>
      <c r="L53" s="7" t="s">
        <v>18</v>
      </c>
      <c r="U53" s="6">
        <v>0.2</v>
      </c>
      <c r="V53" s="2">
        <v>4</v>
      </c>
      <c r="W53" s="2">
        <v>206</v>
      </c>
      <c r="X53" s="2">
        <v>218</v>
      </c>
      <c r="Y53" s="2">
        <f>X53-W53</f>
        <v>12</v>
      </c>
      <c r="Z53" s="7" t="s">
        <v>18</v>
      </c>
    </row>
    <row r="54" spans="6:26" ht="15" thickBot="1" x14ac:dyDescent="0.35">
      <c r="F54" s="8"/>
      <c r="G54" s="9">
        <v>5</v>
      </c>
      <c r="H54" s="9">
        <f>H52*$C$4*$C$5*0.0006/2</f>
        <v>2.9419949999999999E-4</v>
      </c>
      <c r="I54" s="2">
        <f t="shared" si="10"/>
        <v>0.25</v>
      </c>
      <c r="J54" s="9">
        <v>218</v>
      </c>
      <c r="K54" s="9">
        <f>L50</f>
        <v>217.5</v>
      </c>
      <c r="L54" s="10">
        <f>L52*0.0006/2</f>
        <v>7.649186999999999E-2</v>
      </c>
      <c r="U54" s="8"/>
      <c r="V54" s="9">
        <v>5</v>
      </c>
      <c r="W54" s="9">
        <v>206</v>
      </c>
      <c r="X54" s="9">
        <v>218</v>
      </c>
      <c r="Y54" s="9">
        <f>X54-W54</f>
        <v>12</v>
      </c>
      <c r="Z54" s="10">
        <f>Z52*0.0006/2</f>
        <v>0.1279767825</v>
      </c>
    </row>
    <row r="55" spans="6:26" ht="15" thickBot="1" x14ac:dyDescent="0.35"/>
    <row r="56" spans="6:26" x14ac:dyDescent="0.3">
      <c r="F56" s="3" t="s">
        <v>6</v>
      </c>
      <c r="G56" s="4" t="s">
        <v>10</v>
      </c>
      <c r="H56" s="4" t="s">
        <v>23</v>
      </c>
      <c r="I56" s="4" t="s">
        <v>14</v>
      </c>
      <c r="J56" s="4" t="s">
        <v>15</v>
      </c>
      <c r="K56" s="4"/>
      <c r="L56" s="5" t="s">
        <v>16</v>
      </c>
      <c r="M56" s="1" t="s">
        <v>19</v>
      </c>
      <c r="U56" s="3" t="s">
        <v>6</v>
      </c>
      <c r="V56" s="4" t="s">
        <v>10</v>
      </c>
      <c r="W56" s="4" t="s">
        <v>14</v>
      </c>
      <c r="X56" s="4" t="s">
        <v>15</v>
      </c>
      <c r="Y56" s="4" t="s">
        <v>13</v>
      </c>
      <c r="Z56" s="5" t="s">
        <v>16</v>
      </c>
    </row>
    <row r="57" spans="6:26" x14ac:dyDescent="0.3">
      <c r="F57" s="6">
        <v>55</v>
      </c>
      <c r="G57" s="2">
        <v>1</v>
      </c>
      <c r="H57" s="2">
        <f>SUM(I57:I61)</f>
        <v>0</v>
      </c>
      <c r="I57" s="2">
        <f t="shared" ref="I57:I61" si="11">(J57-K57)^2</f>
        <v>0</v>
      </c>
      <c r="J57" s="2">
        <v>216</v>
      </c>
      <c r="K57" s="2">
        <f>L57</f>
        <v>216</v>
      </c>
      <c r="L57" s="7">
        <f>AVERAGE(J57:J61)</f>
        <v>216</v>
      </c>
      <c r="M57" s="1">
        <v>1000</v>
      </c>
      <c r="U57" s="6">
        <v>55</v>
      </c>
      <c r="V57" s="2">
        <v>1</v>
      </c>
      <c r="W57" s="2">
        <v>204</v>
      </c>
      <c r="X57" s="2">
        <v>216</v>
      </c>
      <c r="Y57" s="2">
        <f>X57-W57</f>
        <v>12</v>
      </c>
      <c r="Z57" s="7">
        <f>AVERAGE(X57:X61)</f>
        <v>216</v>
      </c>
    </row>
    <row r="58" spans="6:26" x14ac:dyDescent="0.3">
      <c r="F58" s="6"/>
      <c r="G58" s="2">
        <v>2</v>
      </c>
      <c r="H58" s="2" t="s">
        <v>24</v>
      </c>
      <c r="I58" s="2">
        <f t="shared" si="11"/>
        <v>0</v>
      </c>
      <c r="J58" s="2">
        <v>216</v>
      </c>
      <c r="K58" s="2">
        <f>L57</f>
        <v>216</v>
      </c>
      <c r="L58" s="7" t="s">
        <v>17</v>
      </c>
      <c r="U58" s="6"/>
      <c r="V58" s="2">
        <v>2</v>
      </c>
      <c r="W58" s="2">
        <v>204</v>
      </c>
      <c r="X58" s="2">
        <v>216</v>
      </c>
      <c r="Y58" s="2">
        <f>X58-W58</f>
        <v>12</v>
      </c>
      <c r="Z58" s="7" t="s">
        <v>17</v>
      </c>
    </row>
    <row r="59" spans="6:26" x14ac:dyDescent="0.3">
      <c r="F59" s="6" t="s">
        <v>1</v>
      </c>
      <c r="G59" s="2">
        <v>3</v>
      </c>
      <c r="H59" s="2">
        <f>SQRT(H57/4)</f>
        <v>0</v>
      </c>
      <c r="I59" s="2">
        <f t="shared" si="11"/>
        <v>0</v>
      </c>
      <c r="J59" s="2">
        <v>216</v>
      </c>
      <c r="K59" s="2">
        <f>L57</f>
        <v>216</v>
      </c>
      <c r="L59" s="7">
        <f>L57*$C$4*$C$5-M57*$C$5*$P$3/1000</f>
        <v>252.03090500000002</v>
      </c>
      <c r="U59" s="6" t="s">
        <v>1</v>
      </c>
      <c r="V59" s="2">
        <v>3</v>
      </c>
      <c r="W59" s="2">
        <v>204</v>
      </c>
      <c r="X59" s="2">
        <v>216</v>
      </c>
      <c r="Y59" s="2">
        <f>X59-W59</f>
        <v>12</v>
      </c>
      <c r="Z59" s="7">
        <f>Z57*$C$4*$C$5-AA57*$C$5*$P$3/1000</f>
        <v>423.64728000000002</v>
      </c>
    </row>
    <row r="60" spans="6:26" x14ac:dyDescent="0.3">
      <c r="F60" s="6">
        <v>0.2</v>
      </c>
      <c r="G60" s="2">
        <v>4</v>
      </c>
      <c r="H60" s="2" t="s">
        <v>25</v>
      </c>
      <c r="I60" s="2">
        <f t="shared" si="11"/>
        <v>0</v>
      </c>
      <c r="J60" s="2">
        <v>216</v>
      </c>
      <c r="K60" s="2">
        <f>L57</f>
        <v>216</v>
      </c>
      <c r="L60" s="7" t="s">
        <v>18</v>
      </c>
      <c r="U60" s="6">
        <v>0.2</v>
      </c>
      <c r="V60" s="2">
        <v>4</v>
      </c>
      <c r="W60" s="2">
        <v>204</v>
      </c>
      <c r="X60" s="2">
        <v>216</v>
      </c>
      <c r="Y60" s="2">
        <f>X60-W60</f>
        <v>12</v>
      </c>
      <c r="Z60" s="7" t="s">
        <v>18</v>
      </c>
    </row>
    <row r="61" spans="6:26" ht="15" thickBot="1" x14ac:dyDescent="0.35">
      <c r="F61" s="8"/>
      <c r="G61" s="9">
        <v>5</v>
      </c>
      <c r="H61" s="9">
        <f>H59*$C$4*$C$5*0.0006/2</f>
        <v>0</v>
      </c>
      <c r="I61" s="2">
        <f t="shared" si="11"/>
        <v>0</v>
      </c>
      <c r="J61" s="9">
        <v>216</v>
      </c>
      <c r="K61" s="9">
        <f>L57</f>
        <v>216</v>
      </c>
      <c r="L61" s="10">
        <f>L59*0.0006/2</f>
        <v>7.5609271500000005E-2</v>
      </c>
      <c r="U61" s="8"/>
      <c r="V61" s="9">
        <v>5</v>
      </c>
      <c r="W61" s="9">
        <v>204</v>
      </c>
      <c r="X61" s="9">
        <v>216</v>
      </c>
      <c r="Y61" s="9">
        <f>X61-W61</f>
        <v>12</v>
      </c>
      <c r="Z61" s="10">
        <f>Z59*0.0006/2</f>
        <v>0.127094184</v>
      </c>
    </row>
    <row r="62" spans="6:26" ht="15" thickBot="1" x14ac:dyDescent="0.35"/>
    <row r="63" spans="6:26" x14ac:dyDescent="0.3">
      <c r="F63" s="3" t="s">
        <v>6</v>
      </c>
      <c r="G63" s="4" t="s">
        <v>10</v>
      </c>
      <c r="H63" s="4" t="s">
        <v>23</v>
      </c>
      <c r="I63" s="4" t="s">
        <v>14</v>
      </c>
      <c r="J63" s="4" t="s">
        <v>15</v>
      </c>
      <c r="K63" s="4"/>
      <c r="L63" s="5" t="s">
        <v>16</v>
      </c>
      <c r="M63" s="1" t="s">
        <v>19</v>
      </c>
      <c r="U63" s="3" t="s">
        <v>6</v>
      </c>
      <c r="V63" s="4" t="s">
        <v>10</v>
      </c>
      <c r="W63" s="4" t="s">
        <v>14</v>
      </c>
      <c r="X63" s="4" t="s">
        <v>15</v>
      </c>
      <c r="Y63" s="4" t="s">
        <v>13</v>
      </c>
      <c r="Z63" s="5" t="s">
        <v>16</v>
      </c>
    </row>
    <row r="64" spans="6:26" x14ac:dyDescent="0.3">
      <c r="F64" s="6">
        <v>59</v>
      </c>
      <c r="G64" s="2">
        <v>1</v>
      </c>
      <c r="H64" s="2">
        <f>SUM(I64:I68)</f>
        <v>1.2</v>
      </c>
      <c r="I64" s="2">
        <f t="shared" ref="I64:I68" si="12">(J64-K64)^2</f>
        <v>0.16000000000000456</v>
      </c>
      <c r="J64" s="2">
        <v>215</v>
      </c>
      <c r="K64" s="2">
        <f>L64</f>
        <v>214.6</v>
      </c>
      <c r="L64" s="7">
        <f>AVERAGE(J64:J68)</f>
        <v>214.6</v>
      </c>
      <c r="M64" s="1">
        <v>1000</v>
      </c>
      <c r="U64" s="6">
        <v>59</v>
      </c>
      <c r="V64" s="2">
        <v>1</v>
      </c>
      <c r="W64" s="2">
        <v>203</v>
      </c>
      <c r="X64" s="2">
        <v>215</v>
      </c>
      <c r="Y64" s="2">
        <f>X64-W64</f>
        <v>12</v>
      </c>
      <c r="Z64" s="7">
        <f>AVERAGE(X64:X68)</f>
        <v>214.6</v>
      </c>
    </row>
    <row r="65" spans="6:26" x14ac:dyDescent="0.3">
      <c r="F65" s="6"/>
      <c r="G65" s="2">
        <v>2</v>
      </c>
      <c r="H65" s="2" t="s">
        <v>24</v>
      </c>
      <c r="I65" s="2">
        <f t="shared" si="12"/>
        <v>0.16000000000000456</v>
      </c>
      <c r="J65" s="2">
        <v>215</v>
      </c>
      <c r="K65" s="2">
        <f>L64</f>
        <v>214.6</v>
      </c>
      <c r="L65" s="7" t="s">
        <v>17</v>
      </c>
      <c r="U65" s="6"/>
      <c r="V65" s="2">
        <v>2</v>
      </c>
      <c r="W65" s="2">
        <v>202.5</v>
      </c>
      <c r="X65" s="2">
        <v>215</v>
      </c>
      <c r="Y65" s="2">
        <f>X65-W65</f>
        <v>12.5</v>
      </c>
      <c r="Z65" s="7" t="s">
        <v>17</v>
      </c>
    </row>
    <row r="66" spans="6:26" x14ac:dyDescent="0.3">
      <c r="F66" s="6" t="s">
        <v>1</v>
      </c>
      <c r="G66" s="2">
        <v>3</v>
      </c>
      <c r="H66" s="2">
        <f>SQRT(H64/4)</f>
        <v>0.54772255750516607</v>
      </c>
      <c r="I66" s="2">
        <f t="shared" si="12"/>
        <v>0.16000000000000456</v>
      </c>
      <c r="J66" s="2">
        <v>215</v>
      </c>
      <c r="K66" s="2">
        <f>L64</f>
        <v>214.6</v>
      </c>
      <c r="L66" s="7">
        <f>L64*$C$4*$C$5-M64*$C$5*$P$3/1000</f>
        <v>249.28504299999997</v>
      </c>
      <c r="U66" s="6" t="s">
        <v>1</v>
      </c>
      <c r="V66" s="2">
        <v>3</v>
      </c>
      <c r="W66" s="2">
        <v>203</v>
      </c>
      <c r="X66" s="2">
        <v>215</v>
      </c>
      <c r="Y66" s="2">
        <f>X66-W66</f>
        <v>12</v>
      </c>
      <c r="Z66" s="7">
        <f>Z64*$C$4*$C$5-AA64*$C$5*$P$3/1000</f>
        <v>420.90141799999998</v>
      </c>
    </row>
    <row r="67" spans="6:26" x14ac:dyDescent="0.3">
      <c r="F67" s="6">
        <v>0.2</v>
      </c>
      <c r="G67" s="2">
        <v>4</v>
      </c>
      <c r="H67" s="2" t="s">
        <v>25</v>
      </c>
      <c r="I67" s="2">
        <f t="shared" si="12"/>
        <v>0.35999999999999316</v>
      </c>
      <c r="J67" s="2">
        <v>214</v>
      </c>
      <c r="K67" s="2">
        <f>L64</f>
        <v>214.6</v>
      </c>
      <c r="L67" s="7" t="s">
        <v>18</v>
      </c>
      <c r="U67" s="6">
        <v>0.2</v>
      </c>
      <c r="V67" s="2">
        <v>4</v>
      </c>
      <c r="W67" s="2">
        <v>202.5</v>
      </c>
      <c r="X67" s="2">
        <v>214</v>
      </c>
      <c r="Y67" s="2">
        <f>X67-W67</f>
        <v>11.5</v>
      </c>
      <c r="Z67" s="7" t="s">
        <v>18</v>
      </c>
    </row>
    <row r="68" spans="6:26" ht="15" thickBot="1" x14ac:dyDescent="0.35">
      <c r="F68" s="8"/>
      <c r="G68" s="9">
        <v>5</v>
      </c>
      <c r="H68" s="9">
        <f>H66*$C$4*$C$5*0.0006/2</f>
        <v>3.2227940511348223E-4</v>
      </c>
      <c r="I68" s="2">
        <f t="shared" si="12"/>
        <v>0.35999999999999316</v>
      </c>
      <c r="J68" s="9">
        <v>214</v>
      </c>
      <c r="K68" s="9">
        <f>L64</f>
        <v>214.6</v>
      </c>
      <c r="L68" s="10">
        <f>L66*0.0006/2</f>
        <v>7.478551289999999E-2</v>
      </c>
      <c r="U68" s="8"/>
      <c r="V68" s="9">
        <v>5</v>
      </c>
      <c r="W68" s="9">
        <v>203</v>
      </c>
      <c r="X68" s="9">
        <v>214</v>
      </c>
      <c r="Y68" s="9">
        <f>X68-W68</f>
        <v>11</v>
      </c>
      <c r="Z68" s="10">
        <f>Z66*0.0006/2</f>
        <v>0.12627042539999997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2024-03-12T06:29:11Z</dcterms:created>
  <dcterms:modified xsi:type="dcterms:W3CDTF">2024-03-13T14:42:56Z</dcterms:modified>
</cp:coreProperties>
</file>