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TEX\labs\LAB_1_2_3\"/>
    </mc:Choice>
  </mc:AlternateContent>
  <xr:revisionPtr revIDLastSave="0" documentId="13_ncr:1_{034F80E2-6695-4489-B038-E9EDB37FFE82}" xr6:coauthVersionLast="47" xr6:coauthVersionMax="47" xr10:uidLastSave="{00000000-0000-0000-0000-000000000000}"/>
  <bookViews>
    <workbookView xWindow="-120" yWindow="-120" windowWidth="29040" windowHeight="15840" xr2:uid="{EB1572B8-7696-4BE1-ADFD-28B57752B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5" i="1"/>
  <c r="O49" i="1"/>
  <c r="O47" i="1"/>
  <c r="O46" i="1"/>
  <c r="O45" i="1"/>
  <c r="I46" i="1"/>
  <c r="I48" i="1"/>
  <c r="H54" i="1" s="1"/>
  <c r="H55" i="1" s="1"/>
  <c r="I51" i="1"/>
  <c r="J49" i="1"/>
  <c r="J47" i="1"/>
  <c r="M47" i="1" s="1"/>
  <c r="M46" i="1"/>
  <c r="M48" i="1"/>
  <c r="M49" i="1"/>
  <c r="M50" i="1"/>
  <c r="M51" i="1"/>
  <c r="M52" i="1"/>
  <c r="M45" i="1"/>
  <c r="K46" i="1"/>
  <c r="K47" i="1"/>
  <c r="K48" i="1"/>
  <c r="K49" i="1"/>
  <c r="K50" i="1"/>
  <c r="K51" i="1"/>
  <c r="K52" i="1"/>
  <c r="K45" i="1"/>
  <c r="I45" i="1"/>
  <c r="H45" i="1"/>
  <c r="G52" i="1"/>
  <c r="G51" i="1"/>
  <c r="G50" i="1"/>
  <c r="G49" i="1"/>
  <c r="G48" i="1"/>
  <c r="G47" i="1"/>
  <c r="G46" i="1"/>
  <c r="G45" i="1"/>
  <c r="F45" i="1"/>
  <c r="K40" i="1"/>
  <c r="N41" i="1"/>
  <c r="N40" i="1"/>
  <c r="O40" i="1"/>
  <c r="M40" i="1"/>
  <c r="S38" i="1"/>
  <c r="S31" i="1"/>
  <c r="S24" i="1"/>
  <c r="T37" i="1"/>
  <c r="M37" i="1"/>
  <c r="P37" i="1" s="1"/>
  <c r="O37" i="1"/>
  <c r="N37" i="1"/>
  <c r="K37" i="1"/>
  <c r="J37" i="1"/>
  <c r="G41" i="1"/>
  <c r="G40" i="1"/>
  <c r="G39" i="1"/>
  <c r="G38" i="1"/>
  <c r="H37" i="1"/>
  <c r="H38" i="1" s="1"/>
  <c r="H39" i="1" s="1"/>
  <c r="H40" i="1" s="1"/>
  <c r="H41" i="1" s="1"/>
  <c r="G37" i="1"/>
  <c r="I37" i="1" s="1"/>
  <c r="M3" i="1"/>
  <c r="L5" i="1"/>
  <c r="T30" i="1" s="1"/>
  <c r="J5" i="1"/>
  <c r="M30" i="1"/>
  <c r="O30" i="1"/>
  <c r="N30" i="1"/>
  <c r="P30" i="1"/>
  <c r="K30" i="1"/>
  <c r="J30" i="1"/>
  <c r="U23" i="1"/>
  <c r="G34" i="1"/>
  <c r="G33" i="1"/>
  <c r="G32" i="1"/>
  <c r="G31" i="1"/>
  <c r="G30" i="1"/>
  <c r="T23" i="1"/>
  <c r="S23" i="1"/>
  <c r="M23" i="1"/>
  <c r="P23" i="1" s="1"/>
  <c r="Q23" i="1" s="1"/>
  <c r="R23" i="1" s="1"/>
  <c r="J3" i="1"/>
  <c r="K3" i="1" s="1"/>
  <c r="L3" i="1" s="1"/>
  <c r="O23" i="1"/>
  <c r="N23" i="1"/>
  <c r="O17" i="1"/>
  <c r="N17" i="1"/>
  <c r="K23" i="1"/>
  <c r="J23" i="1"/>
  <c r="I27" i="1"/>
  <c r="I26" i="1"/>
  <c r="I25" i="1"/>
  <c r="I24" i="1"/>
  <c r="I23" i="1"/>
  <c r="H25" i="1"/>
  <c r="H26" i="1"/>
  <c r="H27" i="1"/>
  <c r="H24" i="1"/>
  <c r="H23" i="1"/>
  <c r="G27" i="1"/>
  <c r="G26" i="1"/>
  <c r="G25" i="1"/>
  <c r="G24" i="1"/>
  <c r="G23" i="1"/>
  <c r="D13" i="1"/>
  <c r="P17" i="1"/>
  <c r="Q17" i="1" s="1"/>
  <c r="R17" i="1" s="1"/>
  <c r="K17" i="1"/>
  <c r="J17" i="1"/>
  <c r="I21" i="1"/>
  <c r="I20" i="1"/>
  <c r="I19" i="1"/>
  <c r="I18" i="1"/>
  <c r="I17" i="1"/>
  <c r="H17" i="1"/>
  <c r="N14" i="1"/>
  <c r="M14" i="1"/>
  <c r="H14" i="1"/>
  <c r="J14" i="1"/>
  <c r="L14" i="1"/>
  <c r="C13" i="1"/>
  <c r="I10" i="1"/>
  <c r="G10" i="1"/>
  <c r="E4" i="1"/>
  <c r="E5" i="1"/>
  <c r="E6" i="1"/>
  <c r="E7" i="1"/>
  <c r="E3" i="1"/>
  <c r="I52" i="1" l="1"/>
  <c r="Q37" i="1"/>
  <c r="R37" i="1" s="1"/>
  <c r="S37" i="1"/>
  <c r="U37" i="1" s="1"/>
  <c r="I38" i="1"/>
  <c r="I40" i="1"/>
  <c r="I39" i="1"/>
  <c r="I41" i="1"/>
  <c r="S30" i="1"/>
  <c r="U30" i="1" s="1"/>
  <c r="Q30" i="1"/>
  <c r="R30" i="1" s="1"/>
  <c r="H30" i="1"/>
  <c r="H31" i="1" s="1"/>
  <c r="H32" i="1" s="1"/>
  <c r="H33" i="1" s="1"/>
  <c r="H34" i="1" s="1"/>
  <c r="I34" i="1" s="1"/>
  <c r="I30" i="1" l="1"/>
  <c r="I32" i="1"/>
  <c r="I33" i="1"/>
  <c r="I31" i="1"/>
</calcChain>
</file>

<file path=xl/sharedStrings.xml><?xml version="1.0" encoding="utf-8"?>
<sst xmlns="http://schemas.openxmlformats.org/spreadsheetml/2006/main" count="87" uniqueCount="34">
  <si>
    <t>A</t>
  </si>
  <si>
    <t>N</t>
  </si>
  <si>
    <t>t</t>
  </si>
  <si>
    <t>T</t>
  </si>
  <si>
    <t>кольцо</t>
  </si>
  <si>
    <t>m</t>
  </si>
  <si>
    <t>I</t>
  </si>
  <si>
    <t xml:space="preserve">платформа </t>
  </si>
  <si>
    <t>r</t>
  </si>
  <si>
    <t>R</t>
  </si>
  <si>
    <t>h</t>
  </si>
  <si>
    <t>z0</t>
  </si>
  <si>
    <t>g</t>
  </si>
  <si>
    <t>k</t>
  </si>
  <si>
    <t>sigma z0</t>
  </si>
  <si>
    <t>sigma r</t>
  </si>
  <si>
    <t>sigma R</t>
  </si>
  <si>
    <t>eps k</t>
  </si>
  <si>
    <t>sigma k</t>
  </si>
  <si>
    <t>Пустая платформа</t>
  </si>
  <si>
    <t>&lt;T&gt;</t>
  </si>
  <si>
    <t>sigma T</t>
  </si>
  <si>
    <t>sigma m</t>
  </si>
  <si>
    <t>sigma I</t>
  </si>
  <si>
    <t>eps</t>
  </si>
  <si>
    <t>actual</t>
  </si>
  <si>
    <t>theory</t>
  </si>
  <si>
    <t>диск</t>
  </si>
  <si>
    <t>sigmaT</t>
  </si>
  <si>
    <t>simga m</t>
  </si>
  <si>
    <t>sigmaI</t>
  </si>
  <si>
    <t>I1</t>
  </si>
  <si>
    <t>I2</t>
  </si>
  <si>
    <t>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</si>
</sst>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00"/>
    <numFmt numFmtId="166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6823-0704-49C6-8B3B-76781460912D}">
  <dimension ref="B2:U55"/>
  <sheetViews>
    <sheetView tabSelected="1" topLeftCell="A22" workbookViewId="0">
      <selection activeCell="P47" sqref="P47"/>
    </sheetView>
  </sheetViews>
  <sheetFormatPr defaultRowHeight="15" x14ac:dyDescent="0.25"/>
  <cols>
    <col min="1" max="4" width="9.140625" style="1"/>
    <col min="5" max="5" width="12.5703125" style="1" customWidth="1"/>
    <col min="6" max="8" width="9.140625" style="1"/>
    <col min="9" max="9" width="19.85546875" style="1" bestFit="1" customWidth="1"/>
    <col min="10" max="13" width="9.140625" style="1"/>
    <col min="14" max="14" width="12.85546875" style="1" customWidth="1"/>
    <col min="15" max="15" width="12.7109375" style="1" bestFit="1" customWidth="1"/>
    <col min="16" max="16384" width="9.140625" style="1"/>
  </cols>
  <sheetData>
    <row r="2" spans="2:18" x14ac:dyDescent="0.25">
      <c r="B2" s="3" t="s">
        <v>0</v>
      </c>
      <c r="C2" s="3" t="s">
        <v>1</v>
      </c>
      <c r="D2" s="3" t="s">
        <v>2</v>
      </c>
      <c r="E2" s="3" t="s">
        <v>3</v>
      </c>
      <c r="H2" s="1" t="s">
        <v>4</v>
      </c>
      <c r="I2" s="1" t="s">
        <v>5</v>
      </c>
      <c r="J2" s="1" t="s">
        <v>9</v>
      </c>
      <c r="K2" s="1" t="s">
        <v>8</v>
      </c>
      <c r="L2" s="1" t="s">
        <v>6</v>
      </c>
    </row>
    <row r="3" spans="2:18" x14ac:dyDescent="0.25">
      <c r="B3" s="3">
        <v>30</v>
      </c>
      <c r="C3" s="3">
        <v>5</v>
      </c>
      <c r="D3" s="2">
        <v>22.26</v>
      </c>
      <c r="E3" s="4">
        <f>D3/C3</f>
        <v>4.452</v>
      </c>
      <c r="I3" s="1">
        <v>0.73070000000000002</v>
      </c>
      <c r="J3" s="1">
        <f>0.155/2</f>
        <v>7.7499999999999999E-2</v>
      </c>
      <c r="K3" s="1">
        <f>J3-0.0038/2</f>
        <v>7.5600000000000001E-2</v>
      </c>
      <c r="L3" s="1">
        <f>I3*(J3^2+K3^2)/2</f>
        <v>4.2824902135000006E-3</v>
      </c>
      <c r="M3" s="1">
        <f>L3+L5</f>
        <v>6.3936352135000006E-3</v>
      </c>
    </row>
    <row r="4" spans="2:18" x14ac:dyDescent="0.25">
      <c r="B4" s="3">
        <v>20</v>
      </c>
      <c r="C4" s="3">
        <v>5</v>
      </c>
      <c r="D4" s="2">
        <v>22.11</v>
      </c>
      <c r="E4" s="4">
        <f t="shared" ref="E4:E7" si="0">D4/C4</f>
        <v>4.4219999999999997</v>
      </c>
      <c r="H4" s="1" t="s">
        <v>27</v>
      </c>
      <c r="I4" s="1" t="s">
        <v>5</v>
      </c>
      <c r="J4" s="1" t="s">
        <v>9</v>
      </c>
      <c r="L4" s="1" t="s">
        <v>6</v>
      </c>
    </row>
    <row r="5" spans="2:18" x14ac:dyDescent="0.25">
      <c r="B5" s="3">
        <v>15</v>
      </c>
      <c r="C5" s="3">
        <v>5</v>
      </c>
      <c r="D5" s="2">
        <v>22.07</v>
      </c>
      <c r="E5" s="4">
        <f t="shared" si="0"/>
        <v>4.4139999999999997</v>
      </c>
      <c r="I5" s="1">
        <v>0.58440000000000003</v>
      </c>
      <c r="J5" s="1">
        <f>0.17/2</f>
        <v>8.5000000000000006E-2</v>
      </c>
      <c r="L5" s="1">
        <f>I5*J5^2/2</f>
        <v>2.1111450000000005E-3</v>
      </c>
    </row>
    <row r="6" spans="2:18" x14ac:dyDescent="0.25">
      <c r="B6" s="3">
        <v>10</v>
      </c>
      <c r="C6" s="3">
        <v>5</v>
      </c>
      <c r="D6" s="2">
        <v>22.04</v>
      </c>
      <c r="E6" s="4">
        <f t="shared" si="0"/>
        <v>4.4079999999999995</v>
      </c>
    </row>
    <row r="7" spans="2:18" x14ac:dyDescent="0.25">
      <c r="B7" s="3">
        <v>5</v>
      </c>
      <c r="C7" s="3">
        <v>5</v>
      </c>
      <c r="D7" s="2">
        <v>22</v>
      </c>
      <c r="E7" s="4">
        <f t="shared" si="0"/>
        <v>4.4000000000000004</v>
      </c>
    </row>
    <row r="8" spans="2:18" x14ac:dyDescent="0.25">
      <c r="D8" s="5"/>
    </row>
    <row r="9" spans="2:18" x14ac:dyDescent="0.25">
      <c r="B9" s="1" t="s">
        <v>7</v>
      </c>
      <c r="D9" s="1" t="s">
        <v>9</v>
      </c>
      <c r="E9" s="1" t="s">
        <v>8</v>
      </c>
      <c r="F9" s="1" t="s">
        <v>10</v>
      </c>
      <c r="G9" s="1" t="s">
        <v>11</v>
      </c>
      <c r="H9" s="1" t="s">
        <v>12</v>
      </c>
      <c r="I9" s="1" t="s">
        <v>13</v>
      </c>
    </row>
    <row r="10" spans="2:18" x14ac:dyDescent="0.25">
      <c r="B10" s="1" t="s">
        <v>5</v>
      </c>
      <c r="D10" s="1">
        <v>0.11550000000000001</v>
      </c>
      <c r="E10" s="1">
        <v>3.0200000000000001E-2</v>
      </c>
      <c r="F10" s="1">
        <v>2.15</v>
      </c>
      <c r="G10" s="1">
        <f>SQRT(F10^2-0.1255^2)</f>
        <v>2.1463340257285211</v>
      </c>
      <c r="H10" s="1">
        <v>9.81</v>
      </c>
      <c r="I10" s="1">
        <f>H10*E10*D10/(4*PI()*PI()*G10)</f>
        <v>4.0383214648121287E-4</v>
      </c>
    </row>
    <row r="11" spans="2:18" x14ac:dyDescent="0.25">
      <c r="B11" s="1">
        <v>1.0264</v>
      </c>
    </row>
    <row r="12" spans="2:18" x14ac:dyDescent="0.25">
      <c r="B12" s="1" t="s">
        <v>6</v>
      </c>
    </row>
    <row r="13" spans="2:18" x14ac:dyDescent="0.25">
      <c r="B13" s="1">
        <v>8.0947761706145673E-3</v>
      </c>
      <c r="C13" s="1">
        <f>B11*0.125^2/2</f>
        <v>8.0187499999999998E-3</v>
      </c>
      <c r="D13" s="1">
        <f>(B13-C13)/B13</f>
        <v>9.3920040544858523E-3</v>
      </c>
      <c r="G13" s="1" t="s">
        <v>14</v>
      </c>
      <c r="H13" s="1" t="s">
        <v>11</v>
      </c>
      <c r="I13" s="1" t="s">
        <v>15</v>
      </c>
      <c r="J13" s="1" t="s">
        <v>8</v>
      </c>
      <c r="K13" s="1" t="s">
        <v>16</v>
      </c>
      <c r="L13" s="1" t="s">
        <v>9</v>
      </c>
      <c r="M13" s="1" t="s">
        <v>17</v>
      </c>
      <c r="N13" s="1" t="s">
        <v>18</v>
      </c>
    </row>
    <row r="14" spans="2:18" x14ac:dyDescent="0.25">
      <c r="G14" s="1">
        <v>0.01</v>
      </c>
      <c r="H14" s="1">
        <f>G10</f>
        <v>2.1463340257285211</v>
      </c>
      <c r="I14" s="1">
        <v>5.0000000000000001E-4</v>
      </c>
      <c r="J14" s="1">
        <f>E10</f>
        <v>3.0200000000000001E-2</v>
      </c>
      <c r="K14" s="1">
        <v>5.0000000000000001E-4</v>
      </c>
      <c r="L14" s="1">
        <f>D10</f>
        <v>0.11550000000000001</v>
      </c>
      <c r="M14" s="1">
        <f>SQRT((G14/H14)^2+(I14/J14)^2+(K14/L14)^2)</f>
        <v>1.773579267013458E-2</v>
      </c>
      <c r="N14" s="7">
        <f>M14*I10</f>
        <v>7.1622832235262089E-6</v>
      </c>
    </row>
    <row r="16" spans="2:18" x14ac:dyDescent="0.25">
      <c r="E16" s="1" t="s">
        <v>19</v>
      </c>
      <c r="G16" s="1" t="s">
        <v>3</v>
      </c>
      <c r="H16" s="1" t="s">
        <v>20</v>
      </c>
      <c r="J16" s="1" t="s">
        <v>21</v>
      </c>
      <c r="K16" s="1" t="s">
        <v>3</v>
      </c>
      <c r="L16" s="1" t="s">
        <v>22</v>
      </c>
      <c r="M16" s="1" t="s">
        <v>5</v>
      </c>
      <c r="N16" s="1" t="s">
        <v>18</v>
      </c>
      <c r="O16" s="1" t="s">
        <v>13</v>
      </c>
      <c r="P16" s="1" t="s">
        <v>6</v>
      </c>
      <c r="Q16" s="1" t="s">
        <v>23</v>
      </c>
      <c r="R16" s="1" t="s">
        <v>24</v>
      </c>
    </row>
    <row r="17" spans="5:21" x14ac:dyDescent="0.25">
      <c r="G17" s="4">
        <v>4.452</v>
      </c>
      <c r="H17" s="6">
        <f>AVERAGE(G17:G21)</f>
        <v>4.4191999999999991</v>
      </c>
      <c r="I17" s="8">
        <f>(G17-H17)^2</f>
        <v>1.0758400000000544E-3</v>
      </c>
      <c r="J17" s="1">
        <f>SQRT(SUM(I17:I21)/4)</f>
        <v>2.0029977533686832E-2</v>
      </c>
      <c r="K17" s="6">
        <f>H17</f>
        <v>4.4191999999999991</v>
      </c>
      <c r="L17" s="1">
        <v>5.0000000000000001E-4</v>
      </c>
      <c r="M17" s="1">
        <v>1.0264</v>
      </c>
      <c r="N17" s="7">
        <f>$N$14</f>
        <v>7.1622832235262089E-6</v>
      </c>
      <c r="O17" s="1">
        <f>$I$10</f>
        <v>4.0383214648121287E-4</v>
      </c>
      <c r="P17" s="1">
        <f>M17*O17*K17^2</f>
        <v>8.0947761706145673E-3</v>
      </c>
      <c r="Q17" s="1">
        <f>P17*SQRT((2*J17/K17)^2+(L17/M17)^2+(N17/O17)^2)</f>
        <v>1.6128107494665076E-4</v>
      </c>
      <c r="R17" s="1">
        <f>Q17/P17</f>
        <v>1.9924093211141386E-2</v>
      </c>
    </row>
    <row r="18" spans="5:21" x14ac:dyDescent="0.25">
      <c r="G18" s="4">
        <v>4.4219999999999997</v>
      </c>
      <c r="H18" s="1">
        <v>4.4191999999999991</v>
      </c>
      <c r="I18" s="8">
        <f>(G18-H18)^2</f>
        <v>7.840000000003247E-6</v>
      </c>
    </row>
    <row r="19" spans="5:21" x14ac:dyDescent="0.25">
      <c r="G19" s="4">
        <v>4.4139999999999997</v>
      </c>
      <c r="H19" s="1">
        <v>4.4191999999999991</v>
      </c>
      <c r="I19" s="8">
        <f>(G19-H19)^2</f>
        <v>2.7039999999994042E-5</v>
      </c>
    </row>
    <row r="20" spans="5:21" x14ac:dyDescent="0.25">
      <c r="G20" s="4">
        <v>4.4079999999999995</v>
      </c>
      <c r="H20" s="1">
        <v>4.4191999999999991</v>
      </c>
      <c r="I20" s="8">
        <f>(G20-H20)^2</f>
        <v>1.2543999999999227E-4</v>
      </c>
    </row>
    <row r="21" spans="5:21" x14ac:dyDescent="0.25">
      <c r="G21" s="4">
        <v>4.4000000000000004</v>
      </c>
      <c r="H21" s="1">
        <v>4.4191999999999991</v>
      </c>
      <c r="I21" s="8">
        <f>(G21-H21)^2</f>
        <v>3.6863999999995289E-4</v>
      </c>
    </row>
    <row r="22" spans="5:21" x14ac:dyDescent="0.25">
      <c r="J22" s="1" t="s">
        <v>21</v>
      </c>
      <c r="K22" s="1" t="s">
        <v>3</v>
      </c>
      <c r="L22" s="1" t="s">
        <v>22</v>
      </c>
      <c r="M22" s="1" t="s">
        <v>5</v>
      </c>
      <c r="N22" s="1" t="s">
        <v>18</v>
      </c>
      <c r="O22" s="1" t="s">
        <v>13</v>
      </c>
      <c r="P22" s="1" t="s">
        <v>6</v>
      </c>
      <c r="Q22" s="1" t="s">
        <v>23</v>
      </c>
      <c r="R22" s="1" t="s">
        <v>24</v>
      </c>
      <c r="S22" s="1" t="s">
        <v>25</v>
      </c>
      <c r="T22" s="1" t="s">
        <v>26</v>
      </c>
    </row>
    <row r="23" spans="5:21" x14ac:dyDescent="0.25">
      <c r="E23" s="1">
        <v>21.01</v>
      </c>
      <c r="F23" s="1">
        <v>5</v>
      </c>
      <c r="G23" s="1">
        <f>E23/F23</f>
        <v>4.202</v>
      </c>
      <c r="H23" s="1">
        <f>AVERAGE(G23:G27)</f>
        <v>4.1959999999999997</v>
      </c>
      <c r="I23" s="8">
        <f>(G23-H23)^2</f>
        <v>3.6000000000002732E-5</v>
      </c>
      <c r="J23" s="1">
        <f>SQRT(SUM(I23:I27)/4)</f>
        <v>5.2915026221288502E-3</v>
      </c>
      <c r="K23" s="6">
        <f>H23</f>
        <v>4.1959999999999997</v>
      </c>
      <c r="L23" s="1">
        <v>5.0000000000000001E-4</v>
      </c>
      <c r="M23" s="1">
        <f>0.7307+$B$11</f>
        <v>1.7570999999999999</v>
      </c>
      <c r="N23" s="7">
        <f>$N$14</f>
        <v>7.1622832235262089E-6</v>
      </c>
      <c r="O23" s="1">
        <f>$I$10</f>
        <v>4.0383214648121287E-4</v>
      </c>
      <c r="P23" s="1">
        <f>M23*O23*K23^2</f>
        <v>1.2493045599994406E-2</v>
      </c>
      <c r="Q23" s="1">
        <f>P23*SQRT((2*J23/K23)^2+(L23/M23)^2+(N23/O23)^2)</f>
        <v>2.2383153331304145E-4</v>
      </c>
      <c r="R23" s="1">
        <f>Q23/P23</f>
        <v>1.7916490540396464E-2</v>
      </c>
      <c r="S23" s="1">
        <f>P23-$P$17</f>
        <v>4.3982694293798388E-3</v>
      </c>
      <c r="T23" s="1">
        <f>L3</f>
        <v>4.2824902135000006E-3</v>
      </c>
      <c r="U23" s="1">
        <f>(S23-T23)/S23</f>
        <v>2.6323811612460314E-2</v>
      </c>
    </row>
    <row r="24" spans="5:21" x14ac:dyDescent="0.25">
      <c r="E24" s="1">
        <v>20.94</v>
      </c>
      <c r="F24" s="1">
        <v>5</v>
      </c>
      <c r="G24" s="1">
        <f>E24/F24</f>
        <v>4.1880000000000006</v>
      </c>
      <c r="H24" s="1">
        <f>H23</f>
        <v>4.1959999999999997</v>
      </c>
      <c r="I24" s="8">
        <f>(G24-H24)^2</f>
        <v>6.3999999999985902E-5</v>
      </c>
      <c r="S24" s="1">
        <f>S23+$P$17</f>
        <v>1.2493045599994406E-2</v>
      </c>
    </row>
    <row r="25" spans="5:21" x14ac:dyDescent="0.25">
      <c r="E25" s="1">
        <v>20.97</v>
      </c>
      <c r="F25" s="1">
        <v>5</v>
      </c>
      <c r="G25" s="1">
        <f>E25/F25</f>
        <v>4.194</v>
      </c>
      <c r="H25" s="1">
        <f t="shared" ref="H25:H27" si="1">H24</f>
        <v>4.1959999999999997</v>
      </c>
      <c r="I25" s="8">
        <f>(G25-H25)^2</f>
        <v>3.9999999999991189E-6</v>
      </c>
    </row>
    <row r="26" spans="5:21" x14ac:dyDescent="0.25">
      <c r="E26" s="1">
        <v>20.99</v>
      </c>
      <c r="F26" s="1">
        <v>5</v>
      </c>
      <c r="G26" s="1">
        <f>E26/F26</f>
        <v>4.1979999999999995</v>
      </c>
      <c r="H26" s="1">
        <f t="shared" si="1"/>
        <v>4.1959999999999997</v>
      </c>
      <c r="I26" s="8">
        <f>(G26-H26)^2</f>
        <v>3.9999999999991189E-6</v>
      </c>
    </row>
    <row r="27" spans="5:21" x14ac:dyDescent="0.25">
      <c r="E27" s="1">
        <v>20.99</v>
      </c>
      <c r="F27" s="1">
        <v>5</v>
      </c>
      <c r="G27" s="1">
        <f>E27/F27</f>
        <v>4.1979999999999995</v>
      </c>
      <c r="H27" s="1">
        <f t="shared" si="1"/>
        <v>4.1959999999999997</v>
      </c>
      <c r="I27" s="8">
        <f>(G27-H27)^2</f>
        <v>3.9999999999991189E-6</v>
      </c>
    </row>
    <row r="29" spans="5:21" x14ac:dyDescent="0.25">
      <c r="J29" s="1" t="s">
        <v>21</v>
      </c>
      <c r="K29" s="1" t="s">
        <v>3</v>
      </c>
      <c r="L29" s="1" t="s">
        <v>22</v>
      </c>
      <c r="M29" s="1" t="s">
        <v>5</v>
      </c>
      <c r="N29" s="1" t="s">
        <v>18</v>
      </c>
      <c r="O29" s="1" t="s">
        <v>13</v>
      </c>
      <c r="P29" s="1" t="s">
        <v>6</v>
      </c>
      <c r="Q29" s="1" t="s">
        <v>23</v>
      </c>
      <c r="R29" s="1" t="s">
        <v>24</v>
      </c>
      <c r="S29" s="1" t="s">
        <v>25</v>
      </c>
      <c r="T29" s="1" t="s">
        <v>26</v>
      </c>
    </row>
    <row r="30" spans="5:21" x14ac:dyDescent="0.25">
      <c r="E30" s="1">
        <v>19.8</v>
      </c>
      <c r="F30" s="1">
        <v>5</v>
      </c>
      <c r="G30" s="1">
        <f>E30/F30</f>
        <v>3.96</v>
      </c>
      <c r="H30" s="1">
        <f>AVERAGE(G30:G34)</f>
        <v>3.9532000000000003</v>
      </c>
      <c r="I30" s="8">
        <f>(G30-H30)^2</f>
        <v>4.6239999999995857E-5</v>
      </c>
      <c r="J30" s="1">
        <f>SQRT(SUM(I30:I34)/4)</f>
        <v>4.8166378315170422E-3</v>
      </c>
      <c r="K30" s="6">
        <f>H30</f>
        <v>3.9532000000000003</v>
      </c>
      <c r="L30" s="1">
        <v>5.0000000000000001E-4</v>
      </c>
      <c r="M30" s="1">
        <f>0.5844+$B$11</f>
        <v>1.6108</v>
      </c>
      <c r="N30" s="7">
        <f>$N$14</f>
        <v>7.1622832235262089E-6</v>
      </c>
      <c r="O30" s="1">
        <f>$I$10</f>
        <v>4.0383214648121287E-4</v>
      </c>
      <c r="P30" s="1">
        <f>M30*O30*K30^2</f>
        <v>1.0165765367839434E-2</v>
      </c>
      <c r="Q30" s="1">
        <f>P30*SQRT((2*J30/K30)^2+(L30/M30)^2+(N30/O30)^2)</f>
        <v>1.8201910974157399E-4</v>
      </c>
      <c r="R30" s="1">
        <f>Q30/P30</f>
        <v>1.7905106320613335E-2</v>
      </c>
      <c r="S30" s="1">
        <f>P30-$P$17</f>
        <v>2.0709891972248672E-3</v>
      </c>
      <c r="T30" s="1">
        <f>L5</f>
        <v>2.1111450000000005E-3</v>
      </c>
      <c r="U30" s="1">
        <f>(S30-T30)/S30</f>
        <v>-1.938967273655615E-2</v>
      </c>
    </row>
    <row r="31" spans="5:21" x14ac:dyDescent="0.25">
      <c r="E31" s="1">
        <v>19.75</v>
      </c>
      <c r="F31" s="1">
        <v>5</v>
      </c>
      <c r="G31" s="1">
        <f>E31/F31</f>
        <v>3.95</v>
      </c>
      <c r="H31" s="1">
        <f>H30</f>
        <v>3.9532000000000003</v>
      </c>
      <c r="I31" s="8">
        <f>(G31-H31)^2</f>
        <v>1.0240000000000586E-5</v>
      </c>
      <c r="S31" s="1">
        <f>S30+$P$17</f>
        <v>1.0165765367839434E-2</v>
      </c>
    </row>
    <row r="32" spans="5:21" x14ac:dyDescent="0.25">
      <c r="E32" s="1">
        <v>19.760000000000002</v>
      </c>
      <c r="F32" s="1">
        <v>5</v>
      </c>
      <c r="G32" s="1">
        <f>E32/F32</f>
        <v>3.9520000000000004</v>
      </c>
      <c r="H32" s="1">
        <f t="shared" ref="H32:H34" si="2">H31</f>
        <v>3.9532000000000003</v>
      </c>
      <c r="I32" s="8">
        <f>(G32-H32)^2</f>
        <v>1.4399999999996828E-6</v>
      </c>
    </row>
    <row r="33" spans="5:21" x14ac:dyDescent="0.25">
      <c r="E33" s="1">
        <v>19.78</v>
      </c>
      <c r="F33" s="1">
        <v>5</v>
      </c>
      <c r="G33" s="1">
        <f>E33/F33</f>
        <v>3.9560000000000004</v>
      </c>
      <c r="H33" s="1">
        <f t="shared" si="2"/>
        <v>3.9532000000000003</v>
      </c>
      <c r="I33" s="8">
        <f>(G33-H33)^2</f>
        <v>7.8400000000007601E-6</v>
      </c>
    </row>
    <row r="34" spans="5:21" x14ac:dyDescent="0.25">
      <c r="E34" s="1">
        <v>19.739999999999998</v>
      </c>
      <c r="F34" s="1">
        <v>5</v>
      </c>
      <c r="G34" s="1">
        <f>E34/F34</f>
        <v>3.9479999999999995</v>
      </c>
      <c r="H34" s="1">
        <f t="shared" si="2"/>
        <v>3.9532000000000003</v>
      </c>
      <c r="I34" s="8">
        <f>(G34-H34)^2</f>
        <v>2.70400000000079E-5</v>
      </c>
    </row>
    <row r="36" spans="5:21" x14ac:dyDescent="0.25">
      <c r="J36" s="1" t="s">
        <v>21</v>
      </c>
      <c r="K36" s="1" t="s">
        <v>3</v>
      </c>
      <c r="L36" s="1" t="s">
        <v>22</v>
      </c>
      <c r="M36" s="1" t="s">
        <v>5</v>
      </c>
      <c r="N36" s="1" t="s">
        <v>18</v>
      </c>
      <c r="O36" s="1" t="s">
        <v>13</v>
      </c>
      <c r="P36" s="1" t="s">
        <v>6</v>
      </c>
      <c r="Q36" s="1" t="s">
        <v>23</v>
      </c>
      <c r="R36" s="1" t="s">
        <v>24</v>
      </c>
      <c r="S36" s="1" t="s">
        <v>25</v>
      </c>
      <c r="T36" s="1" t="s">
        <v>26</v>
      </c>
    </row>
    <row r="37" spans="5:21" x14ac:dyDescent="0.25">
      <c r="E37" s="1">
        <v>19.59</v>
      </c>
      <c r="F37" s="1">
        <v>5</v>
      </c>
      <c r="G37" s="1">
        <f>E37/F37</f>
        <v>3.9180000000000001</v>
      </c>
      <c r="H37" s="1">
        <f>AVERAGE(G37:G41)</f>
        <v>3.9264000000000001</v>
      </c>
      <c r="I37" s="8">
        <f>(G37-H37)^2</f>
        <v>7.0559999999999379E-5</v>
      </c>
      <c r="J37" s="1">
        <f>SQRT(SUM(I37:I41)/4)</f>
        <v>9.6332756630338121E-3</v>
      </c>
      <c r="K37" s="6">
        <f>H37</f>
        <v>3.9264000000000001</v>
      </c>
      <c r="L37" s="1">
        <v>5.0000000000000001E-4</v>
      </c>
      <c r="M37" s="1">
        <f>0.5844+0.7307+$B$11</f>
        <v>2.3414999999999999</v>
      </c>
      <c r="N37" s="7">
        <f>$N$14</f>
        <v>7.1622832235262089E-6</v>
      </c>
      <c r="O37" s="1">
        <f>$I$10</f>
        <v>4.0383214648121287E-4</v>
      </c>
      <c r="P37" s="1">
        <f>M37*O37*K37^2</f>
        <v>1.4577536301416654E-2</v>
      </c>
      <c r="Q37" s="1">
        <f>P37*SQRT((2*J37/K37)^2+(L37/M37)^2+(N37/O37)^2)</f>
        <v>2.682749341544852E-4</v>
      </c>
      <c r="R37" s="1">
        <f>Q37/P37</f>
        <v>1.8403310999020737E-2</v>
      </c>
      <c r="S37" s="1">
        <f>P37-$P$17</f>
        <v>6.4827601308020868E-3</v>
      </c>
      <c r="T37" s="1">
        <f>L5+L3</f>
        <v>6.3936352135000006E-3</v>
      </c>
      <c r="U37" s="1">
        <f>(S37-T37)/S37</f>
        <v>1.3747989360059677E-2</v>
      </c>
    </row>
    <row r="38" spans="5:21" x14ac:dyDescent="0.25">
      <c r="E38" s="1">
        <v>19.66</v>
      </c>
      <c r="F38" s="1">
        <v>5</v>
      </c>
      <c r="G38" s="1">
        <f>E38/F38</f>
        <v>3.9319999999999999</v>
      </c>
      <c r="H38" s="1">
        <f>H37</f>
        <v>3.9264000000000001</v>
      </c>
      <c r="I38" s="8">
        <f>(G38-H38)^2</f>
        <v>3.1359999999998067E-5</v>
      </c>
      <c r="S38" s="1">
        <f>S37+$P$17</f>
        <v>1.4577536301416654E-2</v>
      </c>
    </row>
    <row r="39" spans="5:21" x14ac:dyDescent="0.25">
      <c r="E39" s="1">
        <v>19.57</v>
      </c>
      <c r="F39" s="1">
        <v>5</v>
      </c>
      <c r="G39" s="1">
        <f>E39/F39</f>
        <v>3.9140000000000001</v>
      </c>
      <c r="H39" s="1">
        <f t="shared" ref="H39:H41" si="3">H38</f>
        <v>3.9264000000000001</v>
      </c>
      <c r="I39" s="8">
        <f>(G39-H39)^2</f>
        <v>1.5375999999999918E-4</v>
      </c>
    </row>
    <row r="40" spans="5:21" x14ac:dyDescent="0.25">
      <c r="E40" s="1">
        <v>19.670000000000002</v>
      </c>
      <c r="F40" s="1">
        <v>5</v>
      </c>
      <c r="G40" s="1">
        <f>E40/F40</f>
        <v>3.9340000000000002</v>
      </c>
      <c r="H40" s="1">
        <f t="shared" si="3"/>
        <v>3.9264000000000001</v>
      </c>
      <c r="I40" s="8">
        <f>(G40-H40)^2</f>
        <v>5.7760000000000775E-5</v>
      </c>
      <c r="K40" s="1">
        <f>(M40-M42)/M40</f>
        <v>-1.6707146774117727E-3</v>
      </c>
      <c r="M40" s="1">
        <f>S24+S31-S38</f>
        <v>8.0812746664171882E-3</v>
      </c>
      <c r="N40" s="1">
        <f>1/O40</f>
        <v>1.2496338447063549E-4</v>
      </c>
      <c r="O40" s="1">
        <f>SQRT(1/Q23^2+1/Q30^2+1/Q37^2)</f>
        <v>8002.3440805173213</v>
      </c>
    </row>
    <row r="41" spans="5:21" x14ac:dyDescent="0.25">
      <c r="E41" s="1">
        <v>19.670000000000002</v>
      </c>
      <c r="F41" s="1">
        <v>5</v>
      </c>
      <c r="G41" s="1">
        <f>E41/F41</f>
        <v>3.9340000000000002</v>
      </c>
      <c r="H41" s="1">
        <f t="shared" si="3"/>
        <v>3.9264000000000001</v>
      </c>
      <c r="I41" s="8">
        <f>(G41-H41)^2</f>
        <v>5.7760000000000775E-5</v>
      </c>
      <c r="N41" s="1">
        <f>N40/M40</f>
        <v>1.5463325976276671E-2</v>
      </c>
    </row>
    <row r="42" spans="5:21" x14ac:dyDescent="0.25">
      <c r="M42" s="1">
        <v>8.0947761706145673E-3</v>
      </c>
    </row>
    <row r="44" spans="5:21" x14ac:dyDescent="0.25">
      <c r="E44" s="1" t="s">
        <v>2</v>
      </c>
      <c r="F44" s="1" t="s">
        <v>28</v>
      </c>
      <c r="G44" s="1" t="s">
        <v>3</v>
      </c>
      <c r="H44" s="1" t="s">
        <v>13</v>
      </c>
      <c r="I44" s="1" t="s">
        <v>5</v>
      </c>
      <c r="J44" s="1" t="s">
        <v>29</v>
      </c>
      <c r="K44" s="1" t="s">
        <v>6</v>
      </c>
      <c r="L44" s="1" t="s">
        <v>10</v>
      </c>
      <c r="M44" s="1" t="s">
        <v>30</v>
      </c>
    </row>
    <row r="45" spans="5:21" x14ac:dyDescent="0.25">
      <c r="E45" s="1">
        <v>15.29</v>
      </c>
      <c r="F45" s="1">
        <f>1/SQRT(1/J23^2+1/J30^2+1/J37^2)</f>
        <v>3.340884916828343E-3</v>
      </c>
      <c r="G45" s="1">
        <f>E45/5</f>
        <v>3.0579999999999998</v>
      </c>
      <c r="H45" s="1">
        <f>O23</f>
        <v>4.0383214648121287E-4</v>
      </c>
      <c r="I45" s="1">
        <f>1.0264+0.763+0.763</f>
        <v>2.5524</v>
      </c>
      <c r="J45" s="1">
        <v>1.5E-3</v>
      </c>
      <c r="K45" s="1">
        <f>$H$45*$I$45*G45^2</f>
        <v>9.6388358768021605E-3</v>
      </c>
      <c r="L45" s="1">
        <v>0</v>
      </c>
      <c r="M45" s="1">
        <f>K45*SQRT((J45/$I$45)^2+($N$30/$H$45)^2+(2*$F$45/G45)^2)</f>
        <v>1.7233796328334922E-4</v>
      </c>
      <c r="N45" s="1" t="s">
        <v>31</v>
      </c>
      <c r="O45" s="1">
        <f>K45-B13</f>
        <v>1.5440597061875932E-3</v>
      </c>
      <c r="P45" s="1">
        <f>AVERAGE(O45:O46)</f>
        <v>1.5750829677865126E-3</v>
      </c>
    </row>
    <row r="46" spans="5:21" x14ac:dyDescent="0.25">
      <c r="E46" s="1">
        <v>15.48</v>
      </c>
      <c r="G46" s="1">
        <f>E46/5</f>
        <v>3.0960000000000001</v>
      </c>
      <c r="I46" s="1">
        <f>2*0.763</f>
        <v>1.526</v>
      </c>
      <c r="J46" s="1">
        <v>1.53895</v>
      </c>
      <c r="K46" s="1">
        <f t="shared" ref="K46:K52" si="4">$H$45*$I$45*G46^2</f>
        <v>9.8798767610477067E-3</v>
      </c>
      <c r="L46" s="1">
        <v>1</v>
      </c>
      <c r="M46" s="1">
        <f t="shared" ref="M46:M52" si="5">K46*SQRT((J46/$I$45)^2+($N$30/$H$45)^2+(2*$F$45/G46)^2)</f>
        <v>5.9596106833325743E-3</v>
      </c>
      <c r="N46" s="1" t="s">
        <v>32</v>
      </c>
      <c r="O46" s="1">
        <f>I51</f>
        <v>1.606106229385432E-3</v>
      </c>
    </row>
    <row r="47" spans="5:21" x14ac:dyDescent="0.25">
      <c r="E47" s="1">
        <v>15.9</v>
      </c>
      <c r="G47" s="1">
        <f>E47/5</f>
        <v>3.18</v>
      </c>
      <c r="I47" s="1">
        <v>4.4999999999999998E-2</v>
      </c>
      <c r="J47" s="1">
        <f>(J46-I46)/I46</f>
        <v>8.4862385321101026E-3</v>
      </c>
      <c r="K47" s="1">
        <f t="shared" si="4"/>
        <v>1.042326701437076E-2</v>
      </c>
      <c r="L47" s="1">
        <v>2</v>
      </c>
      <c r="M47" s="1">
        <f t="shared" si="5"/>
        <v>1.8935598554465087E-4</v>
      </c>
      <c r="N47" s="1" t="s">
        <v>33</v>
      </c>
      <c r="O47" s="1">
        <f>(O45-O46)/O46</f>
        <v>-3.8631643450869758E-2</v>
      </c>
      <c r="P47" s="9">
        <f>1/SQRT(1/M45^2+1/O48^2)</f>
        <v>4.3638432679712999E-5</v>
      </c>
    </row>
    <row r="48" spans="5:21" x14ac:dyDescent="0.25">
      <c r="E48" s="1">
        <v>16.32</v>
      </c>
      <c r="G48" s="1">
        <f>E48/5</f>
        <v>3.2640000000000002</v>
      </c>
      <c r="I48" s="1">
        <f>I46*I47^2/2</f>
        <v>1.5450749999999999E-3</v>
      </c>
      <c r="J48" s="1">
        <v>2.4549999999999999E-2</v>
      </c>
      <c r="K48" s="1">
        <f t="shared" si="4"/>
        <v>1.0981203087094429E-2</v>
      </c>
      <c r="L48" s="1">
        <v>3</v>
      </c>
      <c r="M48" s="1">
        <f t="shared" si="5"/>
        <v>2.2269451863081132E-4</v>
      </c>
      <c r="O48" s="9">
        <v>4.5108509152216498E-5</v>
      </c>
    </row>
    <row r="49" spans="5:15" x14ac:dyDescent="0.25">
      <c r="E49" s="1">
        <v>17.18</v>
      </c>
      <c r="G49" s="1">
        <f>E49/5</f>
        <v>3.4359999999999999</v>
      </c>
      <c r="J49" s="1">
        <f>J48/J46</f>
        <v>1.5952435101855161E-2</v>
      </c>
      <c r="K49" s="1">
        <f t="shared" si="4"/>
        <v>1.2169029212184502E-2</v>
      </c>
      <c r="L49" s="1">
        <v>4</v>
      </c>
      <c r="M49" s="1">
        <f t="shared" si="5"/>
        <v>2.3005649774428122E-4</v>
      </c>
      <c r="O49" s="1">
        <f>(O45-O46)</f>
        <v>-6.2046523197838849E-5</v>
      </c>
    </row>
    <row r="50" spans="5:15" x14ac:dyDescent="0.25">
      <c r="E50" s="1">
        <v>18.13</v>
      </c>
      <c r="G50" s="1">
        <f>E50/5</f>
        <v>3.6259999999999999</v>
      </c>
      <c r="I50" s="1">
        <v>9.7008823999999994E-3</v>
      </c>
      <c r="K50" s="1">
        <f t="shared" si="4"/>
        <v>1.3552057100177695E-2</v>
      </c>
      <c r="L50" s="1">
        <v>5</v>
      </c>
      <c r="M50" s="1">
        <f t="shared" si="5"/>
        <v>2.4165032728165994E-4</v>
      </c>
    </row>
    <row r="51" spans="5:15" x14ac:dyDescent="0.25">
      <c r="E51" s="1">
        <v>19.329999999999998</v>
      </c>
      <c r="G51" s="1">
        <f>E51/5</f>
        <v>3.8659999999999997</v>
      </c>
      <c r="I51" s="1">
        <f>(I50-B13)</f>
        <v>1.606106229385432E-3</v>
      </c>
      <c r="K51" s="1">
        <f t="shared" si="4"/>
        <v>1.5405412184351557E-2</v>
      </c>
      <c r="L51" s="1">
        <v>6</v>
      </c>
      <c r="M51" s="1">
        <f t="shared" si="5"/>
        <v>2.7452146578025769E-4</v>
      </c>
    </row>
    <row r="52" spans="5:15" x14ac:dyDescent="0.25">
      <c r="E52" s="1">
        <v>20.37</v>
      </c>
      <c r="G52" s="1">
        <f>E52/5</f>
        <v>4.0739999999999998</v>
      </c>
      <c r="I52" s="1">
        <f>(I48-I51)/I51</f>
        <v>-3.7999497336353265E-2</v>
      </c>
      <c r="K52" s="1">
        <f t="shared" si="4"/>
        <v>1.7107701842550761E-2</v>
      </c>
      <c r="L52" s="1">
        <v>7</v>
      </c>
      <c r="M52" s="1">
        <f t="shared" si="5"/>
        <v>3.0471322595304785E-4</v>
      </c>
    </row>
    <row r="54" spans="5:15" x14ac:dyDescent="0.25">
      <c r="H54" s="1">
        <f>I48-I51</f>
        <v>-6.1031229385432109E-5</v>
      </c>
      <c r="I54" s="9">
        <v>4.5108509152216498E-5</v>
      </c>
    </row>
    <row r="55" spans="5:15" x14ac:dyDescent="0.25">
      <c r="H55" s="9">
        <f>H54/I54</f>
        <v>-1.3529870645798814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2023-10-28T16:36:40Z</dcterms:created>
  <dcterms:modified xsi:type="dcterms:W3CDTF">2023-10-29T18:48:54Z</dcterms:modified>
</cp:coreProperties>
</file>